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98A39B3E-BB2A-4669-91F8-49A3F5DF3CD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unnel-Dashboard" sheetId="2" r:id="rId1"/>
    <sheet name="Leads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2" l="1"/>
  <c r="D19" i="2"/>
  <c r="F19" i="2" s="1"/>
  <c r="C19" i="2"/>
  <c r="E18" i="2"/>
  <c r="D18" i="2"/>
  <c r="F18" i="2" s="1"/>
  <c r="C18" i="2"/>
  <c r="E17" i="2"/>
  <c r="D17" i="2"/>
  <c r="F17" i="2" s="1"/>
  <c r="C17" i="2"/>
  <c r="E16" i="2"/>
  <c r="D16" i="2"/>
  <c r="F16" i="2" s="1"/>
  <c r="C16" i="2"/>
  <c r="E15" i="2"/>
  <c r="D15" i="2"/>
  <c r="F15" i="2" s="1"/>
  <c r="C15" i="2"/>
  <c r="E14" i="2"/>
  <c r="E20" i="2" s="1"/>
  <c r="D14" i="2"/>
  <c r="D20" i="2" s="1"/>
  <c r="F20" i="2" s="1"/>
  <c r="C14" i="2"/>
  <c r="C20" i="2" s="1"/>
  <c r="J12" i="2"/>
  <c r="J11" i="2"/>
  <c r="J10" i="2"/>
  <c r="J9" i="2"/>
  <c r="F9" i="2"/>
  <c r="C9" i="2"/>
  <c r="Q9" i="2" s="1"/>
  <c r="J8" i="2"/>
  <c r="F8" i="2"/>
  <c r="C8" i="2"/>
  <c r="D8" i="2" s="1"/>
  <c r="J7" i="2"/>
  <c r="F7" i="2"/>
  <c r="C7" i="2"/>
  <c r="D7" i="2" s="1"/>
  <c r="J6" i="2"/>
  <c r="F6" i="2"/>
  <c r="C6" i="2"/>
  <c r="Q6" i="2" s="1"/>
  <c r="J5" i="2"/>
  <c r="F5" i="2"/>
  <c r="C5" i="2"/>
  <c r="D5" i="2" s="1"/>
  <c r="A34" i="1"/>
  <c r="A33" i="1"/>
  <c r="A32" i="1"/>
  <c r="A31" i="1"/>
  <c r="A30" i="1"/>
  <c r="A29" i="1"/>
  <c r="A28" i="1"/>
  <c r="A27" i="1"/>
  <c r="Q8" i="2" l="1"/>
  <c r="E8" i="2"/>
  <c r="P5" i="2"/>
  <c r="Q5" i="2"/>
  <c r="P8" i="2"/>
  <c r="D6" i="2"/>
  <c r="E6" i="2"/>
  <c r="D9" i="2"/>
  <c r="E9" i="2"/>
  <c r="P6" i="2"/>
  <c r="P9" i="2"/>
  <c r="E7" i="2"/>
  <c r="P7" i="2"/>
  <c r="Q7" i="2"/>
  <c r="F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G4" authorId="0" shapeId="0" xr:uid="{00000000-0006-0000-0000-000001000000}">
      <text>
        <r>
          <rPr>
            <sz val="10"/>
            <rFont val="Arial"/>
            <family val="2"/>
          </rPr>
          <t>Phase im Funnel. Auswahl: Besucher → Lead → MQL → SQL → Kunde.</t>
        </r>
      </text>
    </comment>
    <comment ref="H4" authorId="0" shapeId="0" xr:uid="{00000000-0006-0000-0000-000002000000}">
      <text>
        <r>
          <rPr>
            <sz val="10"/>
            <rFont val="Arial"/>
            <family val="2"/>
          </rPr>
          <t>Status: Aktiv (noch im Funnel), Gewonnen oder Verloren.</t>
        </r>
      </text>
    </comment>
  </commentList>
</comments>
</file>

<file path=xl/sharedStrings.xml><?xml version="1.0" encoding="utf-8"?>
<sst xmlns="http://schemas.openxmlformats.org/spreadsheetml/2006/main" count="160" uniqueCount="74">
  <si>
    <t>SALES FUNNEL  –  LEAD-ERFASSUNG</t>
  </si>
  <si>
    <t>Alle Leads hier eintragen – das Funnel-Dashboard wird automatisch aktualisiert</t>
  </si>
  <si>
    <t>Nr.</t>
  </si>
  <si>
    <t>Lead / Kontakt</t>
  </si>
  <si>
    <t>Quelle</t>
  </si>
  <si>
    <t>Kampagne</t>
  </si>
  <si>
    <t>Eingang</t>
  </si>
  <si>
    <t>Wert (€)</t>
  </si>
  <si>
    <t>Phase</t>
  </si>
  <si>
    <t>Status</t>
  </si>
  <si>
    <t>Letzte Aktivität</t>
  </si>
  <si>
    <t>Nordlicht Medien GmbH</t>
  </si>
  <si>
    <t>Website</t>
  </si>
  <si>
    <t>Content-Download</t>
  </si>
  <si>
    <t>Kunde</t>
  </si>
  <si>
    <t>Gewonnen</t>
  </si>
  <si>
    <t>Bergmann &amp; Partner</t>
  </si>
  <si>
    <t>Google Ads</t>
  </si>
  <si>
    <t>Always-on SEA</t>
  </si>
  <si>
    <t>SQL</t>
  </si>
  <si>
    <t>Aktiv</t>
  </si>
  <si>
    <t>Studio Hafenblick</t>
  </si>
  <si>
    <t>Social Media</t>
  </si>
  <si>
    <t>Produktlaunch</t>
  </si>
  <si>
    <t>Lead</t>
  </si>
  <si>
    <t>Verloren</t>
  </si>
  <si>
    <t>TechVoll AG</t>
  </si>
  <si>
    <t>Empfehlung</t>
  </si>
  <si>
    <t>Webinar Q1</t>
  </si>
  <si>
    <t>Grünwerk Handel</t>
  </si>
  <si>
    <t>Newsletter</t>
  </si>
  <si>
    <t>Frühjahrsaktion 2026</t>
  </si>
  <si>
    <t>MQL</t>
  </si>
  <si>
    <t>Frau Petra Sahin</t>
  </si>
  <si>
    <t>Albrecht Logistik</t>
  </si>
  <si>
    <t>Messe</t>
  </si>
  <si>
    <t>Helder Design</t>
  </si>
  <si>
    <t>Besucher</t>
  </si>
  <si>
    <t>Maschinenbau Veit</t>
  </si>
  <si>
    <t>Café Morgentau</t>
  </si>
  <si>
    <t>Herr Jonas Reuter</t>
  </si>
  <si>
    <t>Polarstern Reisen</t>
  </si>
  <si>
    <t>Steinweg Immobilien</t>
  </si>
  <si>
    <t>Lichtblick Energie</t>
  </si>
  <si>
    <t>Weber Consulting</t>
  </si>
  <si>
    <t>Frau Dilara Koch</t>
  </si>
  <si>
    <t>Atlas Software</t>
  </si>
  <si>
    <t>Blumenhaus Iris</t>
  </si>
  <si>
    <t>Kontorhaus Beratung</t>
  </si>
  <si>
    <t>Voss Manufaktur</t>
  </si>
  <si>
    <t>Herr Malte Brinkmann</t>
  </si>
  <si>
    <t>Seehafen Trading</t>
  </si>
  <si>
    <t>Automatische Auswertung der Lead-Erfassung – Phasen, Konversionsraten und Prognose</t>
  </si>
  <si>
    <t>Anzahl</t>
  </si>
  <si>
    <t>% von oben</t>
  </si>
  <si>
    <t>Konversion</t>
  </si>
  <si>
    <t>Ø Wert (€)</t>
  </si>
  <si>
    <t>KENNZAHLEN</t>
  </si>
  <si>
    <t>Spacer</t>
  </si>
  <si>
    <t>—</t>
  </si>
  <si>
    <t>Leads gesamt</t>
  </si>
  <si>
    <t>Aktiv im Funnel</t>
  </si>
  <si>
    <t>Gewinnrate (Lead→Kunde)</t>
  </si>
  <si>
    <t>Umsatz gewonnen (€)</t>
  </si>
  <si>
    <t>Pipeline aktiv (€)</t>
  </si>
  <si>
    <t>LEADS NACH QUELLE</t>
  </si>
  <si>
    <t>Ø Dealwert (€)</t>
  </si>
  <si>
    <t>Leads</t>
  </si>
  <si>
    <t>Umsatz (€)</t>
  </si>
  <si>
    <t>Gewinnrate</t>
  </si>
  <si>
    <t>Gesamt</t>
  </si>
  <si>
    <t>HINWEIS</t>
  </si>
  <si>
    <t>Alle Werte berechnen sich automatisch aus dem Blatt 'Leads'.
Die Anzahl je Phase ist kumulativ: Ein Lead in einer späteren Phase hat alle vorherigen Phasen bereits durchlaufen.
'Konversion' = Übergang von der vorherigen zur aktuellen Phase.
Neue Leads einfach unten im Blatt 'Leads' ergänzen.</t>
  </si>
  <si>
    <t>SALES FUNNEL-DASHBOARD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</si>
</sst>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&quot; €&quot;"/>
    <numFmt numFmtId="166" formatCode="0.0%"/>
    <numFmt numFmtId="167" formatCode="#,##0.0"/>
  </numFmts>
  <fonts count="9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1"/>
      <color rgb="FFFFFFFF"/>
      <name val="Calibri"/>
      <charset val="1"/>
    </font>
    <font>
      <b/>
      <sz val="11"/>
      <color rgb="FFFFFFFF"/>
      <name val="Calibri"/>
      <charset val="1"/>
    </font>
    <font>
      <sz val="11"/>
      <color rgb="FF000000"/>
      <name val="Calibri"/>
      <charset val="1"/>
    </font>
    <font>
      <sz val="10"/>
      <name val="Arial"/>
      <family val="2"/>
    </font>
    <font>
      <sz val="8"/>
      <color rgb="FFFFFFFF"/>
      <name val="Calibri"/>
      <charset val="1"/>
    </font>
    <font>
      <b/>
      <sz val="11"/>
      <color rgb="FF000000"/>
      <name val="Calibri"/>
      <charset val="1"/>
    </font>
    <font>
      <sz val="8"/>
      <color rgb="FFB0B0B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3D5A80"/>
        <bgColor rgb="FF4E80B0"/>
      </patternFill>
    </fill>
    <fill>
      <patternFill patternType="solid">
        <fgColor rgb="FFFFFFFF"/>
        <bgColor rgb="FFF5F8FB"/>
      </patternFill>
    </fill>
    <fill>
      <patternFill patternType="solid">
        <fgColor rgb="FFF5F8FB"/>
        <bgColor rgb="FFFFFFFF"/>
      </patternFill>
    </fill>
    <fill>
      <patternFill patternType="solid">
        <fgColor rgb="FFDCE7F2"/>
        <bgColor rgb="FFEAF0F6"/>
      </patternFill>
    </fill>
    <fill>
      <patternFill patternType="solid">
        <fgColor rgb="FF4E80B0"/>
        <bgColor rgb="FF5FA8C7"/>
      </patternFill>
    </fill>
    <fill>
      <patternFill patternType="solid">
        <fgColor rgb="FF5FA8C7"/>
        <bgColor rgb="FF7FC3C0"/>
      </patternFill>
    </fill>
    <fill>
      <patternFill patternType="solid">
        <fgColor rgb="FF7FC3C0"/>
        <bgColor rgb="FF98C9A3"/>
      </patternFill>
    </fill>
    <fill>
      <patternFill patternType="solid">
        <fgColor rgb="FF98C9A3"/>
        <bgColor rgb="FF7FC3C0"/>
      </patternFill>
    </fill>
    <fill>
      <patternFill patternType="solid">
        <fgColor rgb="FFEAF0F6"/>
        <bgColor rgb="FFE3F2E1"/>
      </patternFill>
    </fill>
    <fill>
      <patternFill patternType="solid">
        <fgColor theme="4" tint="0.79998168889431442"/>
        <bgColor rgb="FFF5F8FB"/>
      </patternFill>
    </fill>
  </fills>
  <borders count="5">
    <border>
      <left/>
      <right/>
      <top/>
      <bottom/>
      <diagonal/>
    </border>
    <border>
      <left style="thin">
        <color rgb="FFD4DCE4"/>
      </left>
      <right/>
      <top style="thin">
        <color rgb="FFD4DCE4"/>
      </top>
      <bottom style="thin">
        <color rgb="FFD4DCE4"/>
      </bottom>
      <diagonal/>
    </border>
    <border>
      <left style="thin">
        <color rgb="FFD4DCE4"/>
      </left>
      <right style="thin">
        <color rgb="FFD4DCE4"/>
      </right>
      <top style="thin">
        <color rgb="FFD4DCE4"/>
      </top>
      <bottom style="thin">
        <color rgb="FFD4DCE4"/>
      </bottom>
      <diagonal/>
    </border>
    <border>
      <left style="thin">
        <color rgb="FFD4DCE4"/>
      </left>
      <right/>
      <top style="thin">
        <color rgb="FFD4DCE4"/>
      </top>
      <bottom/>
      <diagonal/>
    </border>
    <border>
      <left/>
      <right/>
      <top style="thin">
        <color rgb="FFD4DCE4"/>
      </top>
      <bottom style="thin">
        <color rgb="FFD4DCE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5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164" fontId="4" fillId="5" borderId="2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3" fontId="7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/>
    </xf>
    <xf numFmtId="167" fontId="8" fillId="0" borderId="0" xfId="0" applyNumberFormat="1" applyFont="1"/>
    <xf numFmtId="3" fontId="8" fillId="0" borderId="0" xfId="0" applyNumberFormat="1" applyFont="1"/>
    <xf numFmtId="0" fontId="3" fillId="7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166" fontId="7" fillId="6" borderId="2" xfId="0" applyNumberFormat="1" applyFont="1" applyFill="1" applyBorder="1" applyAlignment="1">
      <alignment horizontal="center" vertical="center"/>
    </xf>
    <xf numFmtId="165" fontId="7" fillId="6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left" vertical="center"/>
    </xf>
    <xf numFmtId="3" fontId="7" fillId="11" borderId="2" xfId="0" applyNumberFormat="1" applyFont="1" applyFill="1" applyBorder="1" applyAlignment="1">
      <alignment horizontal="center" vertical="center"/>
    </xf>
    <xf numFmtId="165" fontId="7" fillId="11" borderId="2" xfId="0" applyNumberFormat="1" applyFont="1" applyFill="1" applyBorder="1" applyAlignment="1">
      <alignment horizontal="center" vertical="center"/>
    </xf>
    <xf numFmtId="166" fontId="7" fillId="11" borderId="2" xfId="0" applyNumberFormat="1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b/>
        <color rgb="FFB00020"/>
        <name val="Calibri"/>
        <charset val="1"/>
      </font>
      <fill>
        <patternFill>
          <bgColor rgb="FFFBE3E3"/>
        </patternFill>
      </fill>
    </dxf>
    <dxf>
      <font>
        <b/>
        <color rgb="FF1E7B34"/>
        <name val="Calibri"/>
        <charset val="1"/>
      </font>
      <fill>
        <patternFill>
          <bgColor rgb="FFE3F2E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00020"/>
      <rgbColor rgb="FF1E7B34"/>
      <rgbColor rgb="FF000080"/>
      <rgbColor rgb="FF808000"/>
      <rgbColor rgb="FF800080"/>
      <rgbColor rgb="FF008080"/>
      <rgbColor rgb="FFB0B0B0"/>
      <rgbColor rgb="FF878787"/>
      <rgbColor rgb="FF9999FF"/>
      <rgbColor rgb="FF993366"/>
      <rgbColor rgb="FFF5F8FB"/>
      <rgbColor rgb="FFEAF0F6"/>
      <rgbColor rgb="FF660066"/>
      <rgbColor rgb="FFFF8080"/>
      <rgbColor rgb="FF0066CC"/>
      <rgbColor rgb="FFD4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7F2"/>
      <rgbColor rgb="FFE3F2E1"/>
      <rgbColor rgb="FFD9D9D9"/>
      <rgbColor rgb="FF7FC3C0"/>
      <rgbColor rgb="FFFF99CC"/>
      <rgbColor rgb="FFCC99FF"/>
      <rgbColor rgb="FFFBE3E3"/>
      <rgbColor rgb="FF3366FF"/>
      <rgbColor rgb="FF5FA8C7"/>
      <rgbColor rgb="FF99CC00"/>
      <rgbColor rgb="FFFFCC00"/>
      <rgbColor rgb="FFFF9900"/>
      <rgbColor rgb="FFFF6600"/>
      <rgbColor rgb="FF4E80B0"/>
      <rgbColor rgb="FF98C9A3"/>
      <rgbColor rgb="FF003366"/>
      <rgbColor rgb="FF339966"/>
      <rgbColor rgb="FF003300"/>
      <rgbColor rgb="FF333300"/>
      <rgbColor rgb="FF993300"/>
      <rgbColor rgb="FF993366"/>
      <rgbColor rgb="FF3D5A80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Sales Funnel – Anzahl je Phase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'Funnel-Dashboard'!$P$4</c:f>
              <c:strCache>
                <c:ptCount val="1"/>
                <c:pt idx="0">
                  <c:v>Spacer</c:v>
                </c:pt>
              </c:strCache>
            </c:strRef>
          </c:tx>
          <c:spPr>
            <a:noFill/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'Funnel-Dashboard'!$B$5:$B$9</c:f>
              <c:strCache>
                <c:ptCount val="5"/>
                <c:pt idx="0">
                  <c:v>Besucher</c:v>
                </c:pt>
                <c:pt idx="1">
                  <c:v>Lead</c:v>
                </c:pt>
                <c:pt idx="2">
                  <c:v>MQL</c:v>
                </c:pt>
                <c:pt idx="3">
                  <c:v>SQL</c:v>
                </c:pt>
                <c:pt idx="4">
                  <c:v>Kunde</c:v>
                </c:pt>
              </c:strCache>
            </c:strRef>
          </c:cat>
          <c:val>
            <c:numRef>
              <c:f>'Funnel-Dashboard'!$P$5:$P$9</c:f>
              <c:numCache>
                <c:formatCode>#,##0.0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3.5</c:v>
                </c:pt>
                <c:pt idx="3">
                  <c:v>5.5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5-42BE-858C-F5515FAA5380}"/>
            </c:ext>
          </c:extLst>
        </c:ser>
        <c:ser>
          <c:idx val="1"/>
          <c:order val="1"/>
          <c:tx>
            <c:strRef>
              <c:f>'Funnel-Dashboard'!$Q$4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'Funnel-Dashboard'!$B$5:$B$9</c:f>
              <c:strCache>
                <c:ptCount val="5"/>
                <c:pt idx="0">
                  <c:v>Besucher</c:v>
                </c:pt>
                <c:pt idx="1">
                  <c:v>Lead</c:v>
                </c:pt>
                <c:pt idx="2">
                  <c:v>MQL</c:v>
                </c:pt>
                <c:pt idx="3">
                  <c:v>SQL</c:v>
                </c:pt>
                <c:pt idx="4">
                  <c:v>Kunde</c:v>
                </c:pt>
              </c:strCache>
            </c:strRef>
          </c:cat>
          <c:val>
            <c:numRef>
              <c:f>'Funnel-Dashboard'!$Q$5:$Q$9</c:f>
              <c:numCache>
                <c:formatCode>#,##0</c:formatCode>
                <c:ptCount val="5"/>
                <c:pt idx="0">
                  <c:v>22</c:v>
                </c:pt>
                <c:pt idx="1">
                  <c:v>20</c:v>
                </c:pt>
                <c:pt idx="2">
                  <c:v>15</c:v>
                </c:pt>
                <c:pt idx="3">
                  <c:v>11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5-42BE-858C-F5515FAA5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3819219"/>
        <c:axId val="83902131"/>
      </c:barChart>
      <c:catAx>
        <c:axId val="93819219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83902131"/>
        <c:crosses val="autoZero"/>
        <c:auto val="1"/>
        <c:lblAlgn val="ctr"/>
        <c:lblOffset val="100"/>
        <c:noMultiLvlLbl val="0"/>
      </c:catAx>
      <c:valAx>
        <c:axId val="83902131"/>
        <c:scaling>
          <c:orientation val="maxMin"/>
        </c:scaling>
        <c:delete val="1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" sourceLinked="1"/>
        <c:majorTickMark val="none"/>
        <c:minorTickMark val="none"/>
        <c:tickLblPos val="nextTo"/>
        <c:crossAx val="9381921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47625</xdr:rowOff>
    </xdr:from>
    <xdr:to>
      <xdr:col>9</xdr:col>
      <xdr:colOff>914400</xdr:colOff>
      <xdr:row>37</xdr:row>
      <xdr:rowOff>141945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"/>
  <sheetViews>
    <sheetView showGridLines="0" tabSelected="1" zoomScaleNormal="100" workbookViewId="0">
      <selection activeCell="P8" sqref="P8"/>
    </sheetView>
  </sheetViews>
  <sheetFormatPr baseColWidth="10" defaultColWidth="8.7109375" defaultRowHeight="15" x14ac:dyDescent="0.25"/>
  <cols>
    <col min="1" max="1" width="3" customWidth="1"/>
    <col min="2" max="2" width="14" customWidth="1"/>
    <col min="3" max="3" width="13" customWidth="1"/>
    <col min="4" max="5" width="15" customWidth="1"/>
    <col min="6" max="6" width="16" customWidth="1"/>
    <col min="7" max="7" width="3" customWidth="1"/>
    <col min="8" max="8" width="18" customWidth="1"/>
    <col min="9" max="10" width="14" customWidth="1"/>
    <col min="16" max="17" width="11" customWidth="1"/>
  </cols>
  <sheetData>
    <row r="1" spans="1:17" ht="31.5" customHeight="1" x14ac:dyDescent="0.25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</row>
    <row r="2" spans="1:17" ht="18.75" customHeight="1" x14ac:dyDescent="0.25">
      <c r="A2" s="4" t="s">
        <v>52</v>
      </c>
      <c r="B2" s="4"/>
      <c r="C2" s="4"/>
      <c r="D2" s="4"/>
      <c r="E2" s="4"/>
      <c r="F2" s="4"/>
      <c r="G2" s="4"/>
      <c r="H2" s="4"/>
      <c r="I2" s="4"/>
      <c r="J2" s="4"/>
    </row>
    <row r="4" spans="1:17" ht="24" customHeight="1" x14ac:dyDescent="0.25">
      <c r="B4" s="7" t="s">
        <v>8</v>
      </c>
      <c r="C4" s="6" t="s">
        <v>53</v>
      </c>
      <c r="D4" s="6" t="s">
        <v>54</v>
      </c>
      <c r="E4" s="6" t="s">
        <v>55</v>
      </c>
      <c r="F4" s="6" t="s">
        <v>56</v>
      </c>
      <c r="H4" s="3" t="s">
        <v>57</v>
      </c>
      <c r="I4" s="3"/>
      <c r="J4" s="3"/>
      <c r="P4" s="16" t="s">
        <v>58</v>
      </c>
      <c r="Q4" s="16" t="s">
        <v>53</v>
      </c>
    </row>
    <row r="5" spans="1:17" x14ac:dyDescent="0.25">
      <c r="B5" s="17" t="s">
        <v>37</v>
      </c>
      <c r="C5" s="18">
        <f>COUNTIF(Leads!$G$5:$G$34,"Besucher")+COUNTIF(Leads!$G$5:$G$34,"Lead")+COUNTIF(Leads!$G$5:$G$34,"MQL")+COUNTIF(Leads!$G$5:$G$34,"SQL")+COUNTIF(Leads!$G$5:$G$34,"Kunde")</f>
        <v>22</v>
      </c>
      <c r="D5" s="19">
        <f>IFERROR(C5/$C$5,0)</f>
        <v>1</v>
      </c>
      <c r="E5" s="20" t="s">
        <v>59</v>
      </c>
      <c r="F5" s="21">
        <f>IFERROR(AVERAGEIF(Leads!$G$5:$G$34,"Besucher",Leads!$F$5:$F$34),0)</f>
        <v>650</v>
      </c>
      <c r="H5" s="2" t="s">
        <v>60</v>
      </c>
      <c r="I5" s="2"/>
      <c r="J5" s="22">
        <f>COUNTA(Leads!$B$5:$B$34)</f>
        <v>22</v>
      </c>
      <c r="P5" s="23">
        <f>($C$5-C5)/2</f>
        <v>0</v>
      </c>
      <c r="Q5" s="24">
        <f>C5</f>
        <v>22</v>
      </c>
    </row>
    <row r="6" spans="1:17" x14ac:dyDescent="0.25">
      <c r="B6" s="25" t="s">
        <v>24</v>
      </c>
      <c r="C6" s="18">
        <f>COUNTIF(Leads!$G$5:$G$34,"Lead")+COUNTIF(Leads!$G$5:$G$34,"MQL")+COUNTIF(Leads!$G$5:$G$34,"SQL")+COUNTIF(Leads!$G$5:$G$34,"Kunde")</f>
        <v>20</v>
      </c>
      <c r="D6" s="19">
        <f>IFERROR(C6/$C$5,0)</f>
        <v>0.90909090909090906</v>
      </c>
      <c r="E6" s="19">
        <f>IFERROR(C6/C5,0)</f>
        <v>0.90909090909090906</v>
      </c>
      <c r="F6" s="21">
        <f>IFERROR(AVERAGEIF(Leads!$G$5:$G$34,"Lead",Leads!$F$5:$F$34),0)</f>
        <v>654</v>
      </c>
      <c r="H6" s="1" t="s">
        <v>15</v>
      </c>
      <c r="I6" s="1"/>
      <c r="J6" s="22">
        <f>COUNTIF(Leads!$H$5:$H$34,"Gewonnen")</f>
        <v>6</v>
      </c>
      <c r="P6" s="23">
        <f>($C$5-C6)/2</f>
        <v>1</v>
      </c>
      <c r="Q6" s="24">
        <f>C6</f>
        <v>20</v>
      </c>
    </row>
    <row r="7" spans="1:17" x14ac:dyDescent="0.25">
      <c r="B7" s="26" t="s">
        <v>32</v>
      </c>
      <c r="C7" s="18">
        <f>COUNTIF(Leads!$G$5:$G$34,"MQL")+COUNTIF(Leads!$G$5:$G$34,"SQL")+COUNTIF(Leads!$G$5:$G$34,"Kunde")</f>
        <v>15</v>
      </c>
      <c r="D7" s="19">
        <f>IFERROR(C7/$C$5,0)</f>
        <v>0.68181818181818177</v>
      </c>
      <c r="E7" s="19">
        <f>IFERROR(C7/C6,0)</f>
        <v>0.75</v>
      </c>
      <c r="F7" s="21">
        <f>IFERROR(AVERAGEIF(Leads!$G$5:$G$34,"MQL",Leads!$F$5:$F$34),0)</f>
        <v>1487.5</v>
      </c>
      <c r="H7" s="2" t="s">
        <v>25</v>
      </c>
      <c r="I7" s="2"/>
      <c r="J7" s="22">
        <f>COUNTIF(Leads!$H$5:$H$34,"Verloren")</f>
        <v>4</v>
      </c>
      <c r="P7" s="23">
        <f>($C$5-C7)/2</f>
        <v>3.5</v>
      </c>
      <c r="Q7" s="24">
        <f>C7</f>
        <v>15</v>
      </c>
    </row>
    <row r="8" spans="1:17" x14ac:dyDescent="0.25">
      <c r="B8" s="27" t="s">
        <v>19</v>
      </c>
      <c r="C8" s="18">
        <f>COUNTIF(Leads!$G$5:$G$34,"SQL")+COUNTIF(Leads!$G$5:$G$34,"Kunde")</f>
        <v>11</v>
      </c>
      <c r="D8" s="19">
        <f>IFERROR(C8/$C$5,0)</f>
        <v>0.5</v>
      </c>
      <c r="E8" s="19">
        <f>IFERROR(C8/C7,0)</f>
        <v>0.73333333333333328</v>
      </c>
      <c r="F8" s="21">
        <f>IFERROR(AVERAGEIF(Leads!$G$5:$G$34,"SQL",Leads!$F$5:$F$34),0)</f>
        <v>2750</v>
      </c>
      <c r="H8" s="1" t="s">
        <v>61</v>
      </c>
      <c r="I8" s="1"/>
      <c r="J8" s="22">
        <f>COUNTIF(Leads!$H$5:$H$34,"Aktiv")</f>
        <v>12</v>
      </c>
      <c r="P8" s="23">
        <f>($C$5-C8)/2</f>
        <v>5.5</v>
      </c>
      <c r="Q8" s="24">
        <f>C8</f>
        <v>11</v>
      </c>
    </row>
    <row r="9" spans="1:17" x14ac:dyDescent="0.25">
      <c r="B9" s="28" t="s">
        <v>14</v>
      </c>
      <c r="C9" s="18">
        <f>COUNTIF(Leads!$G$5:$G$34,"Kunde")</f>
        <v>6</v>
      </c>
      <c r="D9" s="19">
        <f>IFERROR(C9/$C$5,0)</f>
        <v>0.27272727272727271</v>
      </c>
      <c r="E9" s="19">
        <f>IFERROR(C9/C8,0)</f>
        <v>0.54545454545454541</v>
      </c>
      <c r="F9" s="21">
        <f>IFERROR(AVERAGEIF(Leads!$G$5:$G$34,"Kunde",Leads!$F$5:$F$34),0)</f>
        <v>5200</v>
      </c>
      <c r="H9" s="2" t="s">
        <v>62</v>
      </c>
      <c r="I9" s="2"/>
      <c r="J9" s="29">
        <f>IFERROR(COUNTIF(Leads!$H$5:$H$34,"Gewonnen")/COUNTA(Leads!$B$5:$B$34),0)</f>
        <v>0.27272727272727271</v>
      </c>
      <c r="P9" s="23">
        <f>($C$5-C9)/2</f>
        <v>8</v>
      </c>
      <c r="Q9" s="24">
        <f>C9</f>
        <v>6</v>
      </c>
    </row>
    <row r="10" spans="1:17" x14ac:dyDescent="0.25">
      <c r="H10" s="1" t="s">
        <v>63</v>
      </c>
      <c r="I10" s="1"/>
      <c r="J10" s="30">
        <f>SUMIF(Leads!$H$5:$H$34,"Gewonnen",Leads!$F$5:$F$34)</f>
        <v>31200</v>
      </c>
    </row>
    <row r="11" spans="1:17" x14ac:dyDescent="0.25">
      <c r="H11" s="2" t="s">
        <v>64</v>
      </c>
      <c r="I11" s="2"/>
      <c r="J11" s="30">
        <f>SUMIF(Leads!$H$5:$H$34,"Aktiv",Leads!$F$5:$F$34)</f>
        <v>20110</v>
      </c>
    </row>
    <row r="12" spans="1:17" x14ac:dyDescent="0.25">
      <c r="B12" s="3" t="s">
        <v>65</v>
      </c>
      <c r="C12" s="3"/>
      <c r="D12" s="3"/>
      <c r="E12" s="3"/>
      <c r="F12" s="3"/>
      <c r="H12" s="1" t="s">
        <v>66</v>
      </c>
      <c r="I12" s="1"/>
      <c r="J12" s="30">
        <f>IFERROR(AVERAGE(Leads!$F$5:$F$34),0)</f>
        <v>2521.3636363636365</v>
      </c>
    </row>
    <row r="13" spans="1:17" x14ac:dyDescent="0.25">
      <c r="B13" s="7" t="s">
        <v>4</v>
      </c>
      <c r="C13" s="6" t="s">
        <v>67</v>
      </c>
      <c r="D13" s="6" t="s">
        <v>15</v>
      </c>
      <c r="E13" s="6" t="s">
        <v>68</v>
      </c>
      <c r="F13" s="6" t="s">
        <v>69</v>
      </c>
    </row>
    <row r="14" spans="1:17" x14ac:dyDescent="0.25">
      <c r="B14" s="9" t="s">
        <v>12</v>
      </c>
      <c r="C14" s="31">
        <f>COUNTIF(Leads!$C$5:$C$34,"Website")</f>
        <v>5</v>
      </c>
      <c r="D14" s="31">
        <f>COUNTIFS(Leads!$C$5:$C$34,"Website",Leads!$H$5:$H$34,"Gewonnen")</f>
        <v>1</v>
      </c>
      <c r="E14" s="11">
        <f>SUMIFS(Leads!$F$5:$F$34,Leads!$C$5:$C$34,"Website",Leads!$H$5:$H$34,"Gewonnen")</f>
        <v>1800</v>
      </c>
      <c r="F14" s="32">
        <f t="shared" ref="F14:F20" si="0">IFERROR(D14/C14,0)</f>
        <v>0.2</v>
      </c>
      <c r="H14" s="40" t="s">
        <v>71</v>
      </c>
      <c r="I14" s="41"/>
      <c r="J14" s="41"/>
    </row>
    <row r="15" spans="1:17" x14ac:dyDescent="0.25">
      <c r="B15" s="13" t="s">
        <v>17</v>
      </c>
      <c r="C15" s="33">
        <f>COUNTIF(Leads!$C$5:$C$34,"Google Ads")</f>
        <v>4</v>
      </c>
      <c r="D15" s="33">
        <f>COUNTIFS(Leads!$C$5:$C$34,"Google Ads",Leads!$H$5:$H$34,"Gewonnen")</f>
        <v>0</v>
      </c>
      <c r="E15" s="15">
        <f>SUMIFS(Leads!$F$5:$F$34,Leads!$C$5:$C$34,"Google Ads",Leads!$H$5:$H$34,"Gewonnen")</f>
        <v>0</v>
      </c>
      <c r="F15" s="34">
        <f t="shared" si="0"/>
        <v>0</v>
      </c>
      <c r="H15" s="39" t="s">
        <v>72</v>
      </c>
      <c r="I15" s="39"/>
      <c r="J15" s="39"/>
    </row>
    <row r="16" spans="1:17" x14ac:dyDescent="0.25">
      <c r="B16" s="9" t="s">
        <v>22</v>
      </c>
      <c r="C16" s="31">
        <f>COUNTIF(Leads!$C$5:$C$34,"Social Media")</f>
        <v>3</v>
      </c>
      <c r="D16" s="31">
        <f>COUNTIFS(Leads!$C$5:$C$34,"Social Media",Leads!$H$5:$H$34,"Gewonnen")</f>
        <v>0</v>
      </c>
      <c r="E16" s="11">
        <f>SUMIFS(Leads!$F$5:$F$34,Leads!$C$5:$C$34,"Social Media",Leads!$H$5:$H$34,"Gewonnen")</f>
        <v>0</v>
      </c>
      <c r="F16" s="32">
        <f t="shared" si="0"/>
        <v>0</v>
      </c>
      <c r="H16" s="39"/>
      <c r="I16" s="39"/>
      <c r="J16" s="39"/>
    </row>
    <row r="17" spans="2:10" x14ac:dyDescent="0.25">
      <c r="B17" s="13" t="s">
        <v>30</v>
      </c>
      <c r="C17" s="33">
        <f>COUNTIF(Leads!$C$5:$C$34,"Newsletter")</f>
        <v>3</v>
      </c>
      <c r="D17" s="33">
        <f>COUNTIFS(Leads!$C$5:$C$34,"Newsletter",Leads!$H$5:$H$34,"Gewonnen")</f>
        <v>0</v>
      </c>
      <c r="E17" s="15">
        <f>SUMIFS(Leads!$F$5:$F$34,Leads!$C$5:$C$34,"Newsletter",Leads!$H$5:$H$34,"Gewonnen")</f>
        <v>0</v>
      </c>
      <c r="F17" s="34">
        <f t="shared" si="0"/>
        <v>0</v>
      </c>
      <c r="H17" s="39"/>
      <c r="I17" s="39"/>
      <c r="J17" s="39"/>
    </row>
    <row r="18" spans="2:10" x14ac:dyDescent="0.25">
      <c r="B18" s="9" t="s">
        <v>27</v>
      </c>
      <c r="C18" s="31">
        <f>COUNTIF(Leads!$C$5:$C$34,"Empfehlung")</f>
        <v>4</v>
      </c>
      <c r="D18" s="31">
        <f>COUNTIFS(Leads!$C$5:$C$34,"Empfehlung",Leads!$H$5:$H$34,"Gewonnen")</f>
        <v>4</v>
      </c>
      <c r="E18" s="11">
        <f>SUMIFS(Leads!$F$5:$F$34,Leads!$C$5:$C$34,"Empfehlung",Leads!$H$5:$H$34,"Gewonnen")</f>
        <v>25000</v>
      </c>
      <c r="F18" s="32">
        <f t="shared" si="0"/>
        <v>1</v>
      </c>
      <c r="H18" s="39"/>
      <c r="I18" s="39"/>
      <c r="J18" s="39"/>
    </row>
    <row r="19" spans="2:10" x14ac:dyDescent="0.25">
      <c r="B19" s="13" t="s">
        <v>35</v>
      </c>
      <c r="C19" s="33">
        <f>COUNTIF(Leads!$C$5:$C$34,"Messe")</f>
        <v>3</v>
      </c>
      <c r="D19" s="33">
        <f>COUNTIFS(Leads!$C$5:$C$34,"Messe",Leads!$H$5:$H$34,"Gewonnen")</f>
        <v>1</v>
      </c>
      <c r="E19" s="15">
        <f>SUMIFS(Leads!$F$5:$F$34,Leads!$C$5:$C$34,"Messe",Leads!$H$5:$H$34,"Gewonnen")</f>
        <v>4400</v>
      </c>
      <c r="F19" s="34">
        <f t="shared" si="0"/>
        <v>0.33333333333333331</v>
      </c>
      <c r="H19" s="39"/>
      <c r="I19" s="39"/>
      <c r="J19" s="39"/>
    </row>
    <row r="20" spans="2:10" x14ac:dyDescent="0.25">
      <c r="B20" s="35" t="s">
        <v>70</v>
      </c>
      <c r="C20" s="36">
        <f>SUM(C14:C19)</f>
        <v>22</v>
      </c>
      <c r="D20" s="36">
        <f>SUM(D14:D19)</f>
        <v>6</v>
      </c>
      <c r="E20" s="37">
        <f>SUM(E14:E19)</f>
        <v>31200</v>
      </c>
      <c r="F20" s="38">
        <f t="shared" si="0"/>
        <v>0.27272727272727271</v>
      </c>
      <c r="H20" s="39"/>
      <c r="I20" s="39"/>
      <c r="J20" s="39"/>
    </row>
    <row r="21" spans="2:10" x14ac:dyDescent="0.25">
      <c r="H21" s="39"/>
      <c r="I21" s="39"/>
      <c r="J21" s="39"/>
    </row>
    <row r="22" spans="2:10" x14ac:dyDescent="0.25">
      <c r="H22" s="39"/>
      <c r="I22" s="39"/>
      <c r="J22" s="39"/>
    </row>
    <row r="23" spans="2:10" ht="15" customHeight="1" x14ac:dyDescent="0.25"/>
  </sheetData>
  <mergeCells count="14">
    <mergeCell ref="B12:F12"/>
    <mergeCell ref="H12:I12"/>
    <mergeCell ref="H15:J22"/>
    <mergeCell ref="H14:J14"/>
    <mergeCell ref="H7:I7"/>
    <mergeCell ref="H8:I8"/>
    <mergeCell ref="H9:I9"/>
    <mergeCell ref="H10:I10"/>
    <mergeCell ref="H11:I11"/>
    <mergeCell ref="A1:J1"/>
    <mergeCell ref="A2:J2"/>
    <mergeCell ref="H4:J4"/>
    <mergeCell ref="H5:I5"/>
    <mergeCell ref="H6:I6"/>
  </mergeCells>
  <conditionalFormatting sqref="E6:E9">
    <cfRule type="colorScale" priority="2">
      <colorScale>
        <cfvo type="num" val="0"/>
        <cfvo type="num" val="0.5"/>
        <cfvo type="num" val="1"/>
        <color rgb="FFFBE3E3"/>
        <color rgb="FFFFF3C4"/>
        <color rgb="FFE3F2E1"/>
      </colorScale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zoomScaleNormal="100" workbookViewId="0">
      <pane ySplit="4" topLeftCell="A5" activePane="bottomLeft" state="frozen"/>
      <selection pane="bottomLeft" sqref="A1:I1"/>
    </sheetView>
  </sheetViews>
  <sheetFormatPr baseColWidth="10" defaultColWidth="8.7109375" defaultRowHeight="15" x14ac:dyDescent="0.25"/>
  <cols>
    <col min="1" max="1" width="5" customWidth="1"/>
    <col min="2" max="3" width="20" customWidth="1"/>
    <col min="4" max="4" width="17" customWidth="1"/>
    <col min="5" max="6" width="13" customWidth="1"/>
    <col min="7" max="8" width="12" customWidth="1"/>
    <col min="9" max="9" width="18" customWidth="1"/>
  </cols>
  <sheetData>
    <row r="1" spans="1:9" ht="31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18.7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25.5" customHeight="1" x14ac:dyDescent="0.25">
      <c r="A4" s="6" t="s">
        <v>2</v>
      </c>
      <c r="B4" s="7" t="s">
        <v>3</v>
      </c>
      <c r="C4" s="7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</row>
    <row r="5" spans="1:9" x14ac:dyDescent="0.25">
      <c r="A5" s="8">
        <v>1</v>
      </c>
      <c r="B5" s="9" t="s">
        <v>11</v>
      </c>
      <c r="C5" s="9" t="s">
        <v>12</v>
      </c>
      <c r="D5" s="9" t="s">
        <v>13</v>
      </c>
      <c r="E5" s="10">
        <v>46030</v>
      </c>
      <c r="F5" s="11">
        <v>1800</v>
      </c>
      <c r="G5" s="8" t="s">
        <v>14</v>
      </c>
      <c r="H5" s="8" t="s">
        <v>15</v>
      </c>
      <c r="I5" s="10">
        <v>46055</v>
      </c>
    </row>
    <row r="6" spans="1:9" x14ac:dyDescent="0.25">
      <c r="A6" s="12">
        <v>2</v>
      </c>
      <c r="B6" s="13" t="s">
        <v>16</v>
      </c>
      <c r="C6" s="13" t="s">
        <v>17</v>
      </c>
      <c r="D6" s="13" t="s">
        <v>18</v>
      </c>
      <c r="E6" s="14">
        <v>46031</v>
      </c>
      <c r="F6" s="15">
        <v>2400</v>
      </c>
      <c r="G6" s="12" t="s">
        <v>19</v>
      </c>
      <c r="H6" s="12" t="s">
        <v>20</v>
      </c>
      <c r="I6" s="14">
        <v>46063</v>
      </c>
    </row>
    <row r="7" spans="1:9" x14ac:dyDescent="0.25">
      <c r="A7" s="8">
        <v>3</v>
      </c>
      <c r="B7" s="9" t="s">
        <v>21</v>
      </c>
      <c r="C7" s="9" t="s">
        <v>22</v>
      </c>
      <c r="D7" s="9" t="s">
        <v>23</v>
      </c>
      <c r="E7" s="10">
        <v>46033</v>
      </c>
      <c r="F7" s="11">
        <v>950</v>
      </c>
      <c r="G7" s="8" t="s">
        <v>24</v>
      </c>
      <c r="H7" s="8" t="s">
        <v>25</v>
      </c>
      <c r="I7" s="10">
        <v>46042</v>
      </c>
    </row>
    <row r="8" spans="1:9" x14ac:dyDescent="0.25">
      <c r="A8" s="12">
        <v>4</v>
      </c>
      <c r="B8" s="13" t="s">
        <v>26</v>
      </c>
      <c r="C8" s="13" t="s">
        <v>27</v>
      </c>
      <c r="D8" s="13" t="s">
        <v>28</v>
      </c>
      <c r="E8" s="14">
        <v>46034</v>
      </c>
      <c r="F8" s="15">
        <v>5200</v>
      </c>
      <c r="G8" s="12" t="s">
        <v>14</v>
      </c>
      <c r="H8" s="12" t="s">
        <v>15</v>
      </c>
      <c r="I8" s="14">
        <v>46058</v>
      </c>
    </row>
    <row r="9" spans="1:9" x14ac:dyDescent="0.25">
      <c r="A9" s="8">
        <v>5</v>
      </c>
      <c r="B9" s="9" t="s">
        <v>29</v>
      </c>
      <c r="C9" s="9" t="s">
        <v>30</v>
      </c>
      <c r="D9" s="9" t="s">
        <v>31</v>
      </c>
      <c r="E9" s="10">
        <v>46035</v>
      </c>
      <c r="F9" s="11">
        <v>1300</v>
      </c>
      <c r="G9" s="8" t="s">
        <v>32</v>
      </c>
      <c r="H9" s="8" t="s">
        <v>20</v>
      </c>
      <c r="I9" s="10">
        <v>46061</v>
      </c>
    </row>
    <row r="10" spans="1:9" x14ac:dyDescent="0.25">
      <c r="A10" s="12">
        <v>6</v>
      </c>
      <c r="B10" s="13" t="s">
        <v>33</v>
      </c>
      <c r="C10" s="13" t="s">
        <v>12</v>
      </c>
      <c r="D10" s="13" t="s">
        <v>13</v>
      </c>
      <c r="E10" s="14">
        <v>46037</v>
      </c>
      <c r="F10" s="15">
        <v>600</v>
      </c>
      <c r="G10" s="12" t="s">
        <v>24</v>
      </c>
      <c r="H10" s="12" t="s">
        <v>20</v>
      </c>
      <c r="I10" s="14">
        <v>46050</v>
      </c>
    </row>
    <row r="11" spans="1:9" x14ac:dyDescent="0.25">
      <c r="A11" s="8">
        <v>7</v>
      </c>
      <c r="B11" s="9" t="s">
        <v>34</v>
      </c>
      <c r="C11" s="9" t="s">
        <v>35</v>
      </c>
      <c r="D11" s="9" t="s">
        <v>23</v>
      </c>
      <c r="E11" s="10">
        <v>46038</v>
      </c>
      <c r="F11" s="11">
        <v>3100</v>
      </c>
      <c r="G11" s="8" t="s">
        <v>19</v>
      </c>
      <c r="H11" s="8" t="s">
        <v>20</v>
      </c>
      <c r="I11" s="10">
        <v>46064</v>
      </c>
    </row>
    <row r="12" spans="1:9" x14ac:dyDescent="0.25">
      <c r="A12" s="12">
        <v>8</v>
      </c>
      <c r="B12" s="13" t="s">
        <v>36</v>
      </c>
      <c r="C12" s="13" t="s">
        <v>17</v>
      </c>
      <c r="D12" s="13" t="s">
        <v>18</v>
      </c>
      <c r="E12" s="14">
        <v>46040</v>
      </c>
      <c r="F12" s="15">
        <v>780</v>
      </c>
      <c r="G12" s="12" t="s">
        <v>37</v>
      </c>
      <c r="H12" s="12" t="s">
        <v>25</v>
      </c>
      <c r="I12" s="14">
        <v>46041</v>
      </c>
    </row>
    <row r="13" spans="1:9" x14ac:dyDescent="0.25">
      <c r="A13" s="8">
        <v>9</v>
      </c>
      <c r="B13" s="9" t="s">
        <v>38</v>
      </c>
      <c r="C13" s="9" t="s">
        <v>27</v>
      </c>
      <c r="D13" s="9" t="s">
        <v>28</v>
      </c>
      <c r="E13" s="10">
        <v>46041</v>
      </c>
      <c r="F13" s="11">
        <v>6800</v>
      </c>
      <c r="G13" s="8" t="s">
        <v>14</v>
      </c>
      <c r="H13" s="8" t="s">
        <v>15</v>
      </c>
      <c r="I13" s="10">
        <v>46067</v>
      </c>
    </row>
    <row r="14" spans="1:9" x14ac:dyDescent="0.25">
      <c r="A14" s="12">
        <v>10</v>
      </c>
      <c r="B14" s="13" t="s">
        <v>39</v>
      </c>
      <c r="C14" s="13" t="s">
        <v>22</v>
      </c>
      <c r="D14" s="13" t="s">
        <v>31</v>
      </c>
      <c r="E14" s="14">
        <v>46043</v>
      </c>
      <c r="F14" s="15">
        <v>450</v>
      </c>
      <c r="G14" s="12" t="s">
        <v>24</v>
      </c>
      <c r="H14" s="12" t="s">
        <v>20</v>
      </c>
      <c r="I14" s="14">
        <v>46054</v>
      </c>
    </row>
    <row r="15" spans="1:9" x14ac:dyDescent="0.25">
      <c r="A15" s="8">
        <v>11</v>
      </c>
      <c r="B15" s="9" t="s">
        <v>40</v>
      </c>
      <c r="C15" s="9" t="s">
        <v>12</v>
      </c>
      <c r="D15" s="9" t="s">
        <v>13</v>
      </c>
      <c r="E15" s="10">
        <v>46044</v>
      </c>
      <c r="F15" s="11">
        <v>1100</v>
      </c>
      <c r="G15" s="8" t="s">
        <v>32</v>
      </c>
      <c r="H15" s="8" t="s">
        <v>20</v>
      </c>
      <c r="I15" s="10">
        <v>46062</v>
      </c>
    </row>
    <row r="16" spans="1:9" x14ac:dyDescent="0.25">
      <c r="A16" s="12">
        <v>12</v>
      </c>
      <c r="B16" s="13" t="s">
        <v>41</v>
      </c>
      <c r="C16" s="13" t="s">
        <v>30</v>
      </c>
      <c r="D16" s="13" t="s">
        <v>31</v>
      </c>
      <c r="E16" s="14">
        <v>46045</v>
      </c>
      <c r="F16" s="15">
        <v>2050</v>
      </c>
      <c r="G16" s="12" t="s">
        <v>19</v>
      </c>
      <c r="H16" s="12" t="s">
        <v>25</v>
      </c>
      <c r="I16" s="14">
        <v>46056</v>
      </c>
    </row>
    <row r="17" spans="1:9" x14ac:dyDescent="0.25">
      <c r="A17" s="8">
        <v>13</v>
      </c>
      <c r="B17" s="9" t="s">
        <v>42</v>
      </c>
      <c r="C17" s="9" t="s">
        <v>35</v>
      </c>
      <c r="D17" s="9" t="s">
        <v>23</v>
      </c>
      <c r="E17" s="10">
        <v>46047</v>
      </c>
      <c r="F17" s="11">
        <v>4400</v>
      </c>
      <c r="G17" s="8" t="s">
        <v>14</v>
      </c>
      <c r="H17" s="8" t="s">
        <v>15</v>
      </c>
      <c r="I17" s="10">
        <v>46065</v>
      </c>
    </row>
    <row r="18" spans="1:9" x14ac:dyDescent="0.25">
      <c r="A18" s="12">
        <v>14</v>
      </c>
      <c r="B18" s="13" t="s">
        <v>43</v>
      </c>
      <c r="C18" s="13" t="s">
        <v>17</v>
      </c>
      <c r="D18" s="13" t="s">
        <v>18</v>
      </c>
      <c r="E18" s="14">
        <v>46048</v>
      </c>
      <c r="F18" s="15">
        <v>1950</v>
      </c>
      <c r="G18" s="12" t="s">
        <v>32</v>
      </c>
      <c r="H18" s="12" t="s">
        <v>20</v>
      </c>
      <c r="I18" s="14">
        <v>46066</v>
      </c>
    </row>
    <row r="19" spans="1:9" x14ac:dyDescent="0.25">
      <c r="A19" s="8">
        <v>15</v>
      </c>
      <c r="B19" s="9" t="s">
        <v>44</v>
      </c>
      <c r="C19" s="9" t="s">
        <v>12</v>
      </c>
      <c r="D19" s="9" t="s">
        <v>28</v>
      </c>
      <c r="E19" s="10">
        <v>46050</v>
      </c>
      <c r="F19" s="11">
        <v>2700</v>
      </c>
      <c r="G19" s="8" t="s">
        <v>19</v>
      </c>
      <c r="H19" s="8" t="s">
        <v>20</v>
      </c>
      <c r="I19" s="10">
        <v>46068</v>
      </c>
    </row>
    <row r="20" spans="1:9" x14ac:dyDescent="0.25">
      <c r="A20" s="12">
        <v>16</v>
      </c>
      <c r="B20" s="13" t="s">
        <v>45</v>
      </c>
      <c r="C20" s="13" t="s">
        <v>22</v>
      </c>
      <c r="D20" s="13" t="s">
        <v>13</v>
      </c>
      <c r="E20" s="14">
        <v>46051</v>
      </c>
      <c r="F20" s="15">
        <v>520</v>
      </c>
      <c r="G20" s="12" t="s">
        <v>37</v>
      </c>
      <c r="H20" s="12" t="s">
        <v>20</v>
      </c>
      <c r="I20" s="14">
        <v>46052</v>
      </c>
    </row>
    <row r="21" spans="1:9" x14ac:dyDescent="0.25">
      <c r="A21" s="8">
        <v>17</v>
      </c>
      <c r="B21" s="9" t="s">
        <v>46</v>
      </c>
      <c r="C21" s="9" t="s">
        <v>27</v>
      </c>
      <c r="D21" s="9" t="s">
        <v>23</v>
      </c>
      <c r="E21" s="10">
        <v>46052</v>
      </c>
      <c r="F21" s="11">
        <v>8900</v>
      </c>
      <c r="G21" s="8" t="s">
        <v>14</v>
      </c>
      <c r="H21" s="8" t="s">
        <v>15</v>
      </c>
      <c r="I21" s="10">
        <v>46069</v>
      </c>
    </row>
    <row r="22" spans="1:9" x14ac:dyDescent="0.25">
      <c r="A22" s="12">
        <v>18</v>
      </c>
      <c r="B22" s="13" t="s">
        <v>47</v>
      </c>
      <c r="C22" s="13" t="s">
        <v>30</v>
      </c>
      <c r="D22" s="13" t="s">
        <v>31</v>
      </c>
      <c r="E22" s="14">
        <v>46055</v>
      </c>
      <c r="F22" s="15">
        <v>380</v>
      </c>
      <c r="G22" s="12" t="s">
        <v>24</v>
      </c>
      <c r="H22" s="12" t="s">
        <v>25</v>
      </c>
      <c r="I22" s="14">
        <v>46059</v>
      </c>
    </row>
    <row r="23" spans="1:9" x14ac:dyDescent="0.25">
      <c r="A23" s="8">
        <v>19</v>
      </c>
      <c r="B23" s="9" t="s">
        <v>48</v>
      </c>
      <c r="C23" s="9" t="s">
        <v>12</v>
      </c>
      <c r="D23" s="9" t="s">
        <v>13</v>
      </c>
      <c r="E23" s="10">
        <v>46056</v>
      </c>
      <c r="F23" s="11">
        <v>1600</v>
      </c>
      <c r="G23" s="8" t="s">
        <v>32</v>
      </c>
      <c r="H23" s="8" t="s">
        <v>20</v>
      </c>
      <c r="I23" s="10">
        <v>46070</v>
      </c>
    </row>
    <row r="24" spans="1:9" x14ac:dyDescent="0.25">
      <c r="A24" s="12">
        <v>20</v>
      </c>
      <c r="B24" s="13" t="s">
        <v>49</v>
      </c>
      <c r="C24" s="13" t="s">
        <v>35</v>
      </c>
      <c r="D24" s="13" t="s">
        <v>23</v>
      </c>
      <c r="E24" s="14">
        <v>46057</v>
      </c>
      <c r="F24" s="15">
        <v>3500</v>
      </c>
      <c r="G24" s="12" t="s">
        <v>19</v>
      </c>
      <c r="H24" s="12" t="s">
        <v>20</v>
      </c>
      <c r="I24" s="14">
        <v>46071</v>
      </c>
    </row>
    <row r="25" spans="1:9" x14ac:dyDescent="0.25">
      <c r="A25" s="8">
        <v>21</v>
      </c>
      <c r="B25" s="9" t="s">
        <v>50</v>
      </c>
      <c r="C25" s="9" t="s">
        <v>17</v>
      </c>
      <c r="D25" s="9" t="s">
        <v>18</v>
      </c>
      <c r="E25" s="10">
        <v>46058</v>
      </c>
      <c r="F25" s="11">
        <v>890</v>
      </c>
      <c r="G25" s="8" t="s">
        <v>24</v>
      </c>
      <c r="H25" s="8" t="s">
        <v>20</v>
      </c>
      <c r="I25" s="10">
        <v>46063</v>
      </c>
    </row>
    <row r="26" spans="1:9" x14ac:dyDescent="0.25">
      <c r="A26" s="12">
        <v>22</v>
      </c>
      <c r="B26" s="13" t="s">
        <v>51</v>
      </c>
      <c r="C26" s="13" t="s">
        <v>27</v>
      </c>
      <c r="D26" s="13" t="s">
        <v>28</v>
      </c>
      <c r="E26" s="14">
        <v>46059</v>
      </c>
      <c r="F26" s="15">
        <v>4100</v>
      </c>
      <c r="G26" s="12" t="s">
        <v>14</v>
      </c>
      <c r="H26" s="12" t="s">
        <v>15</v>
      </c>
      <c r="I26" s="14">
        <v>46072</v>
      </c>
    </row>
    <row r="27" spans="1:9" x14ac:dyDescent="0.25">
      <c r="A27" s="8" t="str">
        <f t="shared" ref="A27:A34" si="0">IF(B27="","",ROW()-4)</f>
        <v/>
      </c>
      <c r="B27" s="9"/>
      <c r="C27" s="9"/>
      <c r="D27" s="9"/>
      <c r="E27" s="10"/>
      <c r="F27" s="11"/>
      <c r="G27" s="8"/>
      <c r="H27" s="8"/>
      <c r="I27" s="10"/>
    </row>
    <row r="28" spans="1:9" x14ac:dyDescent="0.25">
      <c r="A28" s="12" t="str">
        <f t="shared" si="0"/>
        <v/>
      </c>
      <c r="B28" s="13"/>
      <c r="C28" s="13"/>
      <c r="D28" s="13"/>
      <c r="E28" s="14"/>
      <c r="F28" s="15"/>
      <c r="G28" s="12"/>
      <c r="H28" s="12"/>
      <c r="I28" s="14"/>
    </row>
    <row r="29" spans="1:9" x14ac:dyDescent="0.25">
      <c r="A29" s="8" t="str">
        <f t="shared" si="0"/>
        <v/>
      </c>
      <c r="B29" s="9"/>
      <c r="C29" s="9"/>
      <c r="D29" s="9"/>
      <c r="E29" s="10"/>
      <c r="F29" s="11"/>
      <c r="G29" s="8"/>
      <c r="H29" s="8"/>
      <c r="I29" s="10"/>
    </row>
    <row r="30" spans="1:9" x14ac:dyDescent="0.25">
      <c r="A30" s="12" t="str">
        <f t="shared" si="0"/>
        <v/>
      </c>
      <c r="B30" s="13"/>
      <c r="C30" s="13"/>
      <c r="D30" s="13"/>
      <c r="E30" s="14"/>
      <c r="F30" s="15"/>
      <c r="G30" s="12"/>
      <c r="H30" s="12"/>
      <c r="I30" s="14"/>
    </row>
    <row r="31" spans="1:9" x14ac:dyDescent="0.25">
      <c r="A31" s="8" t="str">
        <f t="shared" si="0"/>
        <v/>
      </c>
      <c r="B31" s="9"/>
      <c r="C31" s="9"/>
      <c r="D31" s="9"/>
      <c r="E31" s="10"/>
      <c r="F31" s="11"/>
      <c r="G31" s="8"/>
      <c r="H31" s="8"/>
      <c r="I31" s="10"/>
    </row>
    <row r="32" spans="1:9" x14ac:dyDescent="0.25">
      <c r="A32" s="12" t="str">
        <f t="shared" si="0"/>
        <v/>
      </c>
      <c r="B32" s="13"/>
      <c r="C32" s="13"/>
      <c r="D32" s="13"/>
      <c r="E32" s="14"/>
      <c r="F32" s="15"/>
      <c r="G32" s="12"/>
      <c r="H32" s="12"/>
      <c r="I32" s="14"/>
    </row>
    <row r="33" spans="1:9" x14ac:dyDescent="0.25">
      <c r="A33" s="8" t="str">
        <f t="shared" si="0"/>
        <v/>
      </c>
      <c r="B33" s="9"/>
      <c r="C33" s="9"/>
      <c r="D33" s="9"/>
      <c r="E33" s="10"/>
      <c r="F33" s="11"/>
      <c r="G33" s="8"/>
      <c r="H33" s="8"/>
      <c r="I33" s="10"/>
    </row>
    <row r="34" spans="1:9" x14ac:dyDescent="0.25">
      <c r="A34" s="12" t="str">
        <f t="shared" si="0"/>
        <v/>
      </c>
      <c r="B34" s="13"/>
      <c r="C34" s="13"/>
      <c r="D34" s="13"/>
      <c r="E34" s="14"/>
      <c r="F34" s="15"/>
      <c r="G34" s="12"/>
      <c r="H34" s="12"/>
      <c r="I34" s="14"/>
    </row>
  </sheetData>
  <mergeCells count="2">
    <mergeCell ref="A1:I1"/>
    <mergeCell ref="A2:I2"/>
  </mergeCells>
  <conditionalFormatting sqref="H5:H34">
    <cfRule type="cellIs" dxfId="1" priority="2" operator="equal">
      <formula>"Gewonnen"</formula>
    </cfRule>
    <cfRule type="cellIs" dxfId="0" priority="3" operator="equal">
      <formula>"Verloren"</formula>
    </cfRule>
  </conditionalFormatting>
  <dataValidations count="3">
    <dataValidation type="list" allowBlank="1" sqref="G5:G34" xr:uid="{00000000-0002-0000-0000-000000000000}">
      <formula1>"Besucher,Lead,MQL,SQL,Kunde"</formula1>
      <formula2>0</formula2>
    </dataValidation>
    <dataValidation type="list" allowBlank="1" sqref="H5:H34" xr:uid="{00000000-0002-0000-0000-000001000000}">
      <formula1>"Aktiv,Gewonnen,Verloren"</formula1>
      <formula2>0</formula2>
    </dataValidation>
    <dataValidation type="list" allowBlank="1" sqref="C5:C34" xr:uid="{00000000-0002-0000-0000-000002000000}">
      <formula1>"Website,Google Ads,Social Media,Newsletter,Empfehlung,Messe"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Funnel-Dashboard</vt:lpstr>
      <vt:lpstr>Leads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2026-06-01T10:45:40Z</dcterms:created>
  <dcterms:modified xsi:type="dcterms:W3CDTF">2026-06-01T10:51:08Z</dcterms:modified>
  <dc:language>en-US</dc:language>
</cp:coreProperties>
</file>