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8ABD1FD7-5E2F-4819-8F7F-CDE97A65030C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Personalkostenplanung" sheetId="2" r:id="rId2"/>
    <sheet name="Annahmen" sheetId="3" r:id="rId3"/>
  </sheets>
  <definedNames>
    <definedName name="_xlnm.Print_Area" localSheetId="2">Annahmen!$B$2:$D$30</definedName>
    <definedName name="_xlnm.Print_Area" localSheetId="1">Personalkostenplanung!$A$1:$T$17</definedName>
    <definedName name="_xlnm.Print_Area" localSheetId="0">Übersicht!$A$1:$H$44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3" i="3" l="1"/>
  <c r="Q17" i="2"/>
  <c r="P17" i="2"/>
  <c r="J17" i="2"/>
  <c r="I17" i="2"/>
  <c r="H17" i="2"/>
  <c r="G17" i="2"/>
  <c r="F17" i="2"/>
  <c r="B9" i="1" s="1"/>
  <c r="D17" i="2"/>
  <c r="L16" i="2"/>
  <c r="K16" i="2"/>
  <c r="N16" i="2" s="1"/>
  <c r="K15" i="2"/>
  <c r="N14" i="2"/>
  <c r="M14" i="2"/>
  <c r="O14" i="2" s="1"/>
  <c r="L14" i="2"/>
  <c r="K14" i="2"/>
  <c r="L13" i="2"/>
  <c r="K13" i="2"/>
  <c r="K12" i="2"/>
  <c r="L11" i="2"/>
  <c r="K11" i="2"/>
  <c r="N11" i="2" s="1"/>
  <c r="K10" i="2"/>
  <c r="N10" i="2" s="1"/>
  <c r="N9" i="2"/>
  <c r="M9" i="2"/>
  <c r="O9" i="2" s="1"/>
  <c r="L9" i="2"/>
  <c r="K9" i="2"/>
  <c r="L8" i="2"/>
  <c r="K8" i="2"/>
  <c r="K7" i="2"/>
  <c r="L6" i="2"/>
  <c r="K6" i="2"/>
  <c r="N6" i="2" s="1"/>
  <c r="K5" i="2"/>
  <c r="N5" i="2" s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E19" i="1" s="1"/>
  <c r="D13" i="1"/>
  <c r="D19" i="1" s="1"/>
  <c r="C13" i="1"/>
  <c r="C19" i="1" s="1"/>
  <c r="F6" i="1"/>
  <c r="T14" i="2" l="1"/>
  <c r="R14" i="2"/>
  <c r="N17" i="2"/>
  <c r="T9" i="2"/>
  <c r="R9" i="2"/>
  <c r="S9" i="2" s="1"/>
  <c r="L7" i="2"/>
  <c r="L12" i="2"/>
  <c r="M7" i="2"/>
  <c r="M12" i="2"/>
  <c r="N7" i="2"/>
  <c r="N12" i="2"/>
  <c r="L5" i="2"/>
  <c r="L10" i="2"/>
  <c r="L15" i="2"/>
  <c r="M5" i="2"/>
  <c r="M10" i="2"/>
  <c r="M15" i="2"/>
  <c r="K17" i="2"/>
  <c r="N15" i="2"/>
  <c r="M8" i="2"/>
  <c r="O8" i="2" s="1"/>
  <c r="M13" i="2"/>
  <c r="O13" i="2" s="1"/>
  <c r="N8" i="2"/>
  <c r="N13" i="2"/>
  <c r="M6" i="2"/>
  <c r="O6" i="2" s="1"/>
  <c r="M11" i="2"/>
  <c r="O11" i="2" s="1"/>
  <c r="M16" i="2"/>
  <c r="O16" i="2" s="1"/>
  <c r="T8" i="2" l="1"/>
  <c r="F15" i="1"/>
  <c r="R8" i="2"/>
  <c r="T16" i="2"/>
  <c r="R16" i="2"/>
  <c r="S16" i="2" s="1"/>
  <c r="T11" i="2"/>
  <c r="R11" i="2"/>
  <c r="S11" i="2" s="1"/>
  <c r="T6" i="2"/>
  <c r="R6" i="2"/>
  <c r="F14" i="1"/>
  <c r="T13" i="2"/>
  <c r="R13" i="2"/>
  <c r="S13" i="2" s="1"/>
  <c r="S14" i="2"/>
  <c r="O7" i="2"/>
  <c r="O10" i="2"/>
  <c r="O15" i="2"/>
  <c r="O12" i="2"/>
  <c r="M17" i="2"/>
  <c r="O5" i="2"/>
  <c r="L17" i="2"/>
  <c r="T5" i="2" l="1"/>
  <c r="F13" i="1"/>
  <c r="O17" i="2"/>
  <c r="R5" i="2"/>
  <c r="F17" i="1"/>
  <c r="T12" i="2"/>
  <c r="R12" i="2"/>
  <c r="T15" i="2"/>
  <c r="F18" i="1"/>
  <c r="R15" i="2"/>
  <c r="T10" i="2"/>
  <c r="R10" i="2"/>
  <c r="F16" i="1"/>
  <c r="T7" i="2"/>
  <c r="R7" i="2"/>
  <c r="S7" i="2" s="1"/>
  <c r="G14" i="1"/>
  <c r="S6" i="2"/>
  <c r="S8" i="2"/>
  <c r="G15" i="1"/>
  <c r="R17" i="2" l="1"/>
  <c r="G13" i="1"/>
  <c r="S5" i="2"/>
  <c r="S10" i="2"/>
  <c r="G16" i="1"/>
  <c r="S15" i="2"/>
  <c r="G18" i="1"/>
  <c r="G17" i="1"/>
  <c r="S12" i="2"/>
  <c r="T17" i="2"/>
  <c r="F9" i="1"/>
  <c r="F19" i="1"/>
  <c r="G19" i="1" l="1"/>
  <c r="H17" i="1" s="1"/>
  <c r="H16" i="1"/>
  <c r="D29" i="1"/>
  <c r="D28" i="1"/>
  <c r="S17" i="2"/>
  <c r="D27" i="1"/>
  <c r="D26" i="1"/>
  <c r="D25" i="1"/>
  <c r="D24" i="1"/>
  <c r="D23" i="1"/>
  <c r="D6" i="1"/>
  <c r="B37" i="1"/>
  <c r="B6" i="1"/>
  <c r="D34" i="1"/>
  <c r="D9" i="1"/>
  <c r="D33" i="1"/>
  <c r="D32" i="1"/>
  <c r="D31" i="1"/>
  <c r="D30" i="1"/>
  <c r="D35" i="1" l="1"/>
  <c r="H13" i="1"/>
  <c r="H15" i="1"/>
  <c r="H14" i="1"/>
  <c r="H18" i="1"/>
  <c r="H19" i="1" l="1"/>
</calcChain>
</file>

<file path=xl/sharedStrings.xml><?xml version="1.0" encoding="utf-8"?>
<sst xmlns="http://schemas.openxmlformats.org/spreadsheetml/2006/main" count="180" uniqueCount="157">
  <si>
    <t>Übersicht &amp; Auswertung  ·  Musterfirma GmbH  ·  Geschäftsjahr 2026</t>
  </si>
  <si>
    <t>Gesamte Personalkosten p.a.</t>
  </si>
  <si>
    <t>Ø Personalkosten / Monat</t>
  </si>
  <si>
    <t>Personalbestand (Köpfe)</t>
  </si>
  <si>
    <t>Vollzeitäquivalente (VZÄ)</t>
  </si>
  <si>
    <t>Ø Kosten je VZÄ</t>
  </si>
  <si>
    <t>Ø Arbeitgeber-Nebenkostenquote</t>
  </si>
  <si>
    <t>AUSWERTUNG NACH ABTEILUNG</t>
  </si>
  <si>
    <t>Abteilung</t>
  </si>
  <si>
    <t>Köpfe</t>
  </si>
  <si>
    <t>VZÄ</t>
  </si>
  <si>
    <t>Bruttojahresentgelt</t>
  </si>
  <si>
    <t>AG-Nebenkosten</t>
  </si>
  <si>
    <t>Gesamtkosten p.a.</t>
  </si>
  <si>
    <t>Anteil</t>
  </si>
  <si>
    <t>Geschäftsführung</t>
  </si>
  <si>
    <t>Vertrieb</t>
  </si>
  <si>
    <t>Marketing</t>
  </si>
  <si>
    <t>IT</t>
  </si>
  <si>
    <t>Finanzen &amp; Verwaltung</t>
  </si>
  <si>
    <t>Produktion</t>
  </si>
  <si>
    <t>GESAMT</t>
  </si>
  <si>
    <t>MONATLICHE KOSTENVERTEILUNG 2026</t>
  </si>
  <si>
    <t>Monat</t>
  </si>
  <si>
    <t>Geplante Personalkosten</t>
  </si>
  <si>
    <t>Hinweis</t>
  </si>
  <si>
    <t>Januar</t>
  </si>
  <si>
    <t>laufende Kosten</t>
  </si>
  <si>
    <t>Februar</t>
  </si>
  <si>
    <t>März</t>
  </si>
  <si>
    <t>April</t>
  </si>
  <si>
    <t>Mai</t>
  </si>
  <si>
    <t>Juni</t>
  </si>
  <si>
    <t>inkl. Urlaubsgeld</t>
  </si>
  <si>
    <t>Juli</t>
  </si>
  <si>
    <t>August</t>
  </si>
  <si>
    <t>September</t>
  </si>
  <si>
    <t>Oktober</t>
  </si>
  <si>
    <t>November</t>
  </si>
  <si>
    <t>inkl. Weihnachtsgeld &amp; Prämien</t>
  </si>
  <si>
    <t>Dezember</t>
  </si>
  <si>
    <t>Summe</t>
  </si>
  <si>
    <t>entspricht Gesamtkosten p.a.</t>
  </si>
  <si>
    <t>LEGENDE &amp; HINWEISE</t>
  </si>
  <si>
    <t>•  Blau hinterlegte Felder im Blatt »Personalkostenplanung« sind Eingabefelder. Alle übrigen Werte werden automatisch berechnet.</t>
  </si>
  <si>
    <t>•  Arbeitgeber-Sozialabgaben werden bis zur jeweiligen Beitragsbemessungsgrenze 2026 berücksichtigt (Kranken-/Pflege 69.750 € · Renten-/Arbeitslosen 101.400 € p.a.).</t>
  </si>
  <si>
    <t>•  Beitragssätze, Unfallversicherung (BG) und Umlagen U1–U3 sind im Blatt »Annahmen« zentral hinterlegt und können angepasst werden (branchenabhängig).</t>
  </si>
  <si>
    <t>•  VZÄ = Vollzeitäquivalente (Summe der Beschäftigungsgrade). Beträge in Euro, sofern nicht anders angegeben.</t>
  </si>
  <si>
    <t>PERSONALKOSTENPLANUNG  ·  DETAILERFASSUNG JE MITARBEITER</t>
  </si>
  <si>
    <t>Planjahr 2026  ·  Beträge p.a. in €, sofern nicht anders angegeben  ·  Eingabefelder blau  ·  Sozialabgaben mit Beitragsbemessungsgrenze</t>
  </si>
  <si>
    <t>Pers.-Nr.</t>
  </si>
  <si>
    <t>Mitarbeiter/-in</t>
  </si>
  <si>
    <t>Position</t>
  </si>
  <si>
    <t>Eintritt</t>
  </si>
  <si>
    <t>Beschäf-
tigung</t>
  </si>
  <si>
    <t>Monats-
brutto</t>
  </si>
  <si>
    <t>Urlaubs-
geld</t>
  </si>
  <si>
    <t>Weihnachts-
geld</t>
  </si>
  <si>
    <t>Bonus /
Prämie</t>
  </si>
  <si>
    <t>Brutto-
jahres-
entgelt</t>
  </si>
  <si>
    <t>AG Renten-
+ Arbeitsl.-
vers.</t>
  </si>
  <si>
    <t>AG Kranken-
+ Pflege-
vers.</t>
  </si>
  <si>
    <t>AG Unfall-
vers. +
Umlagen</t>
  </si>
  <si>
    <t>Summe AG-
Sozial-
abgaben</t>
  </si>
  <si>
    <t>Betriebl.
Altersvor-
sorge</t>
  </si>
  <si>
    <t>Sonstige
Leistungen</t>
  </si>
  <si>
    <t>Gesamt-
kosten p.a.</t>
  </si>
  <si>
    <t>Ø Kosten /
Monat</t>
  </si>
  <si>
    <t>Neben-
kosten-
quote</t>
  </si>
  <si>
    <t>MA-001</t>
  </si>
  <si>
    <t>Dr. Katrin Vogtländer</t>
  </si>
  <si>
    <t>Geschäftsführerin</t>
  </si>
  <si>
    <t>01.03.2016</t>
  </si>
  <si>
    <t>MA-002</t>
  </si>
  <si>
    <t>Henrik Aßmann</t>
  </si>
  <si>
    <t>Vertriebsleiter</t>
  </si>
  <si>
    <t>15.08.2018</t>
  </si>
  <si>
    <t>MA-003</t>
  </si>
  <si>
    <t>Melina Borchardt</t>
  </si>
  <si>
    <t>Außendienstmitarbeiterin</t>
  </si>
  <si>
    <t>01.04.2021</t>
  </si>
  <si>
    <t>MA-004</t>
  </si>
  <si>
    <t>Tobias Reinhardt</t>
  </si>
  <si>
    <t>Marketing-Manager</t>
  </si>
  <si>
    <t>01.10.2019</t>
  </si>
  <si>
    <t>MA-005</t>
  </si>
  <si>
    <t>Jana Küppers</t>
  </si>
  <si>
    <t>Werkstudentin (Teilzeit)</t>
  </si>
  <si>
    <t>01.09.2023</t>
  </si>
  <si>
    <t>MA-006</t>
  </si>
  <si>
    <t>Paweł Nowicki</t>
  </si>
  <si>
    <t>Software-Entwickler</t>
  </si>
  <si>
    <t>01.06.2020</t>
  </si>
  <si>
    <t>MA-007</t>
  </si>
  <si>
    <t>Sven Achterberg</t>
  </si>
  <si>
    <t>IT-Administrator</t>
  </si>
  <si>
    <t>15.02.2017</t>
  </si>
  <si>
    <t>MA-008</t>
  </si>
  <si>
    <t>Friederike Lamprecht</t>
  </si>
  <si>
    <t>Buchhalterin</t>
  </si>
  <si>
    <t>01.07.2015</t>
  </si>
  <si>
    <t>MA-009</t>
  </si>
  <si>
    <t>Beate Hofmeister</t>
  </si>
  <si>
    <t>HR-Sachbearbeiterin (Teilzeit)</t>
  </si>
  <si>
    <t>01.11.2022</t>
  </si>
  <si>
    <t>MA-010</t>
  </si>
  <si>
    <t>Mario Dengler</t>
  </si>
  <si>
    <t>Produktionsleiter</t>
  </si>
  <si>
    <t>01.05.2014</t>
  </si>
  <si>
    <t>MA-011</t>
  </si>
  <si>
    <t>Ercan Yıldırım</t>
  </si>
  <si>
    <t>Facharbeiter</t>
  </si>
  <si>
    <t>01.03.2021</t>
  </si>
  <si>
    <t>MA-012</t>
  </si>
  <si>
    <t>Lea Simmerbach</t>
  </si>
  <si>
    <t>Auszubildende</t>
  </si>
  <si>
    <t>01.08.2024</t>
  </si>
  <si>
    <t>ANNAHMEN &amp; BEITRAGSSÄTZE 2026</t>
  </si>
  <si>
    <t>Zentrale Stellschrauben der Personalkostenplanung — hier anpassen</t>
  </si>
  <si>
    <t>Arbeitgeberanteile Sozialversicherung 2026</t>
  </si>
  <si>
    <t>Rentenversicherung (RV)</t>
  </si>
  <si>
    <t>AG-Anteil; Gesamtsatz 18,6 %</t>
  </si>
  <si>
    <t>Arbeitslosenversicherung (AV)</t>
  </si>
  <si>
    <t>AG-Anteil; Gesamtsatz 2,6 %</t>
  </si>
  <si>
    <t>Krankenversicherung (KV)</t>
  </si>
  <si>
    <t>7,30 % + ½ Zusatzbeitrag (Ø 2,9 %)</t>
  </si>
  <si>
    <t>Pflegeversicherung (PV)</t>
  </si>
  <si>
    <t>AG-Anteil; Sachsen abweichend</t>
  </si>
  <si>
    <t>Gesetzl. Unfallvers. (BG)</t>
  </si>
  <si>
    <t>Richtwert — branchen-/gefahrklassenabhängig</t>
  </si>
  <si>
    <t>Umlage U1 (Entgeltfortzahlung)</t>
  </si>
  <si>
    <t>kassenindividuell (Erstattungssatz wählbar)</t>
  </si>
  <si>
    <t>Umlage U2 (Mutterschaft)</t>
  </si>
  <si>
    <t>kassenindividuell</t>
  </si>
  <si>
    <t>Insolvenzgeldumlage (U3)</t>
  </si>
  <si>
    <t>bundeseinheitlich</t>
  </si>
  <si>
    <t>AG-Quote gesamt (Richtwert)</t>
  </si>
  <si>
    <t>Summe der Arbeitgeber-Aufschläge</t>
  </si>
  <si>
    <t>Beitragsbemessungsgrenzen 2026 (jährlich)</t>
  </si>
  <si>
    <t>BBG Kranken- / Pflegevers.</t>
  </si>
  <si>
    <t>entspr. 5.812,50 € / Monat</t>
  </si>
  <si>
    <t>BBG Renten- / Arbeitslosenvers.</t>
  </si>
  <si>
    <t>entspr. 8.450 € / Monat</t>
  </si>
  <si>
    <t>Planungsparameter</t>
  </si>
  <si>
    <t>Planjahr</t>
  </si>
  <si>
    <t>Bezugsjahr der Planung</t>
  </si>
  <si>
    <t>Geplante Tarif-/Gehaltsanpassung</t>
  </si>
  <si>
    <t>für Hochrechnung Folgejahr (Szenario)</t>
  </si>
  <si>
    <t>Arbeitstage p.a. (Vollzeit)</t>
  </si>
  <si>
    <t>Richtwert für Stundensatz-Ableitungen</t>
  </si>
  <si>
    <t>SO NUTZEN SIE DIE VORLAGE</t>
  </si>
  <si>
    <t>1.  Tragen Sie im Blatt »Personalkostenplanung« je Mitarbeiter/-in die blauen Felder ein (Monatsbrutto, Sonderzahlungen, Zusatzleistungen).</t>
  </si>
  <si>
    <t>2.  Die Arbeitgeber-Sozialabgaben werden automatisch und unter Beachtung der Beitragsbemessungsgrenzen berechnet.</t>
  </si>
  <si>
    <t>3.  Passen Sie bei Bedarf die Sätze oben an (z. B. tatsächlicher Zusatzbeitrag Ihrer Krankenkasse, Gefahrklasse der Berufsgenossenschaft).</t>
  </si>
  <si>
    <t>4.  Das Blatt »Übersicht« liefert KPIs, eine Auswertung nach Abteilung und die monatliche Kostenverteilung — alles aktualisiert sich automatisch.</t>
  </si>
  <si>
    <t>Hinweis: Beitragssätze, Umlagen und Beitragsbemessungsgrenzen entsprechen dem Stand 2026 und dienen als Richtwerte. Unfallversicherung und Umlagen sind branchen- bzw. kassenabhängig. Keine Steuer- oder Rechtsberatung.</t>
  </si>
  <si>
    <t>PERSONALKOSTENPLANUNG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</si>
</sst>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€&quot;"/>
    <numFmt numFmtId="165" formatCode="0&quot; MA&quot;"/>
    <numFmt numFmtId="166" formatCode="0.00&quot; VZÄ&quot;"/>
    <numFmt numFmtId="167" formatCode="0.0%"/>
  </numFmts>
  <fonts count="27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.5"/>
      <color rgb="FFFFFFFF"/>
      <name val="Calibri"/>
      <charset val="1"/>
    </font>
    <font>
      <b/>
      <sz val="9"/>
      <color rgb="FFFFFFFF"/>
      <name val="Calibri"/>
      <charset val="1"/>
    </font>
    <font>
      <b/>
      <sz val="17"/>
      <color rgb="FF6E1F3A"/>
      <name val="Calibri"/>
      <charset val="1"/>
    </font>
    <font>
      <b/>
      <sz val="17"/>
      <color rgb="FFA6485F"/>
      <name val="Calibri"/>
      <charset val="1"/>
    </font>
    <font>
      <b/>
      <sz val="17"/>
      <color rgb="FFB8893A"/>
      <name val="Calibri"/>
      <charset val="1"/>
    </font>
    <font>
      <b/>
      <sz val="11"/>
      <color rgb="FFFFFFFF"/>
      <name val="Calibri"/>
      <charset val="1"/>
    </font>
    <font>
      <b/>
      <sz val="9.5"/>
      <color rgb="FFFFFFFF"/>
      <name val="Calibri"/>
      <charset val="1"/>
    </font>
    <font>
      <sz val="9.5"/>
      <color rgb="FF3A3338"/>
      <name val="Calibri"/>
      <charset val="1"/>
    </font>
    <font>
      <b/>
      <sz val="10"/>
      <color rgb="FFFFFFFF"/>
      <name val="Calibri"/>
      <charset val="1"/>
    </font>
    <font>
      <i/>
      <sz val="8.5"/>
      <color rgb="FF7A6A5E"/>
      <name val="Calibri"/>
      <charset val="1"/>
    </font>
    <font>
      <i/>
      <sz val="8.5"/>
      <color rgb="FFFFFFFF"/>
      <name val="Calibri"/>
      <charset val="1"/>
    </font>
    <font>
      <b/>
      <sz val="10"/>
      <color rgb="FF6E1F3A"/>
      <name val="Calibri"/>
      <charset val="1"/>
    </font>
    <font>
      <b/>
      <sz val="9.5"/>
      <color rgb="FF6E1F3A"/>
      <name val="Calibri"/>
      <charset val="1"/>
    </font>
    <font>
      <sz val="8.5"/>
      <color rgb="FF6E5A4E"/>
      <name val="Calibri"/>
      <charset val="1"/>
    </font>
    <font>
      <b/>
      <sz val="15"/>
      <color rgb="FFFFFFFF"/>
      <name val="Calibri"/>
      <charset val="1"/>
    </font>
    <font>
      <b/>
      <sz val="8.5"/>
      <color rgb="FFFFFFFF"/>
      <name val="Calibri"/>
      <charset val="1"/>
    </font>
    <font>
      <b/>
      <sz val="9"/>
      <color rgb="FF6E1F3A"/>
      <name val="Calibri"/>
      <charset val="1"/>
    </font>
    <font>
      <sz val="9"/>
      <color rgb="FF3A3338"/>
      <name val="Calibri"/>
      <charset val="1"/>
    </font>
    <font>
      <sz val="9"/>
      <color rgb="FF1F3D99"/>
      <name val="Calibri"/>
      <charset val="1"/>
    </font>
    <font>
      <b/>
      <sz val="9"/>
      <color rgb="FF551528"/>
      <name val="Calibri"/>
      <charset val="1"/>
    </font>
    <font>
      <sz val="10"/>
      <color rgb="FF3A3338"/>
      <name val="Calibri"/>
      <charset val="1"/>
    </font>
    <font>
      <b/>
      <sz val="10"/>
      <color rgb="FF1F3D99"/>
      <name val="Calibri"/>
      <charset val="1"/>
    </font>
    <font>
      <b/>
      <sz val="10"/>
      <color rgb="FF3A3338"/>
      <name val="Calibri"/>
      <charset val="1"/>
    </font>
    <font>
      <sz val="9"/>
      <color rgb="FF5A4A40"/>
      <name val="Calibri"/>
      <charset val="1"/>
    </font>
    <font>
      <i/>
      <sz val="8"/>
      <color rgb="FF9A8A7E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6E1F3A"/>
        <bgColor rgb="FF551528"/>
      </patternFill>
    </fill>
    <fill>
      <patternFill patternType="solid">
        <fgColor rgb="FFB8893A"/>
        <bgColor rgb="FF9A8A7E"/>
      </patternFill>
    </fill>
    <fill>
      <patternFill patternType="solid">
        <fgColor rgb="FFA6485F"/>
        <bgColor rgb="FF6E5A4E"/>
      </patternFill>
    </fill>
    <fill>
      <patternFill patternType="solid">
        <fgColor rgb="FFF8F2EC"/>
        <bgColor rgb="FFFCF6EC"/>
      </patternFill>
    </fill>
    <fill>
      <patternFill patternType="solid">
        <fgColor rgb="FFFFFFFF"/>
        <bgColor rgb="FFFCF6EC"/>
      </patternFill>
    </fill>
    <fill>
      <patternFill patternType="solid">
        <fgColor rgb="FF551528"/>
        <bgColor rgb="FF6E1F3A"/>
      </patternFill>
    </fill>
    <fill>
      <patternFill patternType="solid">
        <fgColor rgb="FFE7D3AE"/>
        <bgColor rgb="FFE3CFBE"/>
      </patternFill>
    </fill>
    <fill>
      <patternFill patternType="solid">
        <fgColor rgb="FFFCF6EC"/>
        <bgColor rgb="FFF8F2EC"/>
      </patternFill>
    </fill>
    <fill>
      <patternFill patternType="solid">
        <fgColor rgb="FFE3CFBE"/>
        <bgColor rgb="FFE7D3AE"/>
      </patternFill>
    </fill>
  </fills>
  <borders count="10">
    <border>
      <left/>
      <right/>
      <top/>
      <bottom/>
      <diagonal/>
    </border>
    <border>
      <left style="thin">
        <color rgb="FF6E1F3A"/>
      </left>
      <right style="thin">
        <color rgb="FF6E1F3A"/>
      </right>
      <top/>
      <bottom/>
      <diagonal/>
    </border>
    <border>
      <left style="thin">
        <color rgb="FFA6485F"/>
      </left>
      <right style="thin">
        <color rgb="FFA6485F"/>
      </right>
      <top/>
      <bottom/>
      <diagonal/>
    </border>
    <border>
      <left style="thin">
        <color rgb="FFB8893A"/>
      </left>
      <right style="thin">
        <color rgb="FFB8893A"/>
      </right>
      <top/>
      <bottom/>
      <diagonal/>
    </border>
    <border>
      <left style="thin">
        <color rgb="FF6E1F3A"/>
      </left>
      <right style="thin">
        <color rgb="FF6E1F3A"/>
      </right>
      <top/>
      <bottom style="medium">
        <color rgb="FF6E1F3A"/>
      </bottom>
      <diagonal/>
    </border>
    <border>
      <left style="thin">
        <color rgb="FFA6485F"/>
      </left>
      <right style="thin">
        <color rgb="FFA6485F"/>
      </right>
      <top/>
      <bottom style="medium">
        <color rgb="FFA6485F"/>
      </bottom>
      <diagonal/>
    </border>
    <border>
      <left style="thin">
        <color rgb="FFB8893A"/>
      </left>
      <right style="thin">
        <color rgb="FFB8893A"/>
      </right>
      <top/>
      <bottom style="medium">
        <color rgb="FFB8893A"/>
      </bottom>
      <diagonal/>
    </border>
    <border>
      <left style="thin">
        <color rgb="FFD8C9BC"/>
      </left>
      <right style="thin">
        <color rgb="FFD8C9BC"/>
      </right>
      <top style="thin">
        <color rgb="FFD8C9BC"/>
      </top>
      <bottom style="thin">
        <color rgb="FFD8C9BC"/>
      </bottom>
      <diagonal/>
    </border>
    <border>
      <left/>
      <right/>
      <top style="medium">
        <color rgb="FFB8893A"/>
      </top>
      <bottom/>
      <diagonal/>
    </border>
    <border>
      <left style="thin">
        <color rgb="FFD8C9BC"/>
      </left>
      <right style="thin">
        <color rgb="FFD8C9BC"/>
      </right>
      <top style="medium">
        <color rgb="FFB8893A"/>
      </top>
      <bottom style="thin">
        <color rgb="FFD8C9BC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9" fillId="5" borderId="7" xfId="0" applyNumberFormat="1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167" fontId="6" fillId="5" borderId="6" xfId="0" applyNumberFormat="1" applyFont="1" applyFill="1" applyBorder="1" applyAlignment="1">
      <alignment horizontal="left" vertical="center" wrapText="1"/>
    </xf>
    <xf numFmtId="166" fontId="5" fillId="5" borderId="5" xfId="0" applyNumberFormat="1" applyFont="1" applyFill="1" applyBorder="1" applyAlignment="1">
      <alignment horizontal="left" vertical="center" wrapText="1"/>
    </xf>
    <xf numFmtId="165" fontId="6" fillId="5" borderId="6" xfId="0" applyNumberFormat="1" applyFont="1" applyFill="1" applyBorder="1" applyAlignment="1">
      <alignment horizontal="left" vertical="center" wrapText="1"/>
    </xf>
    <xf numFmtId="164" fontId="5" fillId="5" borderId="5" xfId="0" applyNumberFormat="1" applyFont="1" applyFill="1" applyBorder="1" applyAlignment="1">
      <alignment horizontal="left" vertical="center" wrapText="1"/>
    </xf>
    <xf numFmtId="164" fontId="4" fillId="5" borderId="4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/>
    </xf>
    <xf numFmtId="1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4" fontId="9" fillId="5" borderId="7" xfId="0" applyNumberFormat="1" applyFont="1" applyFill="1" applyBorder="1" applyAlignment="1">
      <alignment horizontal="right" vertical="center"/>
    </xf>
    <xf numFmtId="167" fontId="9" fillId="5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/>
    </xf>
    <xf numFmtId="1" fontId="9" fillId="6" borderId="7" xfId="0" applyNumberFormat="1" applyFont="1" applyFill="1" applyBorder="1" applyAlignment="1">
      <alignment horizontal="center" vertical="center"/>
    </xf>
    <xf numFmtId="2" fontId="9" fillId="6" borderId="7" xfId="0" applyNumberFormat="1" applyFont="1" applyFill="1" applyBorder="1" applyAlignment="1">
      <alignment horizontal="center" vertical="center"/>
    </xf>
    <xf numFmtId="164" fontId="9" fillId="6" borderId="7" xfId="0" applyNumberFormat="1" applyFont="1" applyFill="1" applyBorder="1" applyAlignment="1">
      <alignment horizontal="right" vertical="center"/>
    </xf>
    <xf numFmtId="167" fontId="9" fillId="6" borderId="7" xfId="0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 vertical="center"/>
    </xf>
    <xf numFmtId="1" fontId="10" fillId="7" borderId="8" xfId="0" applyNumberFormat="1" applyFont="1" applyFill="1" applyBorder="1" applyAlignment="1">
      <alignment horizontal="center" vertical="center"/>
    </xf>
    <xf numFmtId="2" fontId="10" fillId="7" borderId="8" xfId="0" applyNumberFormat="1" applyFont="1" applyFill="1" applyBorder="1" applyAlignment="1">
      <alignment horizontal="center" vertical="center"/>
    </xf>
    <xf numFmtId="164" fontId="10" fillId="7" borderId="8" xfId="0" applyNumberFormat="1" applyFont="1" applyFill="1" applyBorder="1" applyAlignment="1">
      <alignment horizontal="right" vertical="center"/>
    </xf>
    <xf numFmtId="9" fontId="10" fillId="7" borderId="8" xfId="0" applyNumberFormat="1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9" fontId="20" fillId="9" borderId="7" xfId="0" applyNumberFormat="1" applyFont="1" applyFill="1" applyBorder="1" applyAlignment="1">
      <alignment horizontal="center" vertical="center"/>
    </xf>
    <xf numFmtId="164" fontId="20" fillId="9" borderId="7" xfId="0" applyNumberFormat="1" applyFont="1" applyFill="1" applyBorder="1" applyAlignment="1">
      <alignment horizontal="right" vertical="center"/>
    </xf>
    <xf numFmtId="164" fontId="19" fillId="5" borderId="7" xfId="0" applyNumberFormat="1" applyFont="1" applyFill="1" applyBorder="1" applyAlignment="1">
      <alignment horizontal="right" vertical="center"/>
    </xf>
    <xf numFmtId="164" fontId="21" fillId="5" borderId="7" xfId="0" applyNumberFormat="1" applyFont="1" applyFill="1" applyBorder="1" applyAlignment="1">
      <alignment horizontal="right" vertical="center"/>
    </xf>
    <xf numFmtId="167" fontId="19" fillId="5" borderId="7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left" vertical="center"/>
    </xf>
    <xf numFmtId="0" fontId="19" fillId="6" borderId="7" xfId="0" applyFont="1" applyFill="1" applyBorder="1" applyAlignment="1">
      <alignment horizontal="center" vertical="center"/>
    </xf>
    <xf numFmtId="164" fontId="19" fillId="6" borderId="7" xfId="0" applyNumberFormat="1" applyFont="1" applyFill="1" applyBorder="1" applyAlignment="1">
      <alignment horizontal="right" vertical="center"/>
    </xf>
    <xf numFmtId="164" fontId="21" fillId="6" borderId="7" xfId="0" applyNumberFormat="1" applyFont="1" applyFill="1" applyBorder="1" applyAlignment="1">
      <alignment horizontal="right" vertical="center"/>
    </xf>
    <xf numFmtId="167" fontId="19" fillId="6" borderId="7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left" vertical="center"/>
    </xf>
    <xf numFmtId="0" fontId="3" fillId="7" borderId="8" xfId="0" applyFont="1" applyFill="1" applyBorder="1"/>
    <xf numFmtId="2" fontId="3" fillId="7" borderId="8" xfId="0" applyNumberFormat="1" applyFont="1" applyFill="1" applyBorder="1" applyAlignment="1">
      <alignment horizontal="center" vertical="center"/>
    </xf>
    <xf numFmtId="164" fontId="3" fillId="7" borderId="8" xfId="0" applyNumberFormat="1" applyFont="1" applyFill="1" applyBorder="1" applyAlignment="1">
      <alignment horizontal="right" vertical="center"/>
    </xf>
    <xf numFmtId="167" fontId="3" fillId="7" borderId="8" xfId="0" applyNumberFormat="1" applyFont="1" applyFill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167" fontId="23" fillId="9" borderId="7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24" fillId="10" borderId="9" xfId="0" applyFont="1" applyFill="1" applyBorder="1" applyAlignment="1">
      <alignment horizontal="left" vertical="center"/>
    </xf>
    <xf numFmtId="167" fontId="10" fillId="7" borderId="9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164" fontId="23" fillId="9" borderId="7" xfId="0" applyNumberFormat="1" applyFont="1" applyFill="1" applyBorder="1" applyAlignment="1">
      <alignment horizontal="center" vertical="center"/>
    </xf>
    <xf numFmtId="1" fontId="23" fillId="9" borderId="7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/>
    </xf>
    <xf numFmtId="164" fontId="9" fillId="6" borderId="7" xfId="0" applyNumberFormat="1" applyFont="1" applyFill="1" applyBorder="1" applyAlignment="1">
      <alignment horizontal="right" vertical="center"/>
    </xf>
    <xf numFmtId="0" fontId="11" fillId="6" borderId="7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/>
    </xf>
    <xf numFmtId="164" fontId="10" fillId="7" borderId="8" xfId="0" applyNumberFormat="1" applyFont="1" applyFill="1" applyBorder="1" applyAlignment="1">
      <alignment horizontal="right" vertical="center"/>
    </xf>
    <xf numFmtId="0" fontId="12" fillId="7" borderId="8" xfId="0" applyFont="1" applyFill="1" applyBorder="1" applyAlignment="1">
      <alignment horizontal="left" vertical="center"/>
    </xf>
    <xf numFmtId="0" fontId="13" fillId="8" borderId="0" xfId="0" applyFont="1" applyFill="1" applyAlignment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93A"/>
      <rgbColor rgb="FF800080"/>
      <rgbColor rgb="FF008080"/>
      <rgbColor rgb="FFD8C9BC"/>
      <rgbColor rgb="FF7A6A5E"/>
      <rgbColor rgb="FF9999FF"/>
      <rgbColor rgb="FFA6485F"/>
      <rgbColor rgb="FFFCF6EC"/>
      <rgbColor rgb="FFF8F2EC"/>
      <rgbColor rgb="FF551528"/>
      <rgbColor rgb="FFFF8080"/>
      <rgbColor rgb="FF0066CC"/>
      <rgbColor rgb="FFE3CFB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7D3AE"/>
      <rgbColor rgb="FF3366FF"/>
      <rgbColor rgb="FF33CCCC"/>
      <rgbColor rgb="FF99CC00"/>
      <rgbColor rgb="FFFFCC00"/>
      <rgbColor rgb="FFFF9900"/>
      <rgbColor rgb="FFFF6600"/>
      <rgbColor rgb="FF6E5A4E"/>
      <rgbColor rgb="FF9A8A7E"/>
      <rgbColor rgb="FF003366"/>
      <rgbColor rgb="FF339966"/>
      <rgbColor rgb="FF003300"/>
      <rgbColor rgb="FF5A4A40"/>
      <rgbColor rgb="FF993300"/>
      <rgbColor rgb="FF6E1F3A"/>
      <rgbColor rgb="FF1F3D99"/>
      <rgbColor rgb="FF3A33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43"/>
  <sheetViews>
    <sheetView showGridLines="0" tabSelected="1" topLeftCell="A20" zoomScale="110" zoomScaleNormal="110" workbookViewId="0">
      <selection activeCell="O39" sqref="O39"/>
    </sheetView>
  </sheetViews>
  <sheetFormatPr baseColWidth="10" defaultColWidth="8.7109375" defaultRowHeight="15" x14ac:dyDescent="0.25"/>
  <cols>
    <col min="1" max="1" width="2.42578125" customWidth="1"/>
    <col min="2" max="2" width="26" customWidth="1"/>
    <col min="3" max="4" width="14" customWidth="1"/>
    <col min="5" max="7" width="18" customWidth="1"/>
    <col min="8" max="8" width="13" customWidth="1"/>
    <col min="9" max="9" width="3" customWidth="1"/>
  </cols>
  <sheetData>
    <row r="2" spans="2:8" ht="33.75" customHeight="1" x14ac:dyDescent="0.25">
      <c r="B2" s="14" t="s">
        <v>156</v>
      </c>
      <c r="C2" s="14"/>
      <c r="D2" s="14"/>
      <c r="E2" s="14"/>
      <c r="F2" s="14"/>
      <c r="G2" s="14"/>
      <c r="H2" s="14"/>
    </row>
    <row r="3" spans="2:8" ht="19.5" customHeight="1" x14ac:dyDescent="0.25">
      <c r="B3" s="13" t="s">
        <v>0</v>
      </c>
      <c r="C3" s="13"/>
      <c r="D3" s="13"/>
      <c r="E3" s="13"/>
      <c r="F3" s="13"/>
      <c r="G3" s="13"/>
      <c r="H3" s="13"/>
    </row>
    <row r="5" spans="2:8" ht="15.75" customHeight="1" x14ac:dyDescent="0.25">
      <c r="B5" s="12" t="s">
        <v>1</v>
      </c>
      <c r="C5" s="12"/>
      <c r="D5" s="11" t="s">
        <v>2</v>
      </c>
      <c r="E5" s="11"/>
      <c r="F5" s="10" t="s">
        <v>3</v>
      </c>
      <c r="G5" s="10"/>
    </row>
    <row r="6" spans="2:8" ht="30" customHeight="1" x14ac:dyDescent="0.25">
      <c r="B6" s="9">
        <f>Personalkostenplanung!R17</f>
        <v>887875.32499999995</v>
      </c>
      <c r="C6" s="9"/>
      <c r="D6" s="8">
        <f>Personalkostenplanung!R17/12</f>
        <v>73989.610416666663</v>
      </c>
      <c r="E6" s="8"/>
      <c r="F6" s="7">
        <f>COUNTA(Personalkostenplanung!B5:B16)</f>
        <v>12</v>
      </c>
      <c r="G6" s="7"/>
    </row>
    <row r="8" spans="2:8" ht="15.75" customHeight="1" x14ac:dyDescent="0.25">
      <c r="B8" s="11" t="s">
        <v>4</v>
      </c>
      <c r="C8" s="11"/>
      <c r="D8" s="12" t="s">
        <v>5</v>
      </c>
      <c r="E8" s="12"/>
      <c r="F8" s="10" t="s">
        <v>6</v>
      </c>
      <c r="G8" s="10"/>
    </row>
    <row r="9" spans="2:8" ht="30" customHeight="1" x14ac:dyDescent="0.25">
      <c r="B9" s="6">
        <f>Personalkostenplanung!F17</f>
        <v>11.25</v>
      </c>
      <c r="C9" s="6"/>
      <c r="D9" s="9">
        <f>Personalkostenplanung!R17/Personalkostenplanung!F17</f>
        <v>78922.251111111109</v>
      </c>
      <c r="E9" s="9"/>
      <c r="F9" s="5">
        <f>(Personalkostenplanung!O17+Personalkostenplanung!P17+Personalkostenplanung!Q17)/Personalkostenplanung!K17</f>
        <v>0.26640325916417062</v>
      </c>
      <c r="G9" s="5"/>
    </row>
    <row r="11" spans="2:8" ht="19.5" customHeight="1" x14ac:dyDescent="0.25">
      <c r="B11" s="4" t="s">
        <v>7</v>
      </c>
      <c r="C11" s="4"/>
      <c r="D11" s="4"/>
      <c r="E11" s="4"/>
      <c r="F11" s="4"/>
      <c r="G11" s="4"/>
      <c r="H11" s="4"/>
    </row>
    <row r="12" spans="2:8" ht="25.5" customHeight="1" x14ac:dyDescent="0.25">
      <c r="B12" s="15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</row>
    <row r="13" spans="2:8" x14ac:dyDescent="0.25">
      <c r="B13" s="16" t="s">
        <v>15</v>
      </c>
      <c r="C13" s="17">
        <f>COUNTIF(Personalkostenplanung!$C$5:$C$16,$B13)</f>
        <v>1</v>
      </c>
      <c r="D13" s="18">
        <f>SUMIF(Personalkostenplanung!$C$5:$C$16,$B13,Personalkostenplanung!$F$5:$F$16)</f>
        <v>1</v>
      </c>
      <c r="E13" s="19">
        <f>SUMIF(Personalkostenplanung!$C$5:$C$16,$B13,Personalkostenplanung!$K$5:$K$16)</f>
        <v>126000</v>
      </c>
      <c r="F13" s="19">
        <f>SUMIF(Personalkostenplanung!$C$5:$C$16,$B13,Personalkostenplanung!$O$5:$O$16)+SUMIF(Personalkostenplanung!$C$5:$C$16,$B13,Personalkostenplanung!$P$5:$P$16)+SUMIF(Personalkostenplanung!$C$5:$C$16,$B13,Personalkostenplanung!$Q$5:$Q$16)</f>
        <v>27254.025000000001</v>
      </c>
      <c r="G13" s="19">
        <f>SUMIF(Personalkostenplanung!$C$5:$C$16,$B13,Personalkostenplanung!$R$5:$R$16)</f>
        <v>153254.02499999999</v>
      </c>
      <c r="H13" s="20">
        <f t="shared" ref="H13:H18" si="0">G13/$G$19</f>
        <v>0.17260759555402669</v>
      </c>
    </row>
    <row r="14" spans="2:8" x14ac:dyDescent="0.25">
      <c r="B14" s="21" t="s">
        <v>16</v>
      </c>
      <c r="C14" s="22">
        <f>COUNTIF(Personalkostenplanung!$C$5:$C$16,$B14)</f>
        <v>2</v>
      </c>
      <c r="D14" s="23">
        <f>SUMIF(Personalkostenplanung!$C$5:$C$16,$B14,Personalkostenplanung!$F$5:$F$16)</f>
        <v>2</v>
      </c>
      <c r="E14" s="24">
        <f>SUMIF(Personalkostenplanung!$C$5:$C$16,$B14,Personalkostenplanung!$K$5:$K$16)</f>
        <v>139000</v>
      </c>
      <c r="F14" s="24">
        <f>SUMIF(Personalkostenplanung!$C$5:$C$16,$B14,Personalkostenplanung!$O$5:$O$16)+SUMIF(Personalkostenplanung!$C$5:$C$16,$B14,Personalkostenplanung!$P$5:$P$16)+SUMIF(Personalkostenplanung!$C$5:$C$16,$B14,Personalkostenplanung!$Q$5:$Q$16)</f>
        <v>39944.675000000003</v>
      </c>
      <c r="G14" s="24">
        <f>SUMIF(Personalkostenplanung!$C$5:$C$16,$B14,Personalkostenplanung!$R$5:$R$16)</f>
        <v>178944.67499999999</v>
      </c>
      <c r="H14" s="25">
        <f t="shared" si="0"/>
        <v>0.20154257018010946</v>
      </c>
    </row>
    <row r="15" spans="2:8" x14ac:dyDescent="0.25">
      <c r="B15" s="16" t="s">
        <v>17</v>
      </c>
      <c r="C15" s="17">
        <f>COUNTIF(Personalkostenplanung!$C$5:$C$16,$B15)</f>
        <v>2</v>
      </c>
      <c r="D15" s="18">
        <f>SUMIF(Personalkostenplanung!$C$5:$C$16,$B15,Personalkostenplanung!$F$5:$F$16)</f>
        <v>1.5</v>
      </c>
      <c r="E15" s="19">
        <f>SUMIF(Personalkostenplanung!$C$5:$C$16,$B15,Personalkostenplanung!$K$5:$K$16)</f>
        <v>82300</v>
      </c>
      <c r="F15" s="19">
        <f>SUMIF(Personalkostenplanung!$C$5:$C$16,$B15,Personalkostenplanung!$O$5:$O$16)+SUMIF(Personalkostenplanung!$C$5:$C$16,$B15,Personalkostenplanung!$P$5:$P$16)+SUMIF(Personalkostenplanung!$C$5:$C$16,$B15,Personalkostenplanung!$Q$5:$Q$16)</f>
        <v>22405.8</v>
      </c>
      <c r="G15" s="19">
        <f>SUMIF(Personalkostenplanung!$C$5:$C$16,$B15,Personalkostenplanung!$R$5:$R$16)</f>
        <v>104705.8</v>
      </c>
      <c r="H15" s="20">
        <f t="shared" si="0"/>
        <v>0.11792849407094404</v>
      </c>
    </row>
    <row r="16" spans="2:8" x14ac:dyDescent="0.25">
      <c r="B16" s="21" t="s">
        <v>18</v>
      </c>
      <c r="C16" s="22">
        <f>COUNTIF(Personalkostenplanung!$C$5:$C$16,$B16)</f>
        <v>2</v>
      </c>
      <c r="D16" s="23">
        <f>SUMIF(Personalkostenplanung!$C$5:$C$16,$B16,Personalkostenplanung!$F$5:$F$16)</f>
        <v>2</v>
      </c>
      <c r="E16" s="24">
        <f>SUMIF(Personalkostenplanung!$C$5:$C$16,$B16,Personalkostenplanung!$K$5:$K$16)</f>
        <v>136300</v>
      </c>
      <c r="F16" s="24">
        <f>SUMIF(Personalkostenplanung!$C$5:$C$16,$B16,Personalkostenplanung!$O$5:$O$16)+SUMIF(Personalkostenplanung!$C$5:$C$16,$B16,Personalkostenplanung!$P$5:$P$16)+SUMIF(Personalkostenplanung!$C$5:$C$16,$B16,Personalkostenplanung!$Q$5:$Q$16)</f>
        <v>37125.825000000004</v>
      </c>
      <c r="G16" s="24">
        <f>SUMIF(Personalkostenplanung!$C$5:$C$16,$B16,Personalkostenplanung!$R$5:$R$16)</f>
        <v>173425.82500000001</v>
      </c>
      <c r="H16" s="25">
        <f t="shared" si="0"/>
        <v>0.19532677631287931</v>
      </c>
    </row>
    <row r="17" spans="2:8" x14ac:dyDescent="0.25">
      <c r="B17" s="16" t="s">
        <v>19</v>
      </c>
      <c r="C17" s="17">
        <f>COUNTIF(Personalkostenplanung!$C$5:$C$16,$B17)</f>
        <v>2</v>
      </c>
      <c r="D17" s="18">
        <f>SUMIF(Personalkostenplanung!$C$5:$C$16,$B17,Personalkostenplanung!$F$5:$F$16)</f>
        <v>1.75</v>
      </c>
      <c r="E17" s="19">
        <f>SUMIF(Personalkostenplanung!$C$5:$C$16,$B17,Personalkostenplanung!$K$5:$K$16)</f>
        <v>89500</v>
      </c>
      <c r="F17" s="19">
        <f>SUMIF(Personalkostenplanung!$C$5:$C$16,$B17,Personalkostenplanung!$O$5:$O$16)+SUMIF(Personalkostenplanung!$C$5:$C$16,$B17,Personalkostenplanung!$P$5:$P$16)+SUMIF(Personalkostenplanung!$C$5:$C$16,$B17,Personalkostenplanung!$Q$5:$Q$16)</f>
        <v>24477</v>
      </c>
      <c r="G17" s="19">
        <f>SUMIF(Personalkostenplanung!$C$5:$C$16,$B17,Personalkostenplanung!$R$5:$R$16)</f>
        <v>113977</v>
      </c>
      <c r="H17" s="20">
        <f t="shared" si="0"/>
        <v>0.12837050066685884</v>
      </c>
    </row>
    <row r="18" spans="2:8" x14ac:dyDescent="0.25">
      <c r="B18" s="21" t="s">
        <v>20</v>
      </c>
      <c r="C18" s="22">
        <f>COUNTIF(Personalkostenplanung!$C$5:$C$16,$B18)</f>
        <v>3</v>
      </c>
      <c r="D18" s="23">
        <f>SUMIF(Personalkostenplanung!$C$5:$C$16,$B18,Personalkostenplanung!$F$5:$F$16)</f>
        <v>3</v>
      </c>
      <c r="E18" s="24">
        <f>SUMIF(Personalkostenplanung!$C$5:$C$16,$B18,Personalkostenplanung!$K$5:$K$16)</f>
        <v>128000</v>
      </c>
      <c r="F18" s="24">
        <f>SUMIF(Personalkostenplanung!$C$5:$C$16,$B18,Personalkostenplanung!$O$5:$O$16)+SUMIF(Personalkostenplanung!$C$5:$C$16,$B18,Personalkostenplanung!$P$5:$P$16)+SUMIF(Personalkostenplanung!$C$5:$C$16,$B18,Personalkostenplanung!$Q$5:$Q$16)</f>
        <v>35568</v>
      </c>
      <c r="G18" s="24">
        <f>SUMIF(Personalkostenplanung!$C$5:$C$16,$B18,Personalkostenplanung!$R$5:$R$16)</f>
        <v>163568</v>
      </c>
      <c r="H18" s="25">
        <f t="shared" si="0"/>
        <v>0.18422406321518173</v>
      </c>
    </row>
    <row r="19" spans="2:8" x14ac:dyDescent="0.25">
      <c r="B19" s="26" t="s">
        <v>21</v>
      </c>
      <c r="C19" s="27">
        <f t="shared" ref="C19:H19" si="1">SUM(C13:C18)</f>
        <v>12</v>
      </c>
      <c r="D19" s="28">
        <f t="shared" si="1"/>
        <v>11.25</v>
      </c>
      <c r="E19" s="29">
        <f t="shared" si="1"/>
        <v>701100</v>
      </c>
      <c r="F19" s="29">
        <f t="shared" si="1"/>
        <v>186775.32500000001</v>
      </c>
      <c r="G19" s="29">
        <f t="shared" si="1"/>
        <v>887875.32499999995</v>
      </c>
      <c r="H19" s="30">
        <f t="shared" si="1"/>
        <v>1.0000000000000002</v>
      </c>
    </row>
    <row r="21" spans="2:8" ht="19.5" customHeight="1" x14ac:dyDescent="0.25">
      <c r="B21" s="4" t="s">
        <v>22</v>
      </c>
      <c r="C21" s="4"/>
      <c r="D21" s="4"/>
      <c r="E21" s="4"/>
      <c r="F21" s="4"/>
      <c r="G21" s="4"/>
      <c r="H21" s="4"/>
    </row>
    <row r="22" spans="2:8" ht="18" customHeight="1" x14ac:dyDescent="0.25">
      <c r="B22" s="3" t="s">
        <v>23</v>
      </c>
      <c r="C22" s="3"/>
      <c r="D22" s="3" t="s">
        <v>24</v>
      </c>
      <c r="E22" s="3"/>
      <c r="F22" s="3"/>
      <c r="G22" s="3" t="s">
        <v>25</v>
      </c>
      <c r="H22" s="3"/>
    </row>
    <row r="23" spans="2:8" x14ac:dyDescent="0.25">
      <c r="B23" s="2" t="s">
        <v>26</v>
      </c>
      <c r="C23" s="2"/>
      <c r="D23" s="1">
        <f>((Personalkostenplanung!R17-Personalkostenplanung!H17-Personalkostenplanung!I17-Personalkostenplanung!J17)/12)</f>
        <v>68314.610416666663</v>
      </c>
      <c r="E23" s="1"/>
      <c r="F23" s="1"/>
      <c r="G23" s="59" t="s">
        <v>27</v>
      </c>
      <c r="H23" s="59"/>
    </row>
    <row r="24" spans="2:8" x14ac:dyDescent="0.25">
      <c r="B24" s="60" t="s">
        <v>28</v>
      </c>
      <c r="C24" s="60"/>
      <c r="D24" s="61">
        <f>((Personalkostenplanung!R17-Personalkostenplanung!H17-Personalkostenplanung!I17-Personalkostenplanung!J17)/12)</f>
        <v>68314.610416666663</v>
      </c>
      <c r="E24" s="61"/>
      <c r="F24" s="61"/>
      <c r="G24" s="62" t="s">
        <v>27</v>
      </c>
      <c r="H24" s="62"/>
    </row>
    <row r="25" spans="2:8" x14ac:dyDescent="0.25">
      <c r="B25" s="2" t="s">
        <v>29</v>
      </c>
      <c r="C25" s="2"/>
      <c r="D25" s="1">
        <f>((Personalkostenplanung!R17-Personalkostenplanung!H17-Personalkostenplanung!I17-Personalkostenplanung!J17)/12)</f>
        <v>68314.610416666663</v>
      </c>
      <c r="E25" s="1"/>
      <c r="F25" s="1"/>
      <c r="G25" s="59" t="s">
        <v>27</v>
      </c>
      <c r="H25" s="59"/>
    </row>
    <row r="26" spans="2:8" x14ac:dyDescent="0.25">
      <c r="B26" s="60" t="s">
        <v>30</v>
      </c>
      <c r="C26" s="60"/>
      <c r="D26" s="61">
        <f>((Personalkostenplanung!R17-Personalkostenplanung!H17-Personalkostenplanung!I17-Personalkostenplanung!J17)/12)</f>
        <v>68314.610416666663</v>
      </c>
      <c r="E26" s="61"/>
      <c r="F26" s="61"/>
      <c r="G26" s="62" t="s">
        <v>27</v>
      </c>
      <c r="H26" s="62"/>
    </row>
    <row r="27" spans="2:8" x14ac:dyDescent="0.25">
      <c r="B27" s="2" t="s">
        <v>31</v>
      </c>
      <c r="C27" s="2"/>
      <c r="D27" s="1">
        <f>((Personalkostenplanung!R17-Personalkostenplanung!H17-Personalkostenplanung!I17-Personalkostenplanung!J17)/12)</f>
        <v>68314.610416666663</v>
      </c>
      <c r="E27" s="1"/>
      <c r="F27" s="1"/>
      <c r="G27" s="59" t="s">
        <v>27</v>
      </c>
      <c r="H27" s="59"/>
    </row>
    <row r="28" spans="2:8" x14ac:dyDescent="0.25">
      <c r="B28" s="60" t="s">
        <v>32</v>
      </c>
      <c r="C28" s="60"/>
      <c r="D28" s="61">
        <f>((Personalkostenplanung!R17-Personalkostenplanung!H17-Personalkostenplanung!I17-Personalkostenplanung!J17)/12)+Personalkostenplanung!H17</f>
        <v>77914.610416666663</v>
      </c>
      <c r="E28" s="61"/>
      <c r="F28" s="61"/>
      <c r="G28" s="62" t="s">
        <v>33</v>
      </c>
      <c r="H28" s="62"/>
    </row>
    <row r="29" spans="2:8" x14ac:dyDescent="0.25">
      <c r="B29" s="2" t="s">
        <v>34</v>
      </c>
      <c r="C29" s="2"/>
      <c r="D29" s="1">
        <f>((Personalkostenplanung!R17-Personalkostenplanung!H17-Personalkostenplanung!I17-Personalkostenplanung!J17)/12)</f>
        <v>68314.610416666663</v>
      </c>
      <c r="E29" s="1"/>
      <c r="F29" s="1"/>
      <c r="G29" s="59" t="s">
        <v>27</v>
      </c>
      <c r="H29" s="59"/>
    </row>
    <row r="30" spans="2:8" x14ac:dyDescent="0.25">
      <c r="B30" s="60" t="s">
        <v>35</v>
      </c>
      <c r="C30" s="60"/>
      <c r="D30" s="61">
        <f>((Personalkostenplanung!R17-Personalkostenplanung!H17-Personalkostenplanung!I17-Personalkostenplanung!J17)/12)</f>
        <v>68314.610416666663</v>
      </c>
      <c r="E30" s="61"/>
      <c r="F30" s="61"/>
      <c r="G30" s="62" t="s">
        <v>27</v>
      </c>
      <c r="H30" s="62"/>
    </row>
    <row r="31" spans="2:8" x14ac:dyDescent="0.25">
      <c r="B31" s="2" t="s">
        <v>36</v>
      </c>
      <c r="C31" s="2"/>
      <c r="D31" s="1">
        <f>((Personalkostenplanung!R17-Personalkostenplanung!H17-Personalkostenplanung!I17-Personalkostenplanung!J17)/12)</f>
        <v>68314.610416666663</v>
      </c>
      <c r="E31" s="1"/>
      <c r="F31" s="1"/>
      <c r="G31" s="59" t="s">
        <v>27</v>
      </c>
      <c r="H31" s="59"/>
    </row>
    <row r="32" spans="2:8" x14ac:dyDescent="0.25">
      <c r="B32" s="60" t="s">
        <v>37</v>
      </c>
      <c r="C32" s="60"/>
      <c r="D32" s="61">
        <f>((Personalkostenplanung!R17-Personalkostenplanung!H17-Personalkostenplanung!I17-Personalkostenplanung!J17)/12)</f>
        <v>68314.610416666663</v>
      </c>
      <c r="E32" s="61"/>
      <c r="F32" s="61"/>
      <c r="G32" s="62" t="s">
        <v>27</v>
      </c>
      <c r="H32" s="62"/>
    </row>
    <row r="33" spans="2:8" x14ac:dyDescent="0.25">
      <c r="B33" s="2" t="s">
        <v>38</v>
      </c>
      <c r="C33" s="2"/>
      <c r="D33" s="1">
        <f>((Personalkostenplanung!R17-Personalkostenplanung!H17-Personalkostenplanung!I17-Personalkostenplanung!J17)/12)+Personalkostenplanung!I17+Personalkostenplanung!J17</f>
        <v>126814.61041666666</v>
      </c>
      <c r="E33" s="1"/>
      <c r="F33" s="1"/>
      <c r="G33" s="59" t="s">
        <v>39</v>
      </c>
      <c r="H33" s="59"/>
    </row>
    <row r="34" spans="2:8" x14ac:dyDescent="0.25">
      <c r="B34" s="60" t="s">
        <v>40</v>
      </c>
      <c r="C34" s="60"/>
      <c r="D34" s="61">
        <f>((Personalkostenplanung!R17-Personalkostenplanung!H17-Personalkostenplanung!I17-Personalkostenplanung!J17)/12)</f>
        <v>68314.610416666663</v>
      </c>
      <c r="E34" s="61"/>
      <c r="F34" s="61"/>
      <c r="G34" s="62" t="s">
        <v>27</v>
      </c>
      <c r="H34" s="62"/>
    </row>
    <row r="35" spans="2:8" x14ac:dyDescent="0.25">
      <c r="B35" s="63" t="s">
        <v>41</v>
      </c>
      <c r="C35" s="63"/>
      <c r="D35" s="64">
        <f>SUM(D23:F34)</f>
        <v>887875.32499999972</v>
      </c>
      <c r="E35" s="64"/>
      <c r="F35" s="64"/>
      <c r="G35" s="65" t="s">
        <v>42</v>
      </c>
      <c r="H35" s="65"/>
    </row>
    <row r="37" spans="2:8" ht="19.5" customHeight="1" x14ac:dyDescent="0.25">
      <c r="B37" s="66" t="str">
        <f>CONCATENATE("Szenario Folgejahr  ·  Hochrechnung mit Tarifanpassung von ",TEXT(Annahmen!C21,"0.0%")," → ",TEXT(Personalkostenplanung!R17*(1+Annahmen!C21),"#,##0 €")," p.a.")</f>
        <v>Szenario Folgejahr  ·  Hochrechnung mit Tarifanpassung von 03% → 914511,585 € p.a.</v>
      </c>
      <c r="C37" s="66"/>
      <c r="D37" s="66"/>
      <c r="E37" s="66"/>
      <c r="F37" s="66"/>
      <c r="G37" s="66"/>
      <c r="H37" s="66"/>
    </row>
    <row r="39" spans="2:8" x14ac:dyDescent="0.25">
      <c r="B39" s="67" t="s">
        <v>43</v>
      </c>
      <c r="C39" s="67"/>
      <c r="D39" s="67"/>
      <c r="E39" s="67"/>
      <c r="F39" s="67"/>
      <c r="G39" s="67"/>
      <c r="H39" s="67"/>
    </row>
    <row r="40" spans="2:8" ht="24" customHeight="1" x14ac:dyDescent="0.25">
      <c r="B40" s="68" t="s">
        <v>44</v>
      </c>
      <c r="C40" s="68"/>
      <c r="D40" s="68"/>
      <c r="E40" s="68"/>
      <c r="F40" s="68"/>
      <c r="G40" s="68"/>
      <c r="H40" s="68"/>
    </row>
    <row r="41" spans="2:8" ht="24" customHeight="1" x14ac:dyDescent="0.25">
      <c r="B41" s="68" t="s">
        <v>45</v>
      </c>
      <c r="C41" s="68"/>
      <c r="D41" s="68"/>
      <c r="E41" s="68"/>
      <c r="F41" s="68"/>
      <c r="G41" s="68"/>
      <c r="H41" s="68"/>
    </row>
    <row r="42" spans="2:8" ht="24" customHeight="1" x14ac:dyDescent="0.25">
      <c r="B42" s="68" t="s">
        <v>46</v>
      </c>
      <c r="C42" s="68"/>
      <c r="D42" s="68"/>
      <c r="E42" s="68"/>
      <c r="F42" s="68"/>
      <c r="G42" s="68"/>
      <c r="H42" s="68"/>
    </row>
    <row r="43" spans="2:8" ht="24" customHeight="1" x14ac:dyDescent="0.25">
      <c r="B43" s="68" t="s">
        <v>47</v>
      </c>
      <c r="C43" s="68"/>
      <c r="D43" s="68"/>
      <c r="E43" s="68"/>
      <c r="F43" s="68"/>
      <c r="G43" s="68"/>
      <c r="H43" s="68"/>
    </row>
  </sheetData>
  <mergeCells count="64">
    <mergeCell ref="B43:H43"/>
    <mergeCell ref="B37:H37"/>
    <mergeCell ref="B39:H39"/>
    <mergeCell ref="B40:H40"/>
    <mergeCell ref="B41:H41"/>
    <mergeCell ref="B42:H42"/>
    <mergeCell ref="B34:C34"/>
    <mergeCell ref="D34:F34"/>
    <mergeCell ref="G34:H34"/>
    <mergeCell ref="B35:C35"/>
    <mergeCell ref="D35:F35"/>
    <mergeCell ref="G35:H35"/>
    <mergeCell ref="B32:C32"/>
    <mergeCell ref="D32:F32"/>
    <mergeCell ref="G32:H32"/>
    <mergeCell ref="B33:C33"/>
    <mergeCell ref="D33:F33"/>
    <mergeCell ref="G33:H33"/>
    <mergeCell ref="B30:C30"/>
    <mergeCell ref="D30:F30"/>
    <mergeCell ref="G30:H30"/>
    <mergeCell ref="B31:C31"/>
    <mergeCell ref="D31:F31"/>
    <mergeCell ref="G31:H31"/>
    <mergeCell ref="B28:C28"/>
    <mergeCell ref="D28:F28"/>
    <mergeCell ref="G28:H28"/>
    <mergeCell ref="B29:C29"/>
    <mergeCell ref="D29:F29"/>
    <mergeCell ref="G29:H29"/>
    <mergeCell ref="B26:C26"/>
    <mergeCell ref="D26:F26"/>
    <mergeCell ref="G26:H26"/>
    <mergeCell ref="B27:C27"/>
    <mergeCell ref="D27:F27"/>
    <mergeCell ref="G27:H27"/>
    <mergeCell ref="B24:C24"/>
    <mergeCell ref="D24:F24"/>
    <mergeCell ref="G24:H24"/>
    <mergeCell ref="B25:C25"/>
    <mergeCell ref="D25:F25"/>
    <mergeCell ref="G25:H25"/>
    <mergeCell ref="B22:C22"/>
    <mergeCell ref="D22:F22"/>
    <mergeCell ref="G22:H22"/>
    <mergeCell ref="B23:C23"/>
    <mergeCell ref="D23:F23"/>
    <mergeCell ref="G23:H23"/>
    <mergeCell ref="B9:C9"/>
    <mergeCell ref="D9:E9"/>
    <mergeCell ref="F9:G9"/>
    <mergeCell ref="B11:H11"/>
    <mergeCell ref="B21:H21"/>
    <mergeCell ref="B6:C6"/>
    <mergeCell ref="D6:E6"/>
    <mergeCell ref="F6:G6"/>
    <mergeCell ref="B8:C8"/>
    <mergeCell ref="D8:E8"/>
    <mergeCell ref="F8:G8"/>
    <mergeCell ref="B2:H2"/>
    <mergeCell ref="B3:H3"/>
    <mergeCell ref="B5:C5"/>
    <mergeCell ref="D5:E5"/>
    <mergeCell ref="F5:G5"/>
  </mergeCells>
  <conditionalFormatting sqref="D23:D34">
    <cfRule type="dataBar" priority="3">
      <dataBar>
        <cfvo type="num" val="0"/>
        <cfvo type="max"/>
        <color rgb="FFA6485F"/>
      </dataBar>
      <extLst>
        <ext xmlns:x14="http://schemas.microsoft.com/office/spreadsheetml/2009/9/main" uri="{B025F937-C7B1-47D3-B67F-A62EFF666E3E}">
          <x14:id>{AD26836F-FAE0-4169-BFB1-84C066338594}</x14:id>
        </ext>
      </extLst>
    </cfRule>
  </conditionalFormatting>
  <conditionalFormatting sqref="G13:G18">
    <cfRule type="dataBar" priority="2">
      <dataBar>
        <cfvo type="num" val="0"/>
        <cfvo type="max"/>
        <color rgb="FFB8893A"/>
      </dataBar>
      <extLst>
        <ext xmlns:x14="http://schemas.microsoft.com/office/spreadsheetml/2009/9/main" uri="{B025F937-C7B1-47D3-B67F-A62EFF666E3E}">
          <x14:id>{9044E11E-A54C-4D22-AE40-E6AEAF28F7B5}</x14:id>
        </ext>
      </extLst>
    </cfRule>
  </conditionalFormatting>
  <pageMargins left="0.3" right="0.3" top="0.4" bottom="0.4" header="0.511811023622047" footer="0.511811023622047"/>
  <pageSetup paperSize="9"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26836F-FAE0-4169-BFB1-84C066338594}">
            <x14:dataBar axisPosition="none">
              <x14:cfvo type="num">
                <xm:f>0</xm:f>
              </x14:cfvo>
              <x14:cfvo type="max"/>
              <x14:negativeFillColor rgb="FFA6485F"/>
            </x14:dataBar>
          </x14:cfRule>
          <xm:sqref>D23:D34</xm:sqref>
        </x14:conditionalFormatting>
        <x14:conditionalFormatting xmlns:xm="http://schemas.microsoft.com/office/excel/2006/main">
          <x14:cfRule type="dataBar" id="{9044E11E-A54C-4D22-AE40-E6AEAF28F7B5}">
            <x14:dataBar axisPosition="none">
              <x14:cfvo type="num">
                <xm:f>0</xm:f>
              </x14:cfvo>
              <x14:cfvo type="max"/>
              <x14:negativeFillColor rgb="FFB8893A"/>
            </x14:dataBar>
          </x14:cfRule>
          <xm:sqref>G13:G18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7"/>
  <sheetViews>
    <sheetView showGridLines="0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9" customWidth="1"/>
    <col min="2" max="2" width="24" customWidth="1"/>
    <col min="3" max="3" width="17" customWidth="1"/>
    <col min="4" max="4" width="24" customWidth="1"/>
    <col min="5" max="5" width="12" customWidth="1"/>
    <col min="6" max="6" width="10" customWidth="1"/>
    <col min="7" max="7" width="13" customWidth="1"/>
    <col min="8" max="8" width="12" customWidth="1"/>
    <col min="9" max="9" width="13" customWidth="1"/>
    <col min="10" max="10" width="12" customWidth="1"/>
    <col min="11" max="15" width="15" customWidth="1"/>
    <col min="16" max="17" width="13" customWidth="1"/>
    <col min="18" max="18" width="16" customWidth="1"/>
    <col min="19" max="19" width="13" customWidth="1"/>
    <col min="20" max="20" width="12" customWidth="1"/>
  </cols>
  <sheetData>
    <row r="1" spans="1:20" ht="27.75" customHeight="1" x14ac:dyDescent="0.25">
      <c r="A1" s="69" t="s">
        <v>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15.75" customHeight="1" x14ac:dyDescent="0.25">
      <c r="A2" s="70" t="s">
        <v>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4" spans="1:20" ht="45.75" customHeight="1" x14ac:dyDescent="0.25">
      <c r="A4" s="31" t="s">
        <v>50</v>
      </c>
      <c r="B4" s="31" t="s">
        <v>51</v>
      </c>
      <c r="C4" s="31" t="s">
        <v>8</v>
      </c>
      <c r="D4" s="31" t="s">
        <v>52</v>
      </c>
      <c r="E4" s="31" t="s">
        <v>53</v>
      </c>
      <c r="F4" s="31" t="s">
        <v>54</v>
      </c>
      <c r="G4" s="31" t="s">
        <v>55</v>
      </c>
      <c r="H4" s="31" t="s">
        <v>56</v>
      </c>
      <c r="I4" s="31" t="s">
        <v>57</v>
      </c>
      <c r="J4" s="31" t="s">
        <v>58</v>
      </c>
      <c r="K4" s="31" t="s">
        <v>59</v>
      </c>
      <c r="L4" s="31" t="s">
        <v>60</v>
      </c>
      <c r="M4" s="31" t="s">
        <v>61</v>
      </c>
      <c r="N4" s="31" t="s">
        <v>62</v>
      </c>
      <c r="O4" s="31" t="s">
        <v>63</v>
      </c>
      <c r="P4" s="31" t="s">
        <v>64</v>
      </c>
      <c r="Q4" s="31" t="s">
        <v>65</v>
      </c>
      <c r="R4" s="31" t="s">
        <v>66</v>
      </c>
      <c r="S4" s="31" t="s">
        <v>67</v>
      </c>
      <c r="T4" s="31" t="s">
        <v>68</v>
      </c>
    </row>
    <row r="5" spans="1:20" ht="18" customHeight="1" x14ac:dyDescent="0.25">
      <c r="A5" s="32" t="s">
        <v>69</v>
      </c>
      <c r="B5" s="33" t="s">
        <v>70</v>
      </c>
      <c r="C5" s="33" t="s">
        <v>15</v>
      </c>
      <c r="D5" s="33" t="s">
        <v>71</v>
      </c>
      <c r="E5" s="34" t="s">
        <v>72</v>
      </c>
      <c r="F5" s="35">
        <v>1</v>
      </c>
      <c r="G5" s="36">
        <v>9500</v>
      </c>
      <c r="H5" s="36">
        <v>0</v>
      </c>
      <c r="I5" s="36">
        <v>0</v>
      </c>
      <c r="J5" s="36">
        <v>12000</v>
      </c>
      <c r="K5" s="37">
        <f t="shared" ref="K5:K16" si="0">G5*12+H5+I5+J5</f>
        <v>126000</v>
      </c>
      <c r="L5" s="37">
        <f>MIN(K5,Annahmen!$C$17)*(Annahmen!$C$5+Annahmen!$C$6)</f>
        <v>10748.4</v>
      </c>
      <c r="M5" s="37">
        <f>MIN(K5,Annahmen!$C$16)*(Annahmen!$C$7+Annahmen!$C$8)</f>
        <v>7358.625</v>
      </c>
      <c r="N5" s="37">
        <f>K5*(Annahmen!$C$9+Annahmen!$C$10+Annahmen!$C$11+Annahmen!$C$12)</f>
        <v>4347</v>
      </c>
      <c r="O5" s="37">
        <f t="shared" ref="O5:O16" si="1">L5+M5+N5</f>
        <v>22454.025000000001</v>
      </c>
      <c r="P5" s="36">
        <v>1200</v>
      </c>
      <c r="Q5" s="36">
        <v>3600</v>
      </c>
      <c r="R5" s="38">
        <f t="shared" ref="R5:R16" si="2">K5+O5+P5+Q5</f>
        <v>153254.02499999999</v>
      </c>
      <c r="S5" s="37">
        <f t="shared" ref="S5:S17" si="3">R5/12</f>
        <v>12771.168749999999</v>
      </c>
      <c r="T5" s="39">
        <f t="shared" ref="T5:T17" si="4">(O5+P5+Q5)/K5</f>
        <v>0.21630178571428574</v>
      </c>
    </row>
    <row r="6" spans="1:20" ht="18" customHeight="1" x14ac:dyDescent="0.25">
      <c r="A6" s="40" t="s">
        <v>73</v>
      </c>
      <c r="B6" s="41" t="s">
        <v>74</v>
      </c>
      <c r="C6" s="41" t="s">
        <v>16</v>
      </c>
      <c r="D6" s="41" t="s">
        <v>75</v>
      </c>
      <c r="E6" s="42" t="s">
        <v>76</v>
      </c>
      <c r="F6" s="35">
        <v>1</v>
      </c>
      <c r="G6" s="36">
        <v>6200</v>
      </c>
      <c r="H6" s="36">
        <v>1500</v>
      </c>
      <c r="I6" s="36">
        <v>5000</v>
      </c>
      <c r="J6" s="36">
        <v>6000</v>
      </c>
      <c r="K6" s="43">
        <f t="shared" si="0"/>
        <v>86900</v>
      </c>
      <c r="L6" s="43">
        <f>MIN(K6,Annahmen!$C$17)*(Annahmen!$C$5+Annahmen!$C$6)</f>
        <v>9211.4</v>
      </c>
      <c r="M6" s="43">
        <f>MIN(K6,Annahmen!$C$16)*(Annahmen!$C$7+Annahmen!$C$8)</f>
        <v>7358.625</v>
      </c>
      <c r="N6" s="43">
        <f>K6*(Annahmen!$C$9+Annahmen!$C$10+Annahmen!$C$11+Annahmen!$C$12)</f>
        <v>2998.05</v>
      </c>
      <c r="O6" s="43">
        <f t="shared" si="1"/>
        <v>19568.075000000001</v>
      </c>
      <c r="P6" s="36">
        <v>600</v>
      </c>
      <c r="Q6" s="36">
        <v>2400</v>
      </c>
      <c r="R6" s="44">
        <f t="shared" si="2"/>
        <v>109468.075</v>
      </c>
      <c r="S6" s="43">
        <f t="shared" si="3"/>
        <v>9122.3395833333325</v>
      </c>
      <c r="T6" s="45">
        <f t="shared" si="4"/>
        <v>0.25970166858457999</v>
      </c>
    </row>
    <row r="7" spans="1:20" ht="18" customHeight="1" x14ac:dyDescent="0.25">
      <c r="A7" s="32" t="s">
        <v>77</v>
      </c>
      <c r="B7" s="33" t="s">
        <v>78</v>
      </c>
      <c r="C7" s="33" t="s">
        <v>16</v>
      </c>
      <c r="D7" s="33" t="s">
        <v>79</v>
      </c>
      <c r="E7" s="34" t="s">
        <v>80</v>
      </c>
      <c r="F7" s="35">
        <v>1</v>
      </c>
      <c r="G7" s="36">
        <v>3800</v>
      </c>
      <c r="H7" s="36">
        <v>1000</v>
      </c>
      <c r="I7" s="36">
        <v>2500</v>
      </c>
      <c r="J7" s="36">
        <v>3000</v>
      </c>
      <c r="K7" s="37">
        <f t="shared" si="0"/>
        <v>52100</v>
      </c>
      <c r="L7" s="37">
        <f>MIN(K7,Annahmen!$C$17)*(Annahmen!$C$5+Annahmen!$C$6)</f>
        <v>5522.5999999999995</v>
      </c>
      <c r="M7" s="37">
        <f>MIN(K7,Annahmen!$C$16)*(Annahmen!$C$7+Annahmen!$C$8)</f>
        <v>5496.55</v>
      </c>
      <c r="N7" s="37">
        <f>K7*(Annahmen!$C$9+Annahmen!$C$10+Annahmen!$C$11+Annahmen!$C$12)</f>
        <v>1797.45</v>
      </c>
      <c r="O7" s="37">
        <f t="shared" si="1"/>
        <v>12816.6</v>
      </c>
      <c r="P7" s="36">
        <v>360</v>
      </c>
      <c r="Q7" s="36">
        <v>4200</v>
      </c>
      <c r="R7" s="38">
        <f t="shared" si="2"/>
        <v>69476.600000000006</v>
      </c>
      <c r="S7" s="37">
        <f t="shared" si="3"/>
        <v>5789.7166666666672</v>
      </c>
      <c r="T7" s="39">
        <f t="shared" si="4"/>
        <v>0.33352399232245677</v>
      </c>
    </row>
    <row r="8" spans="1:20" ht="18" customHeight="1" x14ac:dyDescent="0.25">
      <c r="A8" s="40" t="s">
        <v>81</v>
      </c>
      <c r="B8" s="41" t="s">
        <v>82</v>
      </c>
      <c r="C8" s="41" t="s">
        <v>17</v>
      </c>
      <c r="D8" s="41" t="s">
        <v>83</v>
      </c>
      <c r="E8" s="42" t="s">
        <v>84</v>
      </c>
      <c r="F8" s="35">
        <v>1</v>
      </c>
      <c r="G8" s="36">
        <v>4500</v>
      </c>
      <c r="H8" s="36">
        <v>1000</v>
      </c>
      <c r="I8" s="36">
        <v>3000</v>
      </c>
      <c r="J8" s="36">
        <v>1500</v>
      </c>
      <c r="K8" s="43">
        <f t="shared" si="0"/>
        <v>59500</v>
      </c>
      <c r="L8" s="43">
        <f>MIN(K8,Annahmen!$C$17)*(Annahmen!$C$5+Annahmen!$C$6)</f>
        <v>6307</v>
      </c>
      <c r="M8" s="43">
        <f>MIN(K8,Annahmen!$C$16)*(Annahmen!$C$7+Annahmen!$C$8)</f>
        <v>6277.25</v>
      </c>
      <c r="N8" s="43">
        <f>K8*(Annahmen!$C$9+Annahmen!$C$10+Annahmen!$C$11+Annahmen!$C$12)</f>
        <v>2052.75</v>
      </c>
      <c r="O8" s="43">
        <f t="shared" si="1"/>
        <v>14637</v>
      </c>
      <c r="P8" s="36">
        <v>360</v>
      </c>
      <c r="Q8" s="36">
        <v>1200</v>
      </c>
      <c r="R8" s="44">
        <f t="shared" si="2"/>
        <v>75697</v>
      </c>
      <c r="S8" s="43">
        <f t="shared" si="3"/>
        <v>6308.083333333333</v>
      </c>
      <c r="T8" s="45">
        <f t="shared" si="4"/>
        <v>0.27221848739495796</v>
      </c>
    </row>
    <row r="9" spans="1:20" ht="18" customHeight="1" x14ac:dyDescent="0.25">
      <c r="A9" s="32" t="s">
        <v>85</v>
      </c>
      <c r="B9" s="33" t="s">
        <v>86</v>
      </c>
      <c r="C9" s="33" t="s">
        <v>17</v>
      </c>
      <c r="D9" s="33" t="s">
        <v>87</v>
      </c>
      <c r="E9" s="34" t="s">
        <v>88</v>
      </c>
      <c r="F9" s="35">
        <v>0.5</v>
      </c>
      <c r="G9" s="36">
        <v>1900</v>
      </c>
      <c r="H9" s="36">
        <v>0</v>
      </c>
      <c r="I9" s="36">
        <v>0</v>
      </c>
      <c r="J9" s="36">
        <v>0</v>
      </c>
      <c r="K9" s="37">
        <f t="shared" si="0"/>
        <v>22800</v>
      </c>
      <c r="L9" s="37">
        <f>MIN(K9,Annahmen!$C$17)*(Annahmen!$C$5+Annahmen!$C$6)</f>
        <v>2416.7999999999997</v>
      </c>
      <c r="M9" s="37">
        <f>MIN(K9,Annahmen!$C$16)*(Annahmen!$C$7+Annahmen!$C$8)</f>
        <v>2405.4</v>
      </c>
      <c r="N9" s="37">
        <f>K9*(Annahmen!$C$9+Annahmen!$C$10+Annahmen!$C$11+Annahmen!$C$12)</f>
        <v>786.6</v>
      </c>
      <c r="O9" s="37">
        <f t="shared" si="1"/>
        <v>5608.8</v>
      </c>
      <c r="P9" s="36">
        <v>0</v>
      </c>
      <c r="Q9" s="36">
        <v>600</v>
      </c>
      <c r="R9" s="38">
        <f t="shared" si="2"/>
        <v>29008.799999999999</v>
      </c>
      <c r="S9" s="37">
        <f t="shared" si="3"/>
        <v>2417.4</v>
      </c>
      <c r="T9" s="39">
        <f t="shared" si="4"/>
        <v>0.27231578947368423</v>
      </c>
    </row>
    <row r="10" spans="1:20" ht="18" customHeight="1" x14ac:dyDescent="0.25">
      <c r="A10" s="40" t="s">
        <v>89</v>
      </c>
      <c r="B10" s="41" t="s">
        <v>90</v>
      </c>
      <c r="C10" s="41" t="s">
        <v>18</v>
      </c>
      <c r="D10" s="41" t="s">
        <v>91</v>
      </c>
      <c r="E10" s="42" t="s">
        <v>92</v>
      </c>
      <c r="F10" s="35">
        <v>1</v>
      </c>
      <c r="G10" s="36">
        <v>5500</v>
      </c>
      <c r="H10" s="36">
        <v>1200</v>
      </c>
      <c r="I10" s="36">
        <v>3500</v>
      </c>
      <c r="J10" s="36">
        <v>2500</v>
      </c>
      <c r="K10" s="43">
        <f t="shared" si="0"/>
        <v>73200</v>
      </c>
      <c r="L10" s="43">
        <f>MIN(K10,Annahmen!$C$17)*(Annahmen!$C$5+Annahmen!$C$6)</f>
        <v>7759.2</v>
      </c>
      <c r="M10" s="43">
        <f>MIN(K10,Annahmen!$C$16)*(Annahmen!$C$7+Annahmen!$C$8)</f>
        <v>7358.625</v>
      </c>
      <c r="N10" s="43">
        <f>K10*(Annahmen!$C$9+Annahmen!$C$10+Annahmen!$C$11+Annahmen!$C$12)</f>
        <v>2525.4</v>
      </c>
      <c r="O10" s="43">
        <f t="shared" si="1"/>
        <v>17643.225000000002</v>
      </c>
      <c r="P10" s="36">
        <v>480</v>
      </c>
      <c r="Q10" s="36">
        <v>1800</v>
      </c>
      <c r="R10" s="44">
        <f t="shared" si="2"/>
        <v>93123.225000000006</v>
      </c>
      <c r="S10" s="43">
        <f t="shared" si="3"/>
        <v>7760.2687500000002</v>
      </c>
      <c r="T10" s="45">
        <f t="shared" si="4"/>
        <v>0.27217520491803282</v>
      </c>
    </row>
    <row r="11" spans="1:20" ht="18" customHeight="1" x14ac:dyDescent="0.25">
      <c r="A11" s="32" t="s">
        <v>93</v>
      </c>
      <c r="B11" s="33" t="s">
        <v>94</v>
      </c>
      <c r="C11" s="33" t="s">
        <v>18</v>
      </c>
      <c r="D11" s="33" t="s">
        <v>95</v>
      </c>
      <c r="E11" s="34" t="s">
        <v>96</v>
      </c>
      <c r="F11" s="35">
        <v>1</v>
      </c>
      <c r="G11" s="36">
        <v>4800</v>
      </c>
      <c r="H11" s="36">
        <v>1000</v>
      </c>
      <c r="I11" s="36">
        <v>3000</v>
      </c>
      <c r="J11" s="36">
        <v>1500</v>
      </c>
      <c r="K11" s="37">
        <f t="shared" si="0"/>
        <v>63100</v>
      </c>
      <c r="L11" s="37">
        <f>MIN(K11,Annahmen!$C$17)*(Annahmen!$C$5+Annahmen!$C$6)</f>
        <v>6688.5999999999995</v>
      </c>
      <c r="M11" s="37">
        <f>MIN(K11,Annahmen!$C$16)*(Annahmen!$C$7+Annahmen!$C$8)</f>
        <v>6657.05</v>
      </c>
      <c r="N11" s="37">
        <f>K11*(Annahmen!$C$9+Annahmen!$C$10+Annahmen!$C$11+Annahmen!$C$12)</f>
        <v>2176.9500000000003</v>
      </c>
      <c r="O11" s="37">
        <f t="shared" si="1"/>
        <v>15522.6</v>
      </c>
      <c r="P11" s="36">
        <v>480</v>
      </c>
      <c r="Q11" s="36">
        <v>1200</v>
      </c>
      <c r="R11" s="38">
        <f t="shared" si="2"/>
        <v>80302.600000000006</v>
      </c>
      <c r="S11" s="37">
        <f t="shared" si="3"/>
        <v>6691.8833333333341</v>
      </c>
      <c r="T11" s="39">
        <f t="shared" si="4"/>
        <v>0.27262440570522978</v>
      </c>
    </row>
    <row r="12" spans="1:20" ht="18" customHeight="1" x14ac:dyDescent="0.25">
      <c r="A12" s="40" t="s">
        <v>97</v>
      </c>
      <c r="B12" s="41" t="s">
        <v>98</v>
      </c>
      <c r="C12" s="41" t="s">
        <v>19</v>
      </c>
      <c r="D12" s="41" t="s">
        <v>99</v>
      </c>
      <c r="E12" s="42" t="s">
        <v>100</v>
      </c>
      <c r="F12" s="35">
        <v>1</v>
      </c>
      <c r="G12" s="36">
        <v>3900</v>
      </c>
      <c r="H12" s="36">
        <v>1000</v>
      </c>
      <c r="I12" s="36">
        <v>2800</v>
      </c>
      <c r="J12" s="36">
        <v>800</v>
      </c>
      <c r="K12" s="43">
        <f t="shared" si="0"/>
        <v>51400</v>
      </c>
      <c r="L12" s="43">
        <f>MIN(K12,Annahmen!$C$17)*(Annahmen!$C$5+Annahmen!$C$6)</f>
        <v>5448.4</v>
      </c>
      <c r="M12" s="43">
        <f>MIN(K12,Annahmen!$C$16)*(Annahmen!$C$7+Annahmen!$C$8)</f>
        <v>5422.7</v>
      </c>
      <c r="N12" s="43">
        <f>K12*(Annahmen!$C$9+Annahmen!$C$10+Annahmen!$C$11+Annahmen!$C$12)</f>
        <v>1773.3000000000002</v>
      </c>
      <c r="O12" s="43">
        <f t="shared" si="1"/>
        <v>12644.399999999998</v>
      </c>
      <c r="P12" s="36">
        <v>360</v>
      </c>
      <c r="Q12" s="36">
        <v>900</v>
      </c>
      <c r="R12" s="44">
        <f t="shared" si="2"/>
        <v>65304.399999999994</v>
      </c>
      <c r="S12" s="43">
        <f t="shared" si="3"/>
        <v>5442.0333333333328</v>
      </c>
      <c r="T12" s="45">
        <f t="shared" si="4"/>
        <v>0.27051361867704277</v>
      </c>
    </row>
    <row r="13" spans="1:20" ht="18" customHeight="1" x14ac:dyDescent="0.25">
      <c r="A13" s="32" t="s">
        <v>101</v>
      </c>
      <c r="B13" s="33" t="s">
        <v>102</v>
      </c>
      <c r="C13" s="33" t="s">
        <v>19</v>
      </c>
      <c r="D13" s="33" t="s">
        <v>103</v>
      </c>
      <c r="E13" s="34" t="s">
        <v>104</v>
      </c>
      <c r="F13" s="35">
        <v>0.75</v>
      </c>
      <c r="G13" s="36">
        <v>2900</v>
      </c>
      <c r="H13" s="36">
        <v>800</v>
      </c>
      <c r="I13" s="36">
        <v>2000</v>
      </c>
      <c r="J13" s="36">
        <v>500</v>
      </c>
      <c r="K13" s="37">
        <f t="shared" si="0"/>
        <v>38100</v>
      </c>
      <c r="L13" s="37">
        <f>MIN(K13,Annahmen!$C$17)*(Annahmen!$C$5+Annahmen!$C$6)</f>
        <v>4038.6</v>
      </c>
      <c r="M13" s="37">
        <f>MIN(K13,Annahmen!$C$16)*(Annahmen!$C$7+Annahmen!$C$8)</f>
        <v>4019.5499999999997</v>
      </c>
      <c r="N13" s="37">
        <f>K13*(Annahmen!$C$9+Annahmen!$C$10+Annahmen!$C$11+Annahmen!$C$12)</f>
        <v>1314.45</v>
      </c>
      <c r="O13" s="37">
        <f t="shared" si="1"/>
        <v>9372.6</v>
      </c>
      <c r="P13" s="36">
        <v>300</v>
      </c>
      <c r="Q13" s="36">
        <v>900</v>
      </c>
      <c r="R13" s="38">
        <f t="shared" si="2"/>
        <v>48672.6</v>
      </c>
      <c r="S13" s="37">
        <f t="shared" si="3"/>
        <v>4056.0499999999997</v>
      </c>
      <c r="T13" s="39">
        <f t="shared" si="4"/>
        <v>0.27749606299212598</v>
      </c>
    </row>
    <row r="14" spans="1:20" ht="18" customHeight="1" x14ac:dyDescent="0.25">
      <c r="A14" s="40" t="s">
        <v>105</v>
      </c>
      <c r="B14" s="41" t="s">
        <v>106</v>
      </c>
      <c r="C14" s="41" t="s">
        <v>20</v>
      </c>
      <c r="D14" s="41" t="s">
        <v>107</v>
      </c>
      <c r="E14" s="42" t="s">
        <v>108</v>
      </c>
      <c r="F14" s="35">
        <v>1</v>
      </c>
      <c r="G14" s="36">
        <v>5200</v>
      </c>
      <c r="H14" s="36">
        <v>1200</v>
      </c>
      <c r="I14" s="36">
        <v>3500</v>
      </c>
      <c r="J14" s="36">
        <v>2000</v>
      </c>
      <c r="K14" s="43">
        <f t="shared" si="0"/>
        <v>69100</v>
      </c>
      <c r="L14" s="43">
        <f>MIN(K14,Annahmen!$C$17)*(Annahmen!$C$5+Annahmen!$C$6)</f>
        <v>7324.5999999999995</v>
      </c>
      <c r="M14" s="43">
        <f>MIN(K14,Annahmen!$C$16)*(Annahmen!$C$7+Annahmen!$C$8)</f>
        <v>7290.05</v>
      </c>
      <c r="N14" s="43">
        <f>K14*(Annahmen!$C$9+Annahmen!$C$10+Annahmen!$C$11+Annahmen!$C$12)</f>
        <v>2383.9500000000003</v>
      </c>
      <c r="O14" s="43">
        <f t="shared" si="1"/>
        <v>16998.599999999999</v>
      </c>
      <c r="P14" s="36">
        <v>480</v>
      </c>
      <c r="Q14" s="36">
        <v>1500</v>
      </c>
      <c r="R14" s="44">
        <f t="shared" si="2"/>
        <v>88078.6</v>
      </c>
      <c r="S14" s="43">
        <f t="shared" si="3"/>
        <v>7339.8833333333341</v>
      </c>
      <c r="T14" s="45">
        <f t="shared" si="4"/>
        <v>0.27465412445730825</v>
      </c>
    </row>
    <row r="15" spans="1:20" ht="18" customHeight="1" x14ac:dyDescent="0.25">
      <c r="A15" s="32" t="s">
        <v>109</v>
      </c>
      <c r="B15" s="33" t="s">
        <v>110</v>
      </c>
      <c r="C15" s="33" t="s">
        <v>20</v>
      </c>
      <c r="D15" s="33" t="s">
        <v>111</v>
      </c>
      <c r="E15" s="34" t="s">
        <v>112</v>
      </c>
      <c r="F15" s="35">
        <v>1</v>
      </c>
      <c r="G15" s="36">
        <v>3400</v>
      </c>
      <c r="H15" s="36">
        <v>900</v>
      </c>
      <c r="I15" s="36">
        <v>2200</v>
      </c>
      <c r="J15" s="36">
        <v>600</v>
      </c>
      <c r="K15" s="37">
        <f t="shared" si="0"/>
        <v>44500</v>
      </c>
      <c r="L15" s="37">
        <f>MIN(K15,Annahmen!$C$17)*(Annahmen!$C$5+Annahmen!$C$6)</f>
        <v>4717</v>
      </c>
      <c r="M15" s="37">
        <f>MIN(K15,Annahmen!$C$16)*(Annahmen!$C$7+Annahmen!$C$8)</f>
        <v>4694.75</v>
      </c>
      <c r="N15" s="37">
        <f>K15*(Annahmen!$C$9+Annahmen!$C$10+Annahmen!$C$11+Annahmen!$C$12)</f>
        <v>1535.2500000000002</v>
      </c>
      <c r="O15" s="37">
        <f t="shared" si="1"/>
        <v>10947</v>
      </c>
      <c r="P15" s="36">
        <v>300</v>
      </c>
      <c r="Q15" s="36">
        <v>1200</v>
      </c>
      <c r="R15" s="38">
        <f t="shared" si="2"/>
        <v>56947</v>
      </c>
      <c r="S15" s="37">
        <f t="shared" si="3"/>
        <v>4745.583333333333</v>
      </c>
      <c r="T15" s="39">
        <f t="shared" si="4"/>
        <v>0.27970786516853935</v>
      </c>
    </row>
    <row r="16" spans="1:20" ht="18" customHeight="1" x14ac:dyDescent="0.25">
      <c r="A16" s="40" t="s">
        <v>113</v>
      </c>
      <c r="B16" s="41" t="s">
        <v>114</v>
      </c>
      <c r="C16" s="41" t="s">
        <v>20</v>
      </c>
      <c r="D16" s="41" t="s">
        <v>115</v>
      </c>
      <c r="E16" s="42" t="s">
        <v>116</v>
      </c>
      <c r="F16" s="35">
        <v>1</v>
      </c>
      <c r="G16" s="36">
        <v>1150</v>
      </c>
      <c r="H16" s="36">
        <v>0</v>
      </c>
      <c r="I16" s="36">
        <v>600</v>
      </c>
      <c r="J16" s="36">
        <v>0</v>
      </c>
      <c r="K16" s="43">
        <f t="shared" si="0"/>
        <v>14400</v>
      </c>
      <c r="L16" s="43">
        <f>MIN(K16,Annahmen!$C$17)*(Annahmen!$C$5+Annahmen!$C$6)</f>
        <v>1526.3999999999999</v>
      </c>
      <c r="M16" s="43">
        <f>MIN(K16,Annahmen!$C$16)*(Annahmen!$C$7+Annahmen!$C$8)</f>
        <v>1519.2</v>
      </c>
      <c r="N16" s="43">
        <f>K16*(Annahmen!$C$9+Annahmen!$C$10+Annahmen!$C$11+Annahmen!$C$12)</f>
        <v>496.80000000000007</v>
      </c>
      <c r="O16" s="43">
        <f t="shared" si="1"/>
        <v>3542.4</v>
      </c>
      <c r="P16" s="36">
        <v>0</v>
      </c>
      <c r="Q16" s="36">
        <v>600</v>
      </c>
      <c r="R16" s="44">
        <f t="shared" si="2"/>
        <v>18542.400000000001</v>
      </c>
      <c r="S16" s="43">
        <f t="shared" si="3"/>
        <v>1545.2</v>
      </c>
      <c r="T16" s="45">
        <f t="shared" si="4"/>
        <v>0.28766666666666663</v>
      </c>
    </row>
    <row r="17" spans="1:20" ht="19.5" customHeight="1" x14ac:dyDescent="0.25">
      <c r="A17" s="71" t="s">
        <v>21</v>
      </c>
      <c r="B17" s="71"/>
      <c r="C17" s="71"/>
      <c r="D17" s="46" t="str">
        <f>COUNTA(B5:B16)&amp;" Mitarbeiter/-innen"</f>
        <v>12 Mitarbeiter/-innen</v>
      </c>
      <c r="E17" s="47"/>
      <c r="F17" s="48">
        <f t="shared" ref="F17:R17" si="5">SUM(F5:F16)</f>
        <v>11.25</v>
      </c>
      <c r="G17" s="49">
        <f t="shared" si="5"/>
        <v>52750</v>
      </c>
      <c r="H17" s="49">
        <f t="shared" si="5"/>
        <v>9600</v>
      </c>
      <c r="I17" s="49">
        <f t="shared" si="5"/>
        <v>28100</v>
      </c>
      <c r="J17" s="49">
        <f t="shared" si="5"/>
        <v>30400</v>
      </c>
      <c r="K17" s="49">
        <f t="shared" si="5"/>
        <v>701100</v>
      </c>
      <c r="L17" s="49">
        <f t="shared" si="5"/>
        <v>71708.999999999985</v>
      </c>
      <c r="M17" s="49">
        <f t="shared" si="5"/>
        <v>65858.375</v>
      </c>
      <c r="N17" s="49">
        <f t="shared" si="5"/>
        <v>24187.95</v>
      </c>
      <c r="O17" s="49">
        <f t="shared" si="5"/>
        <v>161755.32500000001</v>
      </c>
      <c r="P17" s="49">
        <f t="shared" si="5"/>
        <v>4920</v>
      </c>
      <c r="Q17" s="49">
        <f t="shared" si="5"/>
        <v>20100</v>
      </c>
      <c r="R17" s="49">
        <f t="shared" si="5"/>
        <v>887875.32499999995</v>
      </c>
      <c r="S17" s="49">
        <f t="shared" si="3"/>
        <v>73989.610416666663</v>
      </c>
      <c r="T17" s="50">
        <f t="shared" si="4"/>
        <v>0.26640325916417062</v>
      </c>
    </row>
  </sheetData>
  <mergeCells count="3">
    <mergeCell ref="A1:T1"/>
    <mergeCell ref="A2:T2"/>
    <mergeCell ref="A17:C17"/>
  </mergeCells>
  <pageMargins left="0.3" right="0.3" top="0.4" bottom="0.4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D30"/>
  <sheetViews>
    <sheetView showGridLines="0" zoomScale="110" zoomScaleNormal="110" workbookViewId="0"/>
  </sheetViews>
  <sheetFormatPr baseColWidth="10" defaultColWidth="8.7109375" defaultRowHeight="15" x14ac:dyDescent="0.25"/>
  <cols>
    <col min="1" max="1" width="2.42578125" customWidth="1"/>
    <col min="2" max="2" width="40" customWidth="1"/>
    <col min="3" max="3" width="16" customWidth="1"/>
    <col min="4" max="4" width="40" customWidth="1"/>
  </cols>
  <sheetData>
    <row r="2" spans="2:4" ht="27.75" customHeight="1" x14ac:dyDescent="0.25">
      <c r="B2" s="69" t="s">
        <v>117</v>
      </c>
      <c r="C2" s="69"/>
      <c r="D2" s="69"/>
    </row>
    <row r="3" spans="2:4" ht="15.75" customHeight="1" x14ac:dyDescent="0.25">
      <c r="B3" s="72" t="s">
        <v>118</v>
      </c>
      <c r="C3" s="72"/>
      <c r="D3" s="72"/>
    </row>
    <row r="4" spans="2:4" ht="19.5" customHeight="1" x14ac:dyDescent="0.25">
      <c r="B4" s="73" t="s">
        <v>119</v>
      </c>
      <c r="C4" s="73"/>
      <c r="D4" s="73"/>
    </row>
    <row r="5" spans="2:4" ht="16.5" customHeight="1" x14ac:dyDescent="0.25">
      <c r="B5" s="51" t="s">
        <v>120</v>
      </c>
      <c r="C5" s="52">
        <v>9.2999999999999999E-2</v>
      </c>
      <c r="D5" s="53" t="s">
        <v>121</v>
      </c>
    </row>
    <row r="6" spans="2:4" ht="16.5" customHeight="1" x14ac:dyDescent="0.25">
      <c r="B6" s="51" t="s">
        <v>122</v>
      </c>
      <c r="C6" s="52">
        <v>1.2999999999999999E-2</v>
      </c>
      <c r="D6" s="53" t="s">
        <v>123</v>
      </c>
    </row>
    <row r="7" spans="2:4" ht="16.5" customHeight="1" x14ac:dyDescent="0.25">
      <c r="B7" s="51" t="s">
        <v>124</v>
      </c>
      <c r="C7" s="52">
        <v>8.7499999999999994E-2</v>
      </c>
      <c r="D7" s="53" t="s">
        <v>125</v>
      </c>
    </row>
    <row r="8" spans="2:4" ht="16.5" customHeight="1" x14ac:dyDescent="0.25">
      <c r="B8" s="51" t="s">
        <v>126</v>
      </c>
      <c r="C8" s="52">
        <v>1.7999999999999999E-2</v>
      </c>
      <c r="D8" s="53" t="s">
        <v>127</v>
      </c>
    </row>
    <row r="9" spans="2:4" ht="16.5" customHeight="1" x14ac:dyDescent="0.25">
      <c r="B9" s="51" t="s">
        <v>128</v>
      </c>
      <c r="C9" s="52">
        <v>1.2999999999999999E-2</v>
      </c>
      <c r="D9" s="53" t="s">
        <v>129</v>
      </c>
    </row>
    <row r="10" spans="2:4" ht="16.5" customHeight="1" x14ac:dyDescent="0.25">
      <c r="B10" s="51" t="s">
        <v>130</v>
      </c>
      <c r="C10" s="52">
        <v>1.0999999999999999E-2</v>
      </c>
      <c r="D10" s="53" t="s">
        <v>131</v>
      </c>
    </row>
    <row r="11" spans="2:4" ht="16.5" customHeight="1" x14ac:dyDescent="0.25">
      <c r="B11" s="51" t="s">
        <v>132</v>
      </c>
      <c r="C11" s="52">
        <v>8.9999999999999993E-3</v>
      </c>
      <c r="D11" s="53" t="s">
        <v>133</v>
      </c>
    </row>
    <row r="12" spans="2:4" ht="16.5" customHeight="1" x14ac:dyDescent="0.25">
      <c r="B12" s="51" t="s">
        <v>134</v>
      </c>
      <c r="C12" s="52">
        <v>1.5E-3</v>
      </c>
      <c r="D12" s="53" t="s">
        <v>135</v>
      </c>
    </row>
    <row r="13" spans="2:4" x14ac:dyDescent="0.25">
      <c r="B13" s="54" t="s">
        <v>136</v>
      </c>
      <c r="C13" s="55">
        <f>SUM(C5:C12)</f>
        <v>0.24600000000000002</v>
      </c>
      <c r="D13" s="56" t="s">
        <v>137</v>
      </c>
    </row>
    <row r="15" spans="2:4" ht="19.5" customHeight="1" x14ac:dyDescent="0.25">
      <c r="B15" s="73" t="s">
        <v>138</v>
      </c>
      <c r="C15" s="73"/>
      <c r="D15" s="73"/>
    </row>
    <row r="16" spans="2:4" ht="16.5" customHeight="1" x14ac:dyDescent="0.25">
      <c r="B16" s="51" t="s">
        <v>139</v>
      </c>
      <c r="C16" s="57">
        <v>69750</v>
      </c>
      <c r="D16" s="53" t="s">
        <v>140</v>
      </c>
    </row>
    <row r="17" spans="2:4" ht="16.5" customHeight="1" x14ac:dyDescent="0.25">
      <c r="B17" s="51" t="s">
        <v>141</v>
      </c>
      <c r="C17" s="57">
        <v>101400</v>
      </c>
      <c r="D17" s="53" t="s">
        <v>142</v>
      </c>
    </row>
    <row r="19" spans="2:4" ht="19.5" customHeight="1" x14ac:dyDescent="0.25">
      <c r="B19" s="73" t="s">
        <v>143</v>
      </c>
      <c r="C19" s="73"/>
      <c r="D19" s="73"/>
    </row>
    <row r="20" spans="2:4" ht="16.5" customHeight="1" x14ac:dyDescent="0.25">
      <c r="B20" s="51" t="s">
        <v>144</v>
      </c>
      <c r="C20" s="58">
        <v>2026</v>
      </c>
      <c r="D20" s="53" t="s">
        <v>145</v>
      </c>
    </row>
    <row r="21" spans="2:4" ht="16.5" customHeight="1" x14ac:dyDescent="0.25">
      <c r="B21" s="51" t="s">
        <v>146</v>
      </c>
      <c r="C21" s="52">
        <v>0.03</v>
      </c>
      <c r="D21" s="53" t="s">
        <v>147</v>
      </c>
    </row>
    <row r="22" spans="2:4" ht="16.5" customHeight="1" x14ac:dyDescent="0.25">
      <c r="B22" s="51" t="s">
        <v>148</v>
      </c>
      <c r="C22" s="58">
        <v>220</v>
      </c>
      <c r="D22" s="53" t="s">
        <v>149</v>
      </c>
    </row>
    <row r="24" spans="2:4" x14ac:dyDescent="0.25">
      <c r="B24" s="74" t="s">
        <v>150</v>
      </c>
      <c r="C24" s="74"/>
      <c r="D24" s="74"/>
    </row>
    <row r="25" spans="2:4" ht="25.5" customHeight="1" x14ac:dyDescent="0.25">
      <c r="B25" s="75" t="s">
        <v>151</v>
      </c>
      <c r="C25" s="75"/>
      <c r="D25" s="75"/>
    </row>
    <row r="26" spans="2:4" ht="25.5" customHeight="1" x14ac:dyDescent="0.25">
      <c r="B26" s="75" t="s">
        <v>152</v>
      </c>
      <c r="C26" s="75"/>
      <c r="D26" s="75"/>
    </row>
    <row r="27" spans="2:4" ht="25.5" customHeight="1" x14ac:dyDescent="0.25">
      <c r="B27" s="75" t="s">
        <v>153</v>
      </c>
      <c r="C27" s="75"/>
      <c r="D27" s="75"/>
    </row>
    <row r="28" spans="2:4" ht="25.5" customHeight="1" x14ac:dyDescent="0.25">
      <c r="B28" s="75" t="s">
        <v>154</v>
      </c>
      <c r="C28" s="75"/>
      <c r="D28" s="75"/>
    </row>
    <row r="30" spans="2:4" ht="30" customHeight="1" x14ac:dyDescent="0.25">
      <c r="B30" s="76" t="s">
        <v>155</v>
      </c>
      <c r="C30" s="76"/>
      <c r="D30" s="76"/>
    </row>
  </sheetData>
  <mergeCells count="11">
    <mergeCell ref="B30:D30"/>
    <mergeCell ref="B24:D24"/>
    <mergeCell ref="B25:D25"/>
    <mergeCell ref="B26:D26"/>
    <mergeCell ref="B27:D27"/>
    <mergeCell ref="B28:D28"/>
    <mergeCell ref="B2:D2"/>
    <mergeCell ref="B3:D3"/>
    <mergeCell ref="B4:D4"/>
    <mergeCell ref="B15:D15"/>
    <mergeCell ref="B19:D19"/>
  </mergeCells>
  <pageMargins left="0.4" right="0.4" top="0.5" bottom="0.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Übersicht</vt:lpstr>
      <vt:lpstr>Personalkostenplanung</vt:lpstr>
      <vt:lpstr>Annahmen</vt:lpstr>
      <vt:lpstr>Annahmen!Druckbereich</vt:lpstr>
      <vt:lpstr>Personalkostenplanung!Druckbereich</vt:lpstr>
      <vt:lpstr>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2026-06-30T14:09:35Z</dcterms:created>
  <dcterms:modified xsi:type="dcterms:W3CDTF">2026-06-30T14:31:30Z</dcterms:modified>
  <dc:language>en-US</dc:language>
</cp:coreProperties>
</file>