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C75E9600-F3E6-4BCB-AD24-E3E4E09C2F3E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Übersicht" sheetId="1" r:id="rId1"/>
    <sheet name="Mitarbeiterstamm" sheetId="2" r:id="rId2"/>
    <sheet name="Kostenplanung" sheetId="3" r:id="rId3"/>
    <sheet name="Faktoren" sheetId="4" r:id="rId4"/>
  </sheets>
  <definedNames>
    <definedName name="BBG_KVPV">Faktoren!$C$18</definedName>
    <definedName name="BBG_RVAV">Faktoren!$C$19</definedName>
    <definedName name="_xlnm.Print_Titles" localSheetId="2">Kostenplanung!$6:$6,Kostenplanung!$A:$B</definedName>
    <definedName name="Geringfuegigkeit">Faktoren!$C$26</definedName>
    <definedName name="MJ_KV">Faktoren!$C$23</definedName>
    <definedName name="MJ_RV">Faktoren!$C$24</definedName>
    <definedName name="MJ_ST">Faktoren!$C$25</definedName>
    <definedName name="Satz_AV">Faktoren!$C$9</definedName>
    <definedName name="Satz_BG">Faktoren!$C$13</definedName>
    <definedName name="Satz_Insolvenz">Faktoren!$C$12</definedName>
    <definedName name="Satz_KV">Faktoren!$C$6</definedName>
    <definedName name="Satz_PV">Faktoren!$C$7</definedName>
    <definedName name="Satz_RV">Faktoren!$C$8</definedName>
    <definedName name="Satz_U1">Faktoren!$C$10</definedName>
    <definedName name="Satz_U2">Faktoren!$C$11</definedName>
    <definedName name="Steig_Monat">Faktoren!$C$38</definedName>
    <definedName name="Steig_Satz">Faktoren!$C$37</definedName>
    <definedName name="UG_Monat">Faktoren!$C$31</definedName>
    <definedName name="UG_Satz">Faktoren!$C$30</definedName>
    <definedName name="WG_Monat">Faktoren!$C$33</definedName>
    <definedName name="WG_Satz">Faktoren!$C$32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4" l="1"/>
  <c r="Z22" i="3"/>
  <c r="I22" i="3"/>
  <c r="H22" i="3"/>
  <c r="G22" i="3"/>
  <c r="F22" i="3"/>
  <c r="E22" i="3"/>
  <c r="S22" i="3" s="1"/>
  <c r="D22" i="3"/>
  <c r="C22" i="3"/>
  <c r="B22" i="3"/>
  <c r="A22" i="3"/>
  <c r="AJ21" i="3"/>
  <c r="AI21" i="3"/>
  <c r="U21" i="3"/>
  <c r="T21" i="3"/>
  <c r="S21" i="3"/>
  <c r="R21" i="3"/>
  <c r="Q21" i="3"/>
  <c r="P21" i="3"/>
  <c r="O21" i="3"/>
  <c r="I21" i="3"/>
  <c r="H21" i="3"/>
  <c r="G21" i="3"/>
  <c r="F21" i="3"/>
  <c r="E21" i="3"/>
  <c r="AH21" i="3" s="1"/>
  <c r="D21" i="3"/>
  <c r="C21" i="3"/>
  <c r="B21" i="3"/>
  <c r="A21" i="3"/>
  <c r="AJ20" i="3"/>
  <c r="AI20" i="3"/>
  <c r="AH20" i="3"/>
  <c r="AG20" i="3"/>
  <c r="AF20" i="3"/>
  <c r="U20" i="3"/>
  <c r="T20" i="3"/>
  <c r="S20" i="3"/>
  <c r="R20" i="3"/>
  <c r="Q20" i="3"/>
  <c r="P20" i="3"/>
  <c r="O20" i="3"/>
  <c r="N20" i="3"/>
  <c r="M20" i="3"/>
  <c r="L20" i="3"/>
  <c r="I20" i="3"/>
  <c r="H20" i="3"/>
  <c r="G20" i="3"/>
  <c r="F20" i="3"/>
  <c r="E20" i="3"/>
  <c r="AE20" i="3" s="1"/>
  <c r="D20" i="3"/>
  <c r="C20" i="3"/>
  <c r="B20" i="3"/>
  <c r="A20" i="3"/>
  <c r="AJ19" i="3"/>
  <c r="AI19" i="3"/>
  <c r="AH19" i="3"/>
  <c r="AG19" i="3"/>
  <c r="AF19" i="3"/>
  <c r="AE19" i="3"/>
  <c r="AD19" i="3"/>
  <c r="AC19" i="3"/>
  <c r="R19" i="3"/>
  <c r="Q19" i="3"/>
  <c r="P19" i="3"/>
  <c r="O19" i="3"/>
  <c r="N19" i="3"/>
  <c r="M19" i="3"/>
  <c r="L19" i="3"/>
  <c r="I19" i="3"/>
  <c r="H19" i="3"/>
  <c r="G19" i="3"/>
  <c r="F19" i="3"/>
  <c r="Z19" i="3" s="1"/>
  <c r="E19" i="3"/>
  <c r="AB19" i="3" s="1"/>
  <c r="D19" i="3"/>
  <c r="C19" i="3"/>
  <c r="B19" i="3"/>
  <c r="A19" i="3"/>
  <c r="AI18" i="3"/>
  <c r="AH18" i="3"/>
  <c r="AG18" i="3"/>
  <c r="AF18" i="3"/>
  <c r="AE18" i="3"/>
  <c r="AD18" i="3"/>
  <c r="AC18" i="3"/>
  <c r="AB18" i="3"/>
  <c r="AA18" i="3"/>
  <c r="I18" i="3"/>
  <c r="H18" i="3"/>
  <c r="G18" i="3"/>
  <c r="F18" i="3"/>
  <c r="E18" i="3"/>
  <c r="Y18" i="3" s="1"/>
  <c r="D18" i="3"/>
  <c r="C18" i="3"/>
  <c r="B18" i="3"/>
  <c r="A18" i="3"/>
  <c r="AF17" i="3"/>
  <c r="AE17" i="3"/>
  <c r="AD17" i="3"/>
  <c r="AC17" i="3"/>
  <c r="I17" i="3"/>
  <c r="H17" i="3"/>
  <c r="G17" i="3"/>
  <c r="F17" i="3"/>
  <c r="E17" i="3"/>
  <c r="D17" i="3"/>
  <c r="C17" i="3"/>
  <c r="B17" i="3"/>
  <c r="A17" i="3"/>
  <c r="AC16" i="3"/>
  <c r="AB16" i="3"/>
  <c r="I16" i="3"/>
  <c r="H16" i="3"/>
  <c r="G16" i="3"/>
  <c r="F16" i="3"/>
  <c r="E16" i="3"/>
  <c r="Z16" i="3" s="1"/>
  <c r="D16" i="3"/>
  <c r="C16" i="3"/>
  <c r="B16" i="3"/>
  <c r="A16" i="3"/>
  <c r="Z15" i="3"/>
  <c r="Y15" i="3"/>
  <c r="I15" i="3"/>
  <c r="H15" i="3"/>
  <c r="G15" i="3"/>
  <c r="F15" i="3"/>
  <c r="E15" i="3"/>
  <c r="Q15" i="3" s="1"/>
  <c r="D15" i="3"/>
  <c r="C15" i="3"/>
  <c r="B15" i="3"/>
  <c r="A15" i="3"/>
  <c r="AJ14" i="3"/>
  <c r="AI14" i="3"/>
  <c r="AH14" i="3"/>
  <c r="U14" i="3"/>
  <c r="T14" i="3"/>
  <c r="S14" i="3"/>
  <c r="R14" i="3"/>
  <c r="Q14" i="3"/>
  <c r="P14" i="3"/>
  <c r="O14" i="3"/>
  <c r="N14" i="3"/>
  <c r="I14" i="3"/>
  <c r="H14" i="3"/>
  <c r="G14" i="3"/>
  <c r="F14" i="3"/>
  <c r="E14" i="3"/>
  <c r="AG14" i="3" s="1"/>
  <c r="D14" i="3"/>
  <c r="C14" i="3"/>
  <c r="B14" i="3"/>
  <c r="A14" i="3"/>
  <c r="AJ13" i="3"/>
  <c r="AI13" i="3"/>
  <c r="AH13" i="3"/>
  <c r="AG13" i="3"/>
  <c r="AF13" i="3"/>
  <c r="AE13" i="3"/>
  <c r="U13" i="3"/>
  <c r="T13" i="3"/>
  <c r="S13" i="3"/>
  <c r="R13" i="3"/>
  <c r="Q13" i="3"/>
  <c r="P13" i="3"/>
  <c r="O13" i="3"/>
  <c r="N13" i="3"/>
  <c r="M13" i="3"/>
  <c r="L13" i="3"/>
  <c r="K13" i="3"/>
  <c r="I13" i="3"/>
  <c r="H13" i="3"/>
  <c r="G13" i="3"/>
  <c r="F13" i="3"/>
  <c r="E13" i="3"/>
  <c r="AD13" i="3" s="1"/>
  <c r="D13" i="3"/>
  <c r="C13" i="3"/>
  <c r="B13" i="3"/>
  <c r="A13" i="3"/>
  <c r="AI12" i="3"/>
  <c r="AH12" i="3"/>
  <c r="AG12" i="3"/>
  <c r="AF12" i="3"/>
  <c r="AE12" i="3"/>
  <c r="AD12" i="3"/>
  <c r="AC12" i="3"/>
  <c r="AB12" i="3"/>
  <c r="Q12" i="3"/>
  <c r="P12" i="3"/>
  <c r="O12" i="3"/>
  <c r="I12" i="3"/>
  <c r="M12" i="3" s="1"/>
  <c r="H12" i="3"/>
  <c r="G12" i="3"/>
  <c r="F12" i="3"/>
  <c r="E12" i="3"/>
  <c r="AA12" i="3" s="1"/>
  <c r="D12" i="3"/>
  <c r="C12" i="3"/>
  <c r="B12" i="3"/>
  <c r="A12" i="3"/>
  <c r="AH11" i="3"/>
  <c r="AG11" i="3"/>
  <c r="AF11" i="3"/>
  <c r="AE11" i="3"/>
  <c r="AD11" i="3"/>
  <c r="AC11" i="3"/>
  <c r="I11" i="3"/>
  <c r="H11" i="3"/>
  <c r="G11" i="3"/>
  <c r="F11" i="3"/>
  <c r="E11" i="3"/>
  <c r="J11" i="3" s="1"/>
  <c r="D11" i="3"/>
  <c r="C11" i="3"/>
  <c r="B11" i="3"/>
  <c r="A11" i="3"/>
  <c r="AE10" i="3"/>
  <c r="AD10" i="3"/>
  <c r="I10" i="3"/>
  <c r="H10" i="3"/>
  <c r="G10" i="3"/>
  <c r="F10" i="3"/>
  <c r="E10" i="3"/>
  <c r="Y10" i="3" s="1"/>
  <c r="D10" i="3"/>
  <c r="C10" i="3"/>
  <c r="B10" i="3"/>
  <c r="A10" i="3"/>
  <c r="AB9" i="3"/>
  <c r="I9" i="3"/>
  <c r="H9" i="3"/>
  <c r="G9" i="3"/>
  <c r="F9" i="3"/>
  <c r="E9" i="3"/>
  <c r="T9" i="3" s="1"/>
  <c r="D9" i="3"/>
  <c r="C9" i="3"/>
  <c r="B9" i="3"/>
  <c r="A9" i="3"/>
  <c r="AJ8" i="3"/>
  <c r="I8" i="3"/>
  <c r="H8" i="3"/>
  <c r="G8" i="3"/>
  <c r="F8" i="3"/>
  <c r="E8" i="3"/>
  <c r="U8" i="3" s="1"/>
  <c r="D8" i="3"/>
  <c r="C8" i="3"/>
  <c r="B8" i="3"/>
  <c r="A8" i="3"/>
  <c r="B26" i="2"/>
  <c r="B25" i="2"/>
  <c r="B24" i="2"/>
  <c r="B23" i="2"/>
  <c r="H10" i="1"/>
  <c r="B5" i="1"/>
  <c r="A2" i="1"/>
  <c r="AJ17" i="3" l="1"/>
  <c r="AG17" i="3"/>
  <c r="U17" i="3"/>
  <c r="Q17" i="3"/>
  <c r="AH17" i="3"/>
  <c r="T17" i="3"/>
  <c r="S17" i="3"/>
  <c r="R17" i="3"/>
  <c r="P17" i="3"/>
  <c r="N17" i="3"/>
  <c r="M17" i="3"/>
  <c r="AI17" i="3"/>
  <c r="O17" i="3"/>
  <c r="AJ18" i="3"/>
  <c r="P18" i="3"/>
  <c r="U18" i="3"/>
  <c r="T18" i="3"/>
  <c r="S18" i="3"/>
  <c r="Q18" i="3"/>
  <c r="R18" i="3"/>
  <c r="P8" i="3"/>
  <c r="J10" i="3"/>
  <c r="Q8" i="3"/>
  <c r="S9" i="3"/>
  <c r="K10" i="3"/>
  <c r="AJ12" i="3"/>
  <c r="J17" i="3"/>
  <c r="P11" i="3"/>
  <c r="T11" i="3"/>
  <c r="S11" i="3"/>
  <c r="AJ11" i="3"/>
  <c r="O11" i="3"/>
  <c r="U11" i="3"/>
  <c r="R11" i="3"/>
  <c r="AI11" i="3"/>
  <c r="Q11" i="3"/>
  <c r="R8" i="3"/>
  <c r="K11" i="3"/>
  <c r="V11" i="3" s="1"/>
  <c r="T16" i="3"/>
  <c r="K17" i="3"/>
  <c r="R22" i="3"/>
  <c r="U22" i="3"/>
  <c r="R9" i="3"/>
  <c r="AG9" i="3"/>
  <c r="AF9" i="3"/>
  <c r="J9" i="3"/>
  <c r="Q9" i="3"/>
  <c r="N9" i="3"/>
  <c r="M9" i="3"/>
  <c r="AC9" i="3"/>
  <c r="AJ9" i="3"/>
  <c r="U24" i="3" s="1"/>
  <c r="H27" i="1" s="1"/>
  <c r="P9" i="3"/>
  <c r="AI9" i="3"/>
  <c r="O9" i="3"/>
  <c r="AH9" i="3"/>
  <c r="L9" i="3"/>
  <c r="AD9" i="3"/>
  <c r="AE9" i="3"/>
  <c r="K9" i="3"/>
  <c r="U16" i="3"/>
  <c r="J18" i="3"/>
  <c r="V18" i="3" s="1"/>
  <c r="J12" i="3"/>
  <c r="M18" i="3"/>
  <c r="AI8" i="3"/>
  <c r="O8" i="3"/>
  <c r="AH8" i="3"/>
  <c r="N8" i="3"/>
  <c r="K8" i="3"/>
  <c r="AA8" i="3"/>
  <c r="Z8" i="3"/>
  <c r="AG8" i="3"/>
  <c r="R24" i="3" s="1"/>
  <c r="H24" i="1" s="1"/>
  <c r="M8" i="3"/>
  <c r="AF8" i="3"/>
  <c r="L8" i="3"/>
  <c r="AE8" i="3"/>
  <c r="P24" i="3" s="1"/>
  <c r="H22" i="1" s="1"/>
  <c r="AD8" i="3"/>
  <c r="J8" i="3"/>
  <c r="AC8" i="3"/>
  <c r="AB8" i="3"/>
  <c r="U10" i="3"/>
  <c r="T10" i="3"/>
  <c r="Q10" i="3"/>
  <c r="AJ10" i="3"/>
  <c r="AG10" i="3"/>
  <c r="S10" i="3"/>
  <c r="R10" i="3"/>
  <c r="P10" i="3"/>
  <c r="O10" i="3"/>
  <c r="AF10" i="3"/>
  <c r="AI10" i="3"/>
  <c r="M10" i="3"/>
  <c r="L10" i="3"/>
  <c r="AH10" i="3"/>
  <c r="N10" i="3"/>
  <c r="AJ15" i="3"/>
  <c r="P15" i="3"/>
  <c r="AE15" i="3"/>
  <c r="AD15" i="3"/>
  <c r="AI15" i="3"/>
  <c r="O15" i="3"/>
  <c r="J15" i="3"/>
  <c r="AA15" i="3"/>
  <c r="AK15" i="3" s="1"/>
  <c r="AH15" i="3"/>
  <c r="N15" i="3"/>
  <c r="AG15" i="3"/>
  <c r="M15" i="3"/>
  <c r="AF15" i="3"/>
  <c r="L15" i="3"/>
  <c r="K15" i="3"/>
  <c r="AB15" i="3"/>
  <c r="AC15" i="3"/>
  <c r="Q22" i="3"/>
  <c r="AE22" i="3"/>
  <c r="AJ22" i="3"/>
  <c r="P22" i="3"/>
  <c r="AG22" i="3"/>
  <c r="L22" i="3"/>
  <c r="AC22" i="3"/>
  <c r="AB22" i="3"/>
  <c r="AI22" i="3"/>
  <c r="O22" i="3"/>
  <c r="AH22" i="3"/>
  <c r="N22" i="3"/>
  <c r="M22" i="3"/>
  <c r="AF22" i="3"/>
  <c r="K22" i="3"/>
  <c r="AA22" i="3"/>
  <c r="AD22" i="3"/>
  <c r="J22" i="3"/>
  <c r="S8" i="3"/>
  <c r="S26" i="3" s="1"/>
  <c r="R15" i="3"/>
  <c r="L17" i="3"/>
  <c r="K18" i="3"/>
  <c r="T15" i="3"/>
  <c r="L18" i="3"/>
  <c r="U15" i="3"/>
  <c r="Y9" i="3"/>
  <c r="AA10" i="3"/>
  <c r="Z11" i="3"/>
  <c r="L12" i="3"/>
  <c r="Y16" i="3"/>
  <c r="Z17" i="3"/>
  <c r="N18" i="3"/>
  <c r="T19" i="3"/>
  <c r="S19" i="3"/>
  <c r="T8" i="3"/>
  <c r="M11" i="3"/>
  <c r="Y11" i="3"/>
  <c r="K12" i="3"/>
  <c r="Y17" i="3"/>
  <c r="Z9" i="3"/>
  <c r="AB10" i="3"/>
  <c r="AA11" i="3"/>
  <c r="AA17" i="3"/>
  <c r="O18" i="3"/>
  <c r="J19" i="3"/>
  <c r="S16" i="3"/>
  <c r="K16" i="3"/>
  <c r="J16" i="3"/>
  <c r="R16" i="3"/>
  <c r="N16" i="3"/>
  <c r="AG16" i="3"/>
  <c r="AE16" i="3"/>
  <c r="Q16" i="3"/>
  <c r="AJ16" i="3"/>
  <c r="P16" i="3"/>
  <c r="AI16" i="3"/>
  <c r="AH16" i="3"/>
  <c r="M16" i="3"/>
  <c r="O16" i="3"/>
  <c r="AD16" i="3"/>
  <c r="AF16" i="3"/>
  <c r="L16" i="3"/>
  <c r="U9" i="3"/>
  <c r="U26" i="3" s="1"/>
  <c r="U25" i="3" s="1"/>
  <c r="I27" i="1" s="1"/>
  <c r="L11" i="3"/>
  <c r="U12" i="3"/>
  <c r="R12" i="3"/>
  <c r="S12" i="3"/>
  <c r="S15" i="3"/>
  <c r="T22" i="3"/>
  <c r="N11" i="3"/>
  <c r="Z10" i="3"/>
  <c r="AK10" i="3" s="1"/>
  <c r="Y8" i="3"/>
  <c r="AA9" i="3"/>
  <c r="AC10" i="3"/>
  <c r="AB11" i="3"/>
  <c r="N12" i="3"/>
  <c r="AA16" i="3"/>
  <c r="AB17" i="3"/>
  <c r="Z18" i="3"/>
  <c r="AK18" i="3" s="1"/>
  <c r="K19" i="3"/>
  <c r="Y22" i="3"/>
  <c r="T12" i="3"/>
  <c r="Z14" i="3"/>
  <c r="U19" i="3"/>
  <c r="AA21" i="3"/>
  <c r="Y14" i="3"/>
  <c r="Z21" i="3"/>
  <c r="AA14" i="3"/>
  <c r="Y20" i="3"/>
  <c r="AB21" i="3"/>
  <c r="Z20" i="3"/>
  <c r="AC21" i="3"/>
  <c r="Z13" i="3"/>
  <c r="AC14" i="3"/>
  <c r="AA20" i="3"/>
  <c r="J21" i="3"/>
  <c r="V21" i="3" s="1"/>
  <c r="AD21" i="3"/>
  <c r="AA13" i="3"/>
  <c r="J14" i="3"/>
  <c r="V14" i="3" s="1"/>
  <c r="AD14" i="3"/>
  <c r="Y19" i="3"/>
  <c r="AB20" i="3"/>
  <c r="K21" i="3"/>
  <c r="AE21" i="3"/>
  <c r="Y12" i="3"/>
  <c r="AB13" i="3"/>
  <c r="K14" i="3"/>
  <c r="AE14" i="3"/>
  <c r="AC20" i="3"/>
  <c r="L21" i="3"/>
  <c r="AF21" i="3"/>
  <c r="Y13" i="3"/>
  <c r="AB14" i="3"/>
  <c r="Z12" i="3"/>
  <c r="AC13" i="3"/>
  <c r="L14" i="3"/>
  <c r="AF14" i="3"/>
  <c r="AA19" i="3"/>
  <c r="J20" i="3"/>
  <c r="V20" i="3" s="1"/>
  <c r="AD20" i="3"/>
  <c r="M21" i="3"/>
  <c r="AG21" i="3"/>
  <c r="Y21" i="3"/>
  <c r="J13" i="3"/>
  <c r="V13" i="3" s="1"/>
  <c r="M14" i="3"/>
  <c r="K20" i="3"/>
  <c r="N21" i="3"/>
  <c r="W11" i="3" l="1"/>
  <c r="X21" i="3"/>
  <c r="W21" i="3"/>
  <c r="V22" i="3"/>
  <c r="T26" i="3"/>
  <c r="V17" i="3"/>
  <c r="S24" i="3"/>
  <c r="H25" i="1" s="1"/>
  <c r="V9" i="3"/>
  <c r="T24" i="3"/>
  <c r="H26" i="1" s="1"/>
  <c r="O26" i="3"/>
  <c r="AK20" i="3"/>
  <c r="Q26" i="3"/>
  <c r="AK12" i="3"/>
  <c r="X14" i="3"/>
  <c r="W14" i="3"/>
  <c r="Q24" i="3"/>
  <c r="H23" i="1" s="1"/>
  <c r="M26" i="3"/>
  <c r="M25" i="3" s="1"/>
  <c r="I19" i="1" s="1"/>
  <c r="L24" i="3"/>
  <c r="H18" i="1" s="1"/>
  <c r="K26" i="3"/>
  <c r="K25" i="3" s="1"/>
  <c r="I17" i="1" s="1"/>
  <c r="N26" i="3"/>
  <c r="N25" i="3" s="1"/>
  <c r="I20" i="1" s="1"/>
  <c r="V15" i="3"/>
  <c r="X13" i="3"/>
  <c r="W13" i="3"/>
  <c r="L26" i="3"/>
  <c r="L25" i="3" s="1"/>
  <c r="I18" i="1" s="1"/>
  <c r="AK17" i="3"/>
  <c r="K24" i="3"/>
  <c r="H17" i="1" s="1"/>
  <c r="AK11" i="3"/>
  <c r="X11" i="3" s="1"/>
  <c r="AK13" i="3"/>
  <c r="J24" i="3"/>
  <c r="AK8" i="3"/>
  <c r="V12" i="3"/>
  <c r="AK14" i="3"/>
  <c r="AK16" i="3"/>
  <c r="P26" i="3"/>
  <c r="P25" i="3" s="1"/>
  <c r="I22" i="1" s="1"/>
  <c r="M24" i="3"/>
  <c r="H19" i="1" s="1"/>
  <c r="AK21" i="3"/>
  <c r="N24" i="3"/>
  <c r="H20" i="1" s="1"/>
  <c r="W20" i="3"/>
  <c r="X20" i="3"/>
  <c r="V16" i="3"/>
  <c r="V10" i="3"/>
  <c r="V19" i="3"/>
  <c r="AK9" i="3"/>
  <c r="V8" i="3"/>
  <c r="J26" i="3"/>
  <c r="R26" i="3"/>
  <c r="R25" i="3" s="1"/>
  <c r="I24" i="1" s="1"/>
  <c r="X18" i="3"/>
  <c r="W18" i="3"/>
  <c r="AK19" i="3"/>
  <c r="AK22" i="3"/>
  <c r="O24" i="3"/>
  <c r="H21" i="1" s="1"/>
  <c r="X19" i="3" l="1"/>
  <c r="W19" i="3"/>
  <c r="X16" i="3"/>
  <c r="W16" i="3"/>
  <c r="D19" i="1"/>
  <c r="W10" i="3"/>
  <c r="X10" i="3"/>
  <c r="X12" i="3"/>
  <c r="W12" i="3"/>
  <c r="Q25" i="3"/>
  <c r="I23" i="1" s="1"/>
  <c r="H16" i="1"/>
  <c r="V24" i="3"/>
  <c r="F5" i="1" s="1"/>
  <c r="O25" i="3"/>
  <c r="I21" i="1" s="1"/>
  <c r="X9" i="3"/>
  <c r="W9" i="3"/>
  <c r="V26" i="3"/>
  <c r="J25" i="3"/>
  <c r="F10" i="1"/>
  <c r="G3" i="3"/>
  <c r="W17" i="3"/>
  <c r="X17" i="3"/>
  <c r="X8" i="3"/>
  <c r="W8" i="3"/>
  <c r="D16" i="1"/>
  <c r="T25" i="3"/>
  <c r="I26" i="1" s="1"/>
  <c r="X22" i="3"/>
  <c r="W22" i="3"/>
  <c r="X15" i="3"/>
  <c r="W15" i="3"/>
  <c r="D18" i="1"/>
  <c r="E18" i="1" s="1"/>
  <c r="D17" i="1"/>
  <c r="E17" i="1" s="1"/>
  <c r="S25" i="3"/>
  <c r="I25" i="1" s="1"/>
  <c r="E19" i="1" l="1"/>
  <c r="I16" i="1"/>
  <c r="V25" i="3"/>
  <c r="D10" i="1"/>
  <c r="D5" i="1"/>
  <c r="E16" i="1"/>
  <c r="H5" i="1" l="1"/>
  <c r="B10" i="1"/>
</calcChain>
</file>

<file path=xl/sharedStrings.xml><?xml version="1.0" encoding="utf-8"?>
<sst xmlns="http://schemas.openxmlformats.org/spreadsheetml/2006/main" count="267" uniqueCount="172">
  <si>
    <t>Mitarbeitende (aktiv)</t>
  </si>
  <si>
    <t>Personalkosten gesamt (Jahr)</t>
  </si>
  <si>
    <t>Bruttolohnsumme (Jahr)</t>
  </si>
  <si>
    <t>Lohnnebenkosten gesamt (Jahr)</t>
  </si>
  <si>
    <t>Ø Lohnnebenkostenquote</t>
  </si>
  <si>
    <t>Ø Kosten je Mitarbeiter/Monat</t>
  </si>
  <si>
    <t>Höchster Monat</t>
  </si>
  <si>
    <t>Planjahr</t>
  </si>
  <si>
    <t>Auswertung nach Abteilung &amp; Monatsverlauf</t>
  </si>
  <si>
    <t>Abteilung</t>
  </si>
  <si>
    <t>Personalkosten
(Jahr)</t>
  </si>
  <si>
    <t>Anteil</t>
  </si>
  <si>
    <t>Monat</t>
  </si>
  <si>
    <t>Brutto</t>
  </si>
  <si>
    <t>LNK</t>
  </si>
  <si>
    <t>Vertrieb</t>
  </si>
  <si>
    <t>Jan</t>
  </si>
  <si>
    <t>Produktion</t>
  </si>
  <si>
    <t>Feb</t>
  </si>
  <si>
    <t>IT/Entwicklung</t>
  </si>
  <si>
    <t>Mär</t>
  </si>
  <si>
    <t>Verwaltung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</si>
  <si>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</si>
  <si>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</si>
  <si>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</si>
  <si>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</si>
  <si>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</si>
  <si>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</si>
  <si>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</si>
  <si>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</si>
  <si>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</si>
  <si>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MITARBEITERSTAMM</t>
  </si>
  <si>
    <t>Birkental Technik GmbH  •  Stammdaten aller Mitarbeitenden – Grundlage für Kostenplanung und Übersicht</t>
  </si>
  <si>
    <t>Pers.-Nr.</t>
  </si>
  <si>
    <t>Name</t>
  </si>
  <si>
    <t>Position</t>
  </si>
  <si>
    <t>Beschäftigung</t>
  </si>
  <si>
    <t>Eintritts-
datum</t>
  </si>
  <si>
    <t>Brutto-
gehalt/Monat</t>
  </si>
  <si>
    <t>Geldwerter
Vorteil/Monat</t>
  </si>
  <si>
    <t>btrAV-Zuschuss
AG/Monat</t>
  </si>
  <si>
    <t>Sonder-
zahlungen</t>
  </si>
  <si>
    <t>Status</t>
  </si>
  <si>
    <t>P-201</t>
  </si>
  <si>
    <t>Anna Brenner</t>
  </si>
  <si>
    <t>Vertriebsleiterin</t>
  </si>
  <si>
    <t>Vollzeit</t>
  </si>
  <si>
    <t>Ja</t>
  </si>
  <si>
    <t>Aktiv</t>
  </si>
  <si>
    <t>P-202</t>
  </si>
  <si>
    <t>Markus Feldmann</t>
  </si>
  <si>
    <t>Account Manager</t>
  </si>
  <si>
    <t>P-203</t>
  </si>
  <si>
    <t>Laura Vogt</t>
  </si>
  <si>
    <t>Account Managerin</t>
  </si>
  <si>
    <t>Teilzeit</t>
  </si>
  <si>
    <t>P-204</t>
  </si>
  <si>
    <t>Thomas Reinhardt</t>
  </si>
  <si>
    <t>Produktionsleiter</t>
  </si>
  <si>
    <t>P-205</t>
  </si>
  <si>
    <t>Stefan Holzer</t>
  </si>
  <si>
    <t>Facharbeiter</t>
  </si>
  <si>
    <t>P-206</t>
  </si>
  <si>
    <t>Michael Brandt</t>
  </si>
  <si>
    <t>P-207</t>
  </si>
  <si>
    <t>Jasmin Köhler</t>
  </si>
  <si>
    <t>Maschinenbedienerin</t>
  </si>
  <si>
    <t>P-208</t>
  </si>
  <si>
    <t>Daniel Wagner</t>
  </si>
  <si>
    <t>IT-Leiter</t>
  </si>
  <si>
    <t>P-209</t>
  </si>
  <si>
    <t>Sarah Lindemann</t>
  </si>
  <si>
    <t>Softwareentwicklerin</t>
  </si>
  <si>
    <t>P-210</t>
  </si>
  <si>
    <t>Tim Achterberg</t>
  </si>
  <si>
    <t>Werkstudent</t>
  </si>
  <si>
    <t>Nein</t>
  </si>
  <si>
    <t>P-211</t>
  </si>
  <si>
    <t>Julia Sommerfeld</t>
  </si>
  <si>
    <t>Leitung Verwaltung/Buchhaltung</t>
  </si>
  <si>
    <t>P-212</t>
  </si>
  <si>
    <t>Peter Ostendorf</t>
  </si>
  <si>
    <t>Sachbearbeiter Buchhaltung</t>
  </si>
  <si>
    <t>P-213</t>
  </si>
  <si>
    <t>Christina Mauer</t>
  </si>
  <si>
    <t>Personalsachbearbeiterin</t>
  </si>
  <si>
    <t>P-214</t>
  </si>
  <si>
    <t>Robert Adler</t>
  </si>
  <si>
    <t>Azubi Mechatroniker (2. Lj.)</t>
  </si>
  <si>
    <t>Azubi</t>
  </si>
  <si>
    <t>P-215</t>
  </si>
  <si>
    <t>Hannah Pietsch</t>
  </si>
  <si>
    <t>Aushilfe Empfang</t>
  </si>
  <si>
    <t>Minijob</t>
  </si>
  <si>
    <t>Mitarbeitende je Abteilung (aktiv)</t>
  </si>
  <si>
    <t>PERSONALKOSTENPLANUNG</t>
  </si>
  <si>
    <t>Birkental Technik GmbH  •  Monatliche Personalkosten-Hochrechnung</t>
  </si>
  <si>
    <t>Planjahr:</t>
  </si>
  <si>
    <t>Personalkosten gesamt:</t>
  </si>
  <si>
    <t>Tipp: Stammdaten und Sätze ändern sich automatisch in dieser Planung. Eintrittsdatum vor dem jeweiligen Monat = Kosten ab Eintrittsmonat. Sonderzahlungen und Gehaltssteigerung siehe Tabellenblatt 'Faktoren'.</t>
  </si>
  <si>
    <t>Eintritt</t>
  </si>
  <si>
    <t>Brutto-
gehalt/Mon.</t>
  </si>
  <si>
    <t>Geldw.
Vorteil</t>
  </si>
  <si>
    <t>btrAV-
Zuschuss</t>
  </si>
  <si>
    <t>SZ-
Anspruch</t>
  </si>
  <si>
    <t>Jahressumme
Personalkosten</t>
  </si>
  <si>
    <t>Ø Kosten/Mon.
(aktive Mon.)</t>
  </si>
  <si>
    <t>Lohnneben-
kostenquote</t>
  </si>
  <si>
    <t>Brutto (Hilfssp.)</t>
  </si>
  <si>
    <t>Bruttolohnsumme pro Monat (inkl. SZ &amp; Sachbezug)</t>
  </si>
  <si>
    <t>Lohnnebenkosten AG pro Monat</t>
  </si>
  <si>
    <t>Personalkosten gesamt pro Monat</t>
  </si>
  <si>
    <t>FAKTOREN &amp; ANNAHMEN</t>
  </si>
  <si>
    <t>Zentrale Annahmen für die Personalkostenplanung – hier ändern, alle Tabellenblätter passen sich automatisch an.</t>
  </si>
  <si>
    <t>Sozialversicherung – Arbeitgeberanteile 2026</t>
  </si>
  <si>
    <t>Beitragsart</t>
  </si>
  <si>
    <t>Arbeitgeberanteil</t>
  </si>
  <si>
    <t>Hinweis</t>
  </si>
  <si>
    <t>Krankenversicherung (KV) inkl. Ø Zusatzbeitrag</t>
  </si>
  <si>
    <t>7,3% + hälftig Ø-Zusatzbeitrag 2,9%</t>
  </si>
  <si>
    <t>Pflegeversicherung (PV)</t>
  </si>
  <si>
    <t>1,3% in Sachsen</t>
  </si>
  <si>
    <t>Rentenversicherung (RV)</t>
  </si>
  <si>
    <t>18,6% gesamt, hälftig</t>
  </si>
  <si>
    <t>Arbeitslosenversicherung (AV)</t>
  </si>
  <si>
    <t>2,6% gesamt, hälftig</t>
  </si>
  <si>
    <t>Umlage U1 (Krankheit, Ausgleichsverfahren)</t>
  </si>
  <si>
    <t>kassenabhängig, nur &lt; 30 MA</t>
  </si>
  <si>
    <t>Umlage U2 (Mutterschaft)</t>
  </si>
  <si>
    <t>kassenabhängig</t>
  </si>
  <si>
    <t>Insolvenzgeldumlage</t>
  </si>
  <si>
    <t>bundeseinheitlich</t>
  </si>
  <si>
    <t>Berufsgenossenschaft (Ø-Satz)</t>
  </si>
  <si>
    <t>stark branchenabhängig – bitte anpassen</t>
  </si>
  <si>
    <t>Summe (informativ, ohne Kappung an BBG)</t>
  </si>
  <si>
    <t>Beitragsbemessungsgrenzen 2026 (monatlich)</t>
  </si>
  <si>
    <t>Grenze</t>
  </si>
  <si>
    <t>Betrag</t>
  </si>
  <si>
    <t>KV / PV (bundeseinheitlich)</t>
  </si>
  <si>
    <t>Jahr: 69.750 €</t>
  </si>
  <si>
    <t>RV / AV (bundeseinheitlich)</t>
  </si>
  <si>
    <t>Jahr: 101.400 €</t>
  </si>
  <si>
    <t>Minijob – Pauschalabgaben Arbeitgeber</t>
  </si>
  <si>
    <t>Abgabe</t>
  </si>
  <si>
    <t>Satz / Betrag</t>
  </si>
  <si>
    <t>Pauschale Krankenversicherung</t>
  </si>
  <si>
    <t>nur bei GKV-Mitgliedschaft</t>
  </si>
  <si>
    <t>Pauschale Rentenversicherung</t>
  </si>
  <si>
    <t>AN kann aufstocken</t>
  </si>
  <si>
    <t>Einheitliche Pauschsteuer</t>
  </si>
  <si>
    <t>inkl. Soli/KiSt</t>
  </si>
  <si>
    <t>Geringfügigkeitsgrenze</t>
  </si>
  <si>
    <t>ab 01.01.2026</t>
  </si>
  <si>
    <t>Sonderzahlungen – Annahmen</t>
  </si>
  <si>
    <t>Wert</t>
  </si>
  <si>
    <t>Urlaubsgeld – Satz (% vom Monatsgehalt)</t>
  </si>
  <si>
    <t>nur bei Anspruch lt. Mitarbeiterstamm</t>
  </si>
  <si>
    <t>Urlaubsgeld – Auszahlungsmonat (1–12)</t>
  </si>
  <si>
    <t>Juni</t>
  </si>
  <si>
    <t>Weihnachtsgeld – Satz (% vom Monatsgehalt)</t>
  </si>
  <si>
    <t>Weihnachtsgeld – Auszahlungsmonat (1–12)</t>
  </si>
  <si>
    <t>November</t>
  </si>
  <si>
    <t>Geplante Gehaltsanpassung (Szenario)</t>
  </si>
  <si>
    <t>Gehaltssteigerung (%)</t>
  </si>
  <si>
    <t>wird ab Monat unten angewendet</t>
  </si>
  <si>
    <t>Wirksam ab Monat (1–12)</t>
  </si>
  <si>
    <t>Juli</t>
  </si>
  <si>
    <t>Hinweise zur Nutzung</t>
  </si>
  <si>
    <t>Goldene Zellen = Eingabefelder (Sätze, Grenzwerte, Annahmen, Stammdaten).</t>
  </si>
  <si>
    <t>Weiße/graue Zellen = automatisch berechnete Felder (bitte nicht überschreiben).</t>
  </si>
  <si>
    <t>Hinweis: Dieses Modell vereinfacht die Berechnung der Arbeitgeber-Lohnnebenkosten (u. a. einheitlicher Berufsgenossenschafts-Satz, keine Differenzierung nach Bundesland bei der Pflegeversicherung, Umlagen ohne Kappung). Es ersetzt keine Lohn- und Gehaltsabrechnung durch Steuerberatung oder Lohnbüro – bitte die unternehmens- und branchenspezifischen Sätze prüfen und anpassen.</t>
  </si>
  <si>
    <t>PERSONALKOSTENPLANUNG - ÜBERSICHT &amp; KENNZAHLEN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</si>
</sst>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€&quot;"/>
    <numFmt numFmtId="165" formatCode="0.0%"/>
    <numFmt numFmtId="166" formatCode="dd\.mm\.yyyy"/>
  </numFmts>
  <fonts count="16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i/>
      <sz val="10"/>
      <color rgb="FF6B7785"/>
      <name val="Calibri"/>
      <charset val="1"/>
    </font>
    <font>
      <b/>
      <sz val="9"/>
      <color rgb="FFFFFFFF"/>
      <name val="Calibri"/>
      <charset val="1"/>
    </font>
    <font>
      <b/>
      <sz val="18"/>
      <color rgb="FF1F3B4D"/>
      <name val="Calibri"/>
      <charset val="1"/>
    </font>
    <font>
      <b/>
      <sz val="12"/>
      <color rgb="FFFFFFFF"/>
      <name val="Calibri"/>
      <charset val="1"/>
    </font>
    <font>
      <sz val="9"/>
      <color rgb="FF23303B"/>
      <name val="Calibri"/>
      <charset val="1"/>
    </font>
    <font>
      <sz val="10"/>
      <color rgb="FF23303B"/>
      <name val="Calibri"/>
      <charset val="1"/>
    </font>
    <font>
      <b/>
      <sz val="10"/>
      <color rgb="FFFFFFFF"/>
      <name val="Calibri"/>
      <charset val="1"/>
    </font>
    <font>
      <b/>
      <sz val="10"/>
      <color rgb="FF1F3B4D"/>
      <name val="Calibri"/>
      <charset val="1"/>
    </font>
    <font>
      <b/>
      <sz val="11"/>
      <color rgb="FF1F3B4D"/>
      <name val="Calibri"/>
      <charset val="1"/>
    </font>
    <font>
      <i/>
      <sz val="9"/>
      <color rgb="FF6B7785"/>
      <name val="Calibri"/>
      <charset val="1"/>
    </font>
    <font>
      <sz val="8"/>
      <color rgb="FF6B7785"/>
      <name val="Calibri"/>
      <charset val="1"/>
    </font>
    <font>
      <b/>
      <sz val="9"/>
      <color rgb="FF1F3B4D"/>
      <name val="Calibri"/>
      <charset val="1"/>
    </font>
    <font>
      <i/>
      <sz val="8"/>
      <color rgb="FF6B7785"/>
      <name val="Calibri"/>
      <charset val="1"/>
    </font>
    <font>
      <b/>
      <sz val="10"/>
      <color rgb="FF23303B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B4D"/>
        <bgColor rgb="FF23303B"/>
      </patternFill>
    </fill>
    <fill>
      <patternFill patternType="solid">
        <fgColor rgb="FF2E7D6E"/>
        <bgColor rgb="FF008080"/>
      </patternFill>
    </fill>
    <fill>
      <patternFill patternType="solid">
        <fgColor rgb="FFFFFFFF"/>
        <bgColor rgb="FFF9F9F9"/>
      </patternFill>
    </fill>
    <fill>
      <patternFill patternType="solid">
        <fgColor rgb="FFF4F5F7"/>
        <bgColor rgb="FFF9F9F9"/>
      </patternFill>
    </fill>
    <fill>
      <patternFill patternType="solid">
        <fgColor rgb="FFFBEFD9"/>
        <bgColor rgb="FFF4F5F7"/>
      </patternFill>
    </fill>
    <fill>
      <patternFill patternType="solid">
        <fgColor rgb="FF8C97A3"/>
        <bgColor rgb="FF9AA5B1"/>
      </patternFill>
    </fill>
    <fill>
      <patternFill patternType="solid">
        <fgColor rgb="FF6B7785"/>
        <bgColor rgb="FF878787"/>
      </patternFill>
    </fill>
    <fill>
      <patternFill patternType="solid">
        <fgColor rgb="FFE3F0ED"/>
        <bgColor rgb="FFF4F5F7"/>
      </patternFill>
    </fill>
  </fills>
  <borders count="5">
    <border>
      <left/>
      <right/>
      <top/>
      <bottom/>
      <diagonal/>
    </border>
    <border>
      <left style="thin">
        <color rgb="FFD9DCE1"/>
      </left>
      <right/>
      <top style="thin">
        <color rgb="FFD9DCE1"/>
      </top>
      <bottom style="thin">
        <color rgb="FFD9DCE1"/>
      </bottom>
      <diagonal/>
    </border>
    <border>
      <left style="thin">
        <color rgb="FFD9DCE1"/>
      </left>
      <right/>
      <top style="thin">
        <color rgb="FFD9DCE1"/>
      </top>
      <bottom/>
      <diagonal/>
    </border>
    <border>
      <left style="thin">
        <color rgb="FFD9DCE1"/>
      </left>
      <right style="thin">
        <color rgb="FFD9DCE1"/>
      </right>
      <top style="thin">
        <color rgb="FFD9DCE1"/>
      </top>
      <bottom style="thin">
        <color rgb="FFD9DCE1"/>
      </bottom>
      <diagonal/>
    </border>
    <border>
      <left style="thin">
        <color rgb="FFB8860B"/>
      </left>
      <right style="thin">
        <color rgb="FFB8860B"/>
      </right>
      <top style="thin">
        <color rgb="FFB8860B"/>
      </top>
      <bottom style="thin">
        <color rgb="FFB8860B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1" fillId="0" borderId="0" xfId="0" applyFont="1"/>
    <xf numFmtId="164" fontId="5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3" borderId="0" xfId="0" applyFont="1" applyFill="1"/>
    <xf numFmtId="0" fontId="6" fillId="5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165" fontId="4" fillId="4" borderId="2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/>
    </xf>
    <xf numFmtId="165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 vertical="center"/>
    </xf>
    <xf numFmtId="165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166" fontId="7" fillId="4" borderId="3" xfId="0" applyNumberFormat="1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166" fontId="7" fillId="5" borderId="3" xfId="0" applyNumberFormat="1" applyFont="1" applyFill="1" applyBorder="1" applyAlignment="1">
      <alignment horizontal="center" vertical="center"/>
    </xf>
    <xf numFmtId="164" fontId="7" fillId="5" borderId="3" xfId="0" applyNumberFormat="1" applyFont="1" applyFill="1" applyBorder="1" applyAlignment="1">
      <alignment horizontal="center" vertical="center"/>
    </xf>
    <xf numFmtId="0" fontId="7" fillId="6" borderId="3" xfId="0" applyFont="1" applyFill="1" applyBorder="1"/>
    <xf numFmtId="0" fontId="9" fillId="4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2" fillId="0" borderId="0" xfId="0" applyFont="1"/>
    <xf numFmtId="0" fontId="6" fillId="4" borderId="3" xfId="0" applyFont="1" applyFill="1" applyBorder="1" applyAlignment="1">
      <alignment horizontal="left" vertical="center"/>
    </xf>
    <xf numFmtId="166" fontId="6" fillId="4" borderId="3" xfId="0" applyNumberFormat="1" applyFont="1" applyFill="1" applyBorder="1" applyAlignment="1">
      <alignment horizontal="center" vertical="center"/>
    </xf>
    <xf numFmtId="164" fontId="13" fillId="4" borderId="3" xfId="0" applyNumberFormat="1" applyFont="1" applyFill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6" fillId="5" borderId="3" xfId="0" applyFont="1" applyFill="1" applyBorder="1" applyAlignment="1">
      <alignment horizontal="left" vertical="center"/>
    </xf>
    <xf numFmtId="166" fontId="6" fillId="5" borderId="3" xfId="0" applyNumberFormat="1" applyFont="1" applyFill="1" applyBorder="1" applyAlignment="1">
      <alignment horizontal="center" vertical="center"/>
    </xf>
    <xf numFmtId="164" fontId="13" fillId="5" borderId="3" xfId="0" applyNumberFormat="1" applyFont="1" applyFill="1" applyBorder="1" applyAlignment="1">
      <alignment horizontal="center" vertical="center"/>
    </xf>
    <xf numFmtId="165" fontId="13" fillId="5" borderId="3" xfId="0" applyNumberFormat="1" applyFont="1" applyFill="1" applyBorder="1" applyAlignment="1">
      <alignment horizontal="center" vertical="center"/>
    </xf>
    <xf numFmtId="164" fontId="3" fillId="7" borderId="3" xfId="0" applyNumberFormat="1" applyFont="1" applyFill="1" applyBorder="1" applyAlignment="1">
      <alignment horizontal="center" vertical="center"/>
    </xf>
    <xf numFmtId="0" fontId="0" fillId="7" borderId="3" xfId="0" applyFill="1" applyBorder="1"/>
    <xf numFmtId="0" fontId="0" fillId="7" borderId="0" xfId="0" applyFill="1"/>
    <xf numFmtId="164" fontId="3" fillId="8" borderId="3" xfId="0" applyNumberFormat="1" applyFont="1" applyFill="1" applyBorder="1" applyAlignment="1">
      <alignment horizontal="center" vertical="center"/>
    </xf>
    <xf numFmtId="0" fontId="0" fillId="8" borderId="3" xfId="0" applyFill="1" applyBorder="1"/>
    <xf numFmtId="0" fontId="0" fillId="8" borderId="0" xfId="0" applyFill="1"/>
    <xf numFmtId="164" fontId="3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0" xfId="0" applyFill="1"/>
    <xf numFmtId="10" fontId="9" fillId="6" borderId="4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5" fillId="0" borderId="3" xfId="0" applyFont="1" applyBorder="1"/>
    <xf numFmtId="10" fontId="9" fillId="9" borderId="3" xfId="0" applyNumberFormat="1" applyFont="1" applyFill="1" applyBorder="1" applyAlignment="1">
      <alignment horizontal="center" vertical="center"/>
    </xf>
    <xf numFmtId="0" fontId="0" fillId="0" borderId="3" xfId="0" applyBorder="1"/>
    <xf numFmtId="164" fontId="9" fillId="6" borderId="4" xfId="0" applyNumberFormat="1" applyFont="1" applyFill="1" applyBorder="1" applyAlignment="1">
      <alignment horizontal="center" vertical="center"/>
    </xf>
    <xf numFmtId="1" fontId="9" fillId="6" borderId="4" xfId="0" applyNumberFormat="1" applyFont="1" applyFill="1" applyBorder="1" applyAlignment="1">
      <alignment horizontal="center" vertical="center"/>
    </xf>
    <xf numFmtId="0" fontId="0" fillId="6" borderId="3" xfId="0" applyFill="1" applyBorder="1"/>
    <xf numFmtId="0" fontId="0" fillId="5" borderId="3" xfId="0" applyFill="1" applyBorder="1"/>
    <xf numFmtId="0" fontId="8" fillId="7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D9D9D9"/>
      <rgbColor rgb="FF878787"/>
      <rgbColor rgb="FF9AA5B1"/>
      <rgbColor rgb="FF993366"/>
      <rgbColor rgb="FFFBEFD9"/>
      <rgbColor rgb="FFE3F0ED"/>
      <rgbColor rgb="FF660066"/>
      <rgbColor rgb="FFFF8080"/>
      <rgbColor rgb="FF0066CC"/>
      <rgbColor rgb="FFD9DC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5F7"/>
      <rgbColor rgb="FFF9F9F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785"/>
      <rgbColor rgb="FF8C97A3"/>
      <rgbColor rgb="FF1F3B4D"/>
      <rgbColor rgb="FF2E7D6E"/>
      <rgbColor rgb="FF003300"/>
      <rgbColor rgb="FF333300"/>
      <rgbColor rgb="FF993300"/>
      <rgbColor rgb="FF993366"/>
      <rgbColor rgb="FF333399"/>
      <rgbColor rgb="FF2330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Personalkosten-Entwicklung 2026 (Brutto + Lohnnebenkosten)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Übersicht!$H$15</c:f>
              <c:strCache>
                <c:ptCount val="1"/>
                <c:pt idx="0">
                  <c:v>Brutto</c:v>
                </c:pt>
              </c:strCache>
            </c:strRef>
          </c:tx>
          <c:spPr>
            <a:solidFill>
              <a:srgbClr val="1F3B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Übersicht!$G$16:$G$27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Übersicht!$H$16:$H$27</c:f>
              <c:numCache>
                <c:formatCode>#,##0" €"</c:formatCode>
                <c:ptCount val="12"/>
                <c:pt idx="0">
                  <c:v>55950</c:v>
                </c:pt>
                <c:pt idx="1">
                  <c:v>55950</c:v>
                </c:pt>
                <c:pt idx="2">
                  <c:v>55950</c:v>
                </c:pt>
                <c:pt idx="3">
                  <c:v>55950</c:v>
                </c:pt>
                <c:pt idx="4">
                  <c:v>55950</c:v>
                </c:pt>
                <c:pt idx="5">
                  <c:v>82475</c:v>
                </c:pt>
                <c:pt idx="6">
                  <c:v>57601.5</c:v>
                </c:pt>
                <c:pt idx="7">
                  <c:v>57601.5</c:v>
                </c:pt>
                <c:pt idx="8">
                  <c:v>57601.5</c:v>
                </c:pt>
                <c:pt idx="9">
                  <c:v>57601.5</c:v>
                </c:pt>
                <c:pt idx="10">
                  <c:v>112243</c:v>
                </c:pt>
                <c:pt idx="11">
                  <c:v>57601.5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0-405A-850E-8A1AFCB550FC}"/>
            </c:ext>
          </c:extLst>
        </c:ser>
        <c:ser>
          <c:idx val="1"/>
          <c:order val="1"/>
          <c:tx>
            <c:strRef>
              <c:f>Übersicht!$I$15</c:f>
              <c:strCache>
                <c:ptCount val="1"/>
                <c:pt idx="0">
                  <c:v>LNK</c:v>
                </c:pt>
              </c:strCache>
            </c:strRef>
          </c:tx>
          <c:spPr>
            <a:solidFill>
              <a:srgbClr val="B8860B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Übersicht!$G$16:$G$27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Übersicht!$I$16:$I$27</c:f>
              <c:numCache>
                <c:formatCode>#,##0" €"</c:formatCode>
                <c:ptCount val="12"/>
                <c:pt idx="0">
                  <c:v>14140.892499999987</c:v>
                </c:pt>
                <c:pt idx="1">
                  <c:v>14140.892499999987</c:v>
                </c:pt>
                <c:pt idx="2">
                  <c:v>14140.892499999987</c:v>
                </c:pt>
                <c:pt idx="3">
                  <c:v>14140.892499999987</c:v>
                </c:pt>
                <c:pt idx="4">
                  <c:v>14140.892499999987</c:v>
                </c:pt>
                <c:pt idx="5">
                  <c:v>18595.077499999999</c:v>
                </c:pt>
                <c:pt idx="6">
                  <c:v>14478.272600000011</c:v>
                </c:pt>
                <c:pt idx="7">
                  <c:v>14478.272600000011</c:v>
                </c:pt>
                <c:pt idx="8">
                  <c:v>14478.272600000011</c:v>
                </c:pt>
                <c:pt idx="9">
                  <c:v>14478.272600000011</c:v>
                </c:pt>
                <c:pt idx="10">
                  <c:v>21709.309949999995</c:v>
                </c:pt>
                <c:pt idx="11">
                  <c:v>14478.272600000011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0-405A-850E-8A1AFCB55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212991"/>
        <c:axId val="20383210"/>
      </c:barChart>
      <c:catAx>
        <c:axId val="93212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0383210"/>
        <c:crosses val="autoZero"/>
        <c:auto val="1"/>
        <c:lblAlgn val="ctr"/>
        <c:lblOffset val="100"/>
        <c:noMultiLvlLbl val="0"/>
      </c:catAx>
      <c:valAx>
        <c:axId val="2038321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Euro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321299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Personalkosten je Abteilung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Übersicht!$D$15</c:f>
              <c:strCache>
                <c:ptCount val="1"/>
                <c:pt idx="0">
                  <c:v>Personalkosten
(Jahr)</c:v>
                </c:pt>
              </c:strCache>
            </c:strRef>
          </c:tx>
          <c:spPr>
            <a:solidFill>
              <a:srgbClr val="2E7D6E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Übersicht!$B$16:$B$19</c:f>
              <c:strCache>
                <c:ptCount val="4"/>
                <c:pt idx="0">
                  <c:v>Vertrieb</c:v>
                </c:pt>
                <c:pt idx="1">
                  <c:v>Produktion</c:v>
                </c:pt>
                <c:pt idx="2">
                  <c:v>IT/Entwicklung</c:v>
                </c:pt>
                <c:pt idx="3">
                  <c:v>Verwaltung</c:v>
                </c:pt>
              </c:strCache>
            </c:strRef>
          </c:cat>
          <c:val>
            <c:numRef>
              <c:f>Übersicht!$D$16:$D$19</c:f>
              <c:numCache>
                <c:formatCode>#,##0" €"</c:formatCode>
                <c:ptCount val="4"/>
                <c:pt idx="0">
                  <c:v>223997.75870000001</c:v>
                </c:pt>
                <c:pt idx="1">
                  <c:v>286134.33099999995</c:v>
                </c:pt>
                <c:pt idx="2">
                  <c:v>237032.22750000001</c:v>
                </c:pt>
                <c:pt idx="3">
                  <c:v>198711.39574999997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4-460B-A7DB-7F207EFD1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213"/>
        <c:axId val="95617740"/>
      </c:barChart>
      <c:catAx>
        <c:axId val="63521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5617740"/>
        <c:crosses val="autoZero"/>
        <c:auto val="1"/>
        <c:lblAlgn val="ctr"/>
        <c:lblOffset val="100"/>
        <c:noMultiLvlLbl val="0"/>
      </c:catAx>
      <c:valAx>
        <c:axId val="95617740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3521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8</xdr:col>
      <xdr:colOff>143280</xdr:colOff>
      <xdr:row>44</xdr:row>
      <xdr:rowOff>11880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209551</xdr:colOff>
      <xdr:row>28</xdr:row>
      <xdr:rowOff>0</xdr:rowOff>
    </xdr:from>
    <xdr:to>
      <xdr:col>19</xdr:col>
      <xdr:colOff>39241</xdr:colOff>
      <xdr:row>44</xdr:row>
      <xdr:rowOff>11880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B4D"/>
    <pageSetUpPr fitToPage="1"/>
  </sheetPr>
  <dimension ref="A1:I27"/>
  <sheetViews>
    <sheetView showGridLines="0" tabSelected="1" zoomScaleNormal="100" workbookViewId="0">
      <pane ySplit="3" topLeftCell="A4" activePane="bottomLeft" state="frozen"/>
      <selection pane="bottomLeft" activeCell="O20" sqref="O20"/>
    </sheetView>
  </sheetViews>
  <sheetFormatPr baseColWidth="10" defaultColWidth="8.7109375" defaultRowHeight="15" x14ac:dyDescent="0.25"/>
  <cols>
    <col min="1" max="1" width="3" customWidth="1"/>
    <col min="2" max="2" width="14" customWidth="1"/>
    <col min="3" max="6" width="13" customWidth="1"/>
    <col min="7" max="7" width="16" customWidth="1"/>
    <col min="8" max="8" width="13" customWidth="1"/>
    <col min="9" max="9" width="8" customWidth="1"/>
  </cols>
  <sheetData>
    <row r="1" spans="1:9" ht="30" customHeight="1" x14ac:dyDescent="0.25">
      <c r="A1" s="14" t="s">
        <v>171</v>
      </c>
      <c r="B1" s="14"/>
      <c r="C1" s="14"/>
      <c r="D1" s="14"/>
      <c r="E1" s="14"/>
      <c r="F1" s="14"/>
      <c r="G1" s="14"/>
      <c r="H1" s="14"/>
      <c r="I1" s="14"/>
    </row>
    <row r="2" spans="1:9" ht="18" customHeight="1" x14ac:dyDescent="0.25">
      <c r="A2" s="13" t="str">
        <f>"Birkental Technik GmbH  •  Planjahr: "&amp;Kostenplanung!C3</f>
        <v>Birkental Technik GmbH  •  Planjahr: 2026</v>
      </c>
      <c r="B2" s="13"/>
      <c r="C2" s="13"/>
      <c r="D2" s="13"/>
      <c r="E2" s="13"/>
      <c r="F2" s="13"/>
      <c r="G2" s="13"/>
      <c r="H2" s="13"/>
      <c r="I2" s="13"/>
    </row>
    <row r="3" spans="1:9" ht="7.5" customHeight="1" x14ac:dyDescent="0.25"/>
    <row r="4" spans="1:9" ht="25.5" customHeight="1" x14ac:dyDescent="0.25">
      <c r="B4" s="12" t="s">
        <v>0</v>
      </c>
      <c r="C4" s="12"/>
      <c r="D4" s="12" t="s">
        <v>1</v>
      </c>
      <c r="E4" s="12"/>
      <c r="F4" s="12" t="s">
        <v>2</v>
      </c>
      <c r="G4" s="12"/>
      <c r="H4" s="12" t="s">
        <v>3</v>
      </c>
      <c r="I4" s="12"/>
    </row>
    <row r="5" spans="1:9" ht="18" customHeight="1" x14ac:dyDescent="0.25">
      <c r="B5" s="11">
        <f>COUNTIF(Mitarbeiterstamm!$K$5:$K$19,"Aktiv")</f>
        <v>15</v>
      </c>
      <c r="C5" s="11"/>
      <c r="D5" s="10">
        <f>Kostenplanung!$V$26</f>
        <v>945875.71295000007</v>
      </c>
      <c r="E5" s="10"/>
      <c r="F5" s="10">
        <f>Kostenplanung!$V$24</f>
        <v>762475.5</v>
      </c>
      <c r="G5" s="10"/>
      <c r="H5" s="10">
        <f>Kostenplanung!$V$25</f>
        <v>183400.21294999996</v>
      </c>
      <c r="I5" s="10"/>
    </row>
    <row r="6" spans="1:9" ht="18" customHeight="1" x14ac:dyDescent="0.25">
      <c r="B6" s="11"/>
      <c r="C6" s="11"/>
      <c r="D6" s="10"/>
      <c r="E6" s="10"/>
      <c r="F6" s="10"/>
      <c r="G6" s="10"/>
      <c r="H6" s="10"/>
      <c r="I6" s="10"/>
    </row>
    <row r="7" spans="1:9" ht="7.5" customHeight="1" x14ac:dyDescent="0.25"/>
    <row r="9" spans="1:9" ht="25.5" customHeight="1" x14ac:dyDescent="0.25">
      <c r="B9" s="12" t="s">
        <v>4</v>
      </c>
      <c r="C9" s="12"/>
      <c r="D9" s="12" t="s">
        <v>5</v>
      </c>
      <c r="E9" s="12"/>
      <c r="F9" s="12" t="s">
        <v>6</v>
      </c>
      <c r="G9" s="12"/>
      <c r="H9" s="12" t="s">
        <v>7</v>
      </c>
      <c r="I9" s="12"/>
    </row>
    <row r="10" spans="1:9" ht="18" customHeight="1" x14ac:dyDescent="0.25">
      <c r="B10" s="9">
        <f>Kostenplanung!$V$25/Kostenplanung!$V$24</f>
        <v>0.24053259803101865</v>
      </c>
      <c r="C10" s="9"/>
      <c r="D10" s="10">
        <f>Kostenplanung!$V$26/12/COUNTIF(Mitarbeiterstamm!$K$5:$K$19,"Aktiv")</f>
        <v>5254.8650719444449</v>
      </c>
      <c r="E10" s="10"/>
      <c r="F10" s="10">
        <f>MAX(Kostenplanung!$J$26:$U$26)</f>
        <v>133952.30995</v>
      </c>
      <c r="G10" s="10"/>
      <c r="H10" s="11">
        <f>Kostenplanung!C3</f>
        <v>2026</v>
      </c>
      <c r="I10" s="11"/>
    </row>
    <row r="11" spans="1:9" ht="18" customHeight="1" x14ac:dyDescent="0.25">
      <c r="B11" s="9"/>
      <c r="C11" s="9"/>
      <c r="D11" s="10"/>
      <c r="E11" s="10"/>
      <c r="F11" s="10"/>
      <c r="G11" s="10"/>
      <c r="H11" s="11"/>
      <c r="I11" s="11"/>
    </row>
    <row r="12" spans="1:9" ht="7.5" customHeight="1" x14ac:dyDescent="0.25"/>
    <row r="14" spans="1:9" ht="21.75" customHeight="1" x14ac:dyDescent="0.25">
      <c r="B14" s="8" t="s">
        <v>8</v>
      </c>
      <c r="C14" s="8"/>
      <c r="D14" s="8"/>
      <c r="E14" s="8"/>
      <c r="F14" s="8"/>
      <c r="G14" s="8"/>
      <c r="H14" s="8"/>
      <c r="I14" s="8"/>
    </row>
    <row r="15" spans="1:9" ht="24" customHeight="1" x14ac:dyDescent="0.25">
      <c r="B15" s="7" t="s">
        <v>9</v>
      </c>
      <c r="C15" s="7"/>
      <c r="D15" s="15" t="s">
        <v>10</v>
      </c>
      <c r="E15" s="15" t="s">
        <v>11</v>
      </c>
      <c r="G15" s="15" t="s">
        <v>12</v>
      </c>
      <c r="H15" s="15" t="s">
        <v>13</v>
      </c>
      <c r="I15" s="15" t="s">
        <v>14</v>
      </c>
    </row>
    <row r="16" spans="1:9" x14ac:dyDescent="0.25">
      <c r="B16" s="6" t="s">
        <v>15</v>
      </c>
      <c r="C16" s="6"/>
      <c r="D16" s="16">
        <f>SUMIF(Kostenplanung!$C$8:$C$22,B16,Kostenplanung!$V$8:$V$22)</f>
        <v>223997.75870000001</v>
      </c>
      <c r="E16" s="17">
        <f>D16/Kostenplanung!$V$26</f>
        <v>0.23681521328145227</v>
      </c>
      <c r="G16" s="18" t="s">
        <v>16</v>
      </c>
      <c r="H16" s="16">
        <f>Kostenplanung!J24</f>
        <v>55950</v>
      </c>
      <c r="I16" s="16">
        <f>Kostenplanung!J25</f>
        <v>14140.892499999987</v>
      </c>
    </row>
    <row r="17" spans="2:9" x14ac:dyDescent="0.25">
      <c r="B17" s="5" t="s">
        <v>17</v>
      </c>
      <c r="C17" s="5"/>
      <c r="D17" s="19">
        <f>SUMIF(Kostenplanung!$C$8:$C$22,B17,Kostenplanung!$V$8:$V$22)</f>
        <v>286134.33099999995</v>
      </c>
      <c r="E17" s="20">
        <f>D17/Kostenplanung!$V$26</f>
        <v>0.30250732425257365</v>
      </c>
      <c r="G17" s="21" t="s">
        <v>18</v>
      </c>
      <c r="H17" s="19">
        <f>Kostenplanung!K24</f>
        <v>55950</v>
      </c>
      <c r="I17" s="19">
        <f>Kostenplanung!K25</f>
        <v>14140.892499999987</v>
      </c>
    </row>
    <row r="18" spans="2:9" x14ac:dyDescent="0.25">
      <c r="B18" s="6" t="s">
        <v>19</v>
      </c>
      <c r="C18" s="6"/>
      <c r="D18" s="16">
        <f>SUMIF(Kostenplanung!$C$8:$C$22,B18,Kostenplanung!$V$8:$V$22)</f>
        <v>237032.22750000001</v>
      </c>
      <c r="E18" s="17">
        <f>D18/Kostenplanung!$V$26</f>
        <v>0.25059553200783979</v>
      </c>
      <c r="G18" s="18" t="s">
        <v>20</v>
      </c>
      <c r="H18" s="16">
        <f>Kostenplanung!L24</f>
        <v>55950</v>
      </c>
      <c r="I18" s="16">
        <f>Kostenplanung!L25</f>
        <v>14140.892499999987</v>
      </c>
    </row>
    <row r="19" spans="2:9" x14ac:dyDescent="0.25">
      <c r="B19" s="5" t="s">
        <v>21</v>
      </c>
      <c r="C19" s="5"/>
      <c r="D19" s="19">
        <f>SUMIF(Kostenplanung!$C$8:$C$22,B19,Kostenplanung!$V$8:$V$22)</f>
        <v>198711.39574999997</v>
      </c>
      <c r="E19" s="20">
        <f>D19/Kostenplanung!$V$26</f>
        <v>0.21008193045813414</v>
      </c>
      <c r="G19" s="21" t="s">
        <v>22</v>
      </c>
      <c r="H19" s="19">
        <f>Kostenplanung!M24</f>
        <v>55950</v>
      </c>
      <c r="I19" s="19">
        <f>Kostenplanung!M25</f>
        <v>14140.892499999987</v>
      </c>
    </row>
    <row r="20" spans="2:9" x14ac:dyDescent="0.25">
      <c r="G20" s="18" t="s">
        <v>23</v>
      </c>
      <c r="H20" s="16">
        <f>Kostenplanung!N24</f>
        <v>55950</v>
      </c>
      <c r="I20" s="16">
        <f>Kostenplanung!N25</f>
        <v>14140.892499999987</v>
      </c>
    </row>
    <row r="21" spans="2:9" x14ac:dyDescent="0.25">
      <c r="G21" s="21" t="s">
        <v>24</v>
      </c>
      <c r="H21" s="19">
        <f>Kostenplanung!O24</f>
        <v>82475</v>
      </c>
      <c r="I21" s="19">
        <f>Kostenplanung!O25</f>
        <v>18595.077499999999</v>
      </c>
    </row>
    <row r="22" spans="2:9" x14ac:dyDescent="0.25">
      <c r="G22" s="18" t="s">
        <v>25</v>
      </c>
      <c r="H22" s="16">
        <f>Kostenplanung!P24</f>
        <v>57601.5</v>
      </c>
      <c r="I22" s="16">
        <f>Kostenplanung!P25</f>
        <v>14478.272600000011</v>
      </c>
    </row>
    <row r="23" spans="2:9" x14ac:dyDescent="0.25">
      <c r="G23" s="21" t="s">
        <v>26</v>
      </c>
      <c r="H23" s="19">
        <f>Kostenplanung!Q24</f>
        <v>57601.5</v>
      </c>
      <c r="I23" s="19">
        <f>Kostenplanung!Q25</f>
        <v>14478.272600000011</v>
      </c>
    </row>
    <row r="24" spans="2:9" x14ac:dyDescent="0.25">
      <c r="G24" s="18" t="s">
        <v>27</v>
      </c>
      <c r="H24" s="16">
        <f>Kostenplanung!R24</f>
        <v>57601.5</v>
      </c>
      <c r="I24" s="16">
        <f>Kostenplanung!R25</f>
        <v>14478.272600000011</v>
      </c>
    </row>
    <row r="25" spans="2:9" x14ac:dyDescent="0.25">
      <c r="G25" s="21" t="s">
        <v>28</v>
      </c>
      <c r="H25" s="19">
        <f>Kostenplanung!S24</f>
        <v>57601.5</v>
      </c>
      <c r="I25" s="19">
        <f>Kostenplanung!S25</f>
        <v>14478.272600000011</v>
      </c>
    </row>
    <row r="26" spans="2:9" x14ac:dyDescent="0.25">
      <c r="G26" s="18" t="s">
        <v>29</v>
      </c>
      <c r="H26" s="16">
        <f>Kostenplanung!T24</f>
        <v>112243</v>
      </c>
      <c r="I26" s="16">
        <f>Kostenplanung!T25</f>
        <v>21709.309949999995</v>
      </c>
    </row>
    <row r="27" spans="2:9" x14ac:dyDescent="0.25">
      <c r="G27" s="21" t="s">
        <v>30</v>
      </c>
      <c r="H27" s="19">
        <f>Kostenplanung!U24</f>
        <v>57601.5</v>
      </c>
      <c r="I27" s="19">
        <f>Kostenplanung!U25</f>
        <v>14478.272600000011</v>
      </c>
    </row>
  </sheetData>
  <mergeCells count="24">
    <mergeCell ref="B15:C15"/>
    <mergeCell ref="B16:C16"/>
    <mergeCell ref="B17:C17"/>
    <mergeCell ref="B18:C18"/>
    <mergeCell ref="B19:C19"/>
    <mergeCell ref="B10:C11"/>
    <mergeCell ref="D10:E11"/>
    <mergeCell ref="F10:G11"/>
    <mergeCell ref="H10:I11"/>
    <mergeCell ref="B14:I14"/>
    <mergeCell ref="B5:C6"/>
    <mergeCell ref="D5:E6"/>
    <mergeCell ref="F5:G6"/>
    <mergeCell ref="H5:I6"/>
    <mergeCell ref="B9:C9"/>
    <mergeCell ref="D9:E9"/>
    <mergeCell ref="F9:G9"/>
    <mergeCell ref="H9:I9"/>
    <mergeCell ref="A1:I1"/>
    <mergeCell ref="A2:I2"/>
    <mergeCell ref="B4:C4"/>
    <mergeCell ref="D4:E4"/>
    <mergeCell ref="F4:G4"/>
    <mergeCell ref="H4:I4"/>
  </mergeCells>
  <pageMargins left="0.75" right="0.75" top="1" bottom="1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D6E"/>
    <pageSetUpPr fitToPage="1"/>
  </sheetPr>
  <dimension ref="A1:K26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7109375" defaultRowHeight="15" x14ac:dyDescent="0.25"/>
  <cols>
    <col min="1" max="1" width="11" customWidth="1"/>
    <col min="2" max="2" width="20" customWidth="1"/>
    <col min="3" max="3" width="16" customWidth="1"/>
    <col min="4" max="4" width="28" customWidth="1"/>
    <col min="5" max="6" width="13" customWidth="1"/>
    <col min="7" max="7" width="14" customWidth="1"/>
    <col min="8" max="8" width="15" customWidth="1"/>
    <col min="9" max="10" width="13" customWidth="1"/>
    <col min="11" max="11" width="11" customWidth="1"/>
  </cols>
  <sheetData>
    <row r="1" spans="1:11" ht="30" customHeight="1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" customHeight="1" x14ac:dyDescent="0.25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7.5" customHeight="1" x14ac:dyDescent="0.25"/>
    <row r="4" spans="1:11" ht="31.5" customHeight="1" x14ac:dyDescent="0.25">
      <c r="A4" s="15" t="s">
        <v>33</v>
      </c>
      <c r="B4" s="15" t="s">
        <v>34</v>
      </c>
      <c r="C4" s="15" t="s">
        <v>9</v>
      </c>
      <c r="D4" s="15" t="s">
        <v>35</v>
      </c>
      <c r="E4" s="15" t="s">
        <v>36</v>
      </c>
      <c r="F4" s="15" t="s">
        <v>37</v>
      </c>
      <c r="G4" s="15" t="s">
        <v>38</v>
      </c>
      <c r="H4" s="15" t="s">
        <v>39</v>
      </c>
      <c r="I4" s="15" t="s">
        <v>40</v>
      </c>
      <c r="J4" s="15" t="s">
        <v>41</v>
      </c>
      <c r="K4" s="15" t="s">
        <v>42</v>
      </c>
    </row>
    <row r="5" spans="1:11" ht="15.75" customHeight="1" x14ac:dyDescent="0.25">
      <c r="A5" s="22" t="s">
        <v>43</v>
      </c>
      <c r="B5" s="23" t="s">
        <v>44</v>
      </c>
      <c r="C5" s="22" t="s">
        <v>15</v>
      </c>
      <c r="D5" s="23" t="s">
        <v>45</v>
      </c>
      <c r="E5" s="22" t="s">
        <v>46</v>
      </c>
      <c r="F5" s="24">
        <v>42795</v>
      </c>
      <c r="G5" s="25">
        <v>6200</v>
      </c>
      <c r="H5" s="25">
        <v>450</v>
      </c>
      <c r="I5" s="25">
        <v>150</v>
      </c>
      <c r="J5" s="22" t="s">
        <v>47</v>
      </c>
      <c r="K5" s="22" t="s">
        <v>48</v>
      </c>
    </row>
    <row r="6" spans="1:11" ht="15.75" customHeight="1" x14ac:dyDescent="0.25">
      <c r="A6" s="26" t="s">
        <v>49</v>
      </c>
      <c r="B6" s="27" t="s">
        <v>50</v>
      </c>
      <c r="C6" s="26" t="s">
        <v>15</v>
      </c>
      <c r="D6" s="27" t="s">
        <v>51</v>
      </c>
      <c r="E6" s="26" t="s">
        <v>46</v>
      </c>
      <c r="F6" s="28">
        <v>43997</v>
      </c>
      <c r="G6" s="29">
        <v>4200</v>
      </c>
      <c r="H6" s="29">
        <v>0</v>
      </c>
      <c r="I6" s="29">
        <v>100</v>
      </c>
      <c r="J6" s="26" t="s">
        <v>47</v>
      </c>
      <c r="K6" s="26" t="s">
        <v>48</v>
      </c>
    </row>
    <row r="7" spans="1:11" ht="15.75" customHeight="1" x14ac:dyDescent="0.25">
      <c r="A7" s="22" t="s">
        <v>52</v>
      </c>
      <c r="B7" s="23" t="s">
        <v>53</v>
      </c>
      <c r="C7" s="22" t="s">
        <v>15</v>
      </c>
      <c r="D7" s="23" t="s">
        <v>54</v>
      </c>
      <c r="E7" s="22" t="s">
        <v>55</v>
      </c>
      <c r="F7" s="24">
        <v>44805</v>
      </c>
      <c r="G7" s="25">
        <v>2400</v>
      </c>
      <c r="H7" s="25">
        <v>0</v>
      </c>
      <c r="I7" s="25">
        <v>0</v>
      </c>
      <c r="J7" s="22" t="s">
        <v>47</v>
      </c>
      <c r="K7" s="22" t="s">
        <v>48</v>
      </c>
    </row>
    <row r="8" spans="1:11" ht="15.75" customHeight="1" x14ac:dyDescent="0.25">
      <c r="A8" s="26" t="s">
        <v>56</v>
      </c>
      <c r="B8" s="27" t="s">
        <v>57</v>
      </c>
      <c r="C8" s="26" t="s">
        <v>17</v>
      </c>
      <c r="D8" s="27" t="s">
        <v>58</v>
      </c>
      <c r="E8" s="26" t="s">
        <v>46</v>
      </c>
      <c r="F8" s="28">
        <v>41671</v>
      </c>
      <c r="G8" s="29">
        <v>5800</v>
      </c>
      <c r="H8" s="29">
        <v>0</v>
      </c>
      <c r="I8" s="29">
        <v>150</v>
      </c>
      <c r="J8" s="26" t="s">
        <v>47</v>
      </c>
      <c r="K8" s="26" t="s">
        <v>48</v>
      </c>
    </row>
    <row r="9" spans="1:11" ht="15.75" customHeight="1" x14ac:dyDescent="0.25">
      <c r="A9" s="22" t="s">
        <v>59</v>
      </c>
      <c r="B9" s="23" t="s">
        <v>60</v>
      </c>
      <c r="C9" s="22" t="s">
        <v>17</v>
      </c>
      <c r="D9" s="23" t="s">
        <v>61</v>
      </c>
      <c r="E9" s="22" t="s">
        <v>46</v>
      </c>
      <c r="F9" s="24">
        <v>43221</v>
      </c>
      <c r="G9" s="25">
        <v>3400</v>
      </c>
      <c r="H9" s="25">
        <v>0</v>
      </c>
      <c r="I9" s="25">
        <v>60</v>
      </c>
      <c r="J9" s="22" t="s">
        <v>47</v>
      </c>
      <c r="K9" s="22" t="s">
        <v>48</v>
      </c>
    </row>
    <row r="10" spans="1:11" ht="15.75" customHeight="1" x14ac:dyDescent="0.25">
      <c r="A10" s="26" t="s">
        <v>62</v>
      </c>
      <c r="B10" s="27" t="s">
        <v>63</v>
      </c>
      <c r="C10" s="26" t="s">
        <v>17</v>
      </c>
      <c r="D10" s="27" t="s">
        <v>61</v>
      </c>
      <c r="E10" s="26" t="s">
        <v>46</v>
      </c>
      <c r="F10" s="28">
        <v>44287</v>
      </c>
      <c r="G10" s="29">
        <v>3300</v>
      </c>
      <c r="H10" s="29">
        <v>0</v>
      </c>
      <c r="I10" s="29">
        <v>60</v>
      </c>
      <c r="J10" s="26" t="s">
        <v>47</v>
      </c>
      <c r="K10" s="26" t="s">
        <v>48</v>
      </c>
    </row>
    <row r="11" spans="1:11" ht="15.75" customHeight="1" x14ac:dyDescent="0.25">
      <c r="A11" s="22" t="s">
        <v>64</v>
      </c>
      <c r="B11" s="23" t="s">
        <v>65</v>
      </c>
      <c r="C11" s="22" t="s">
        <v>17</v>
      </c>
      <c r="D11" s="23" t="s">
        <v>66</v>
      </c>
      <c r="E11" s="22" t="s">
        <v>46</v>
      </c>
      <c r="F11" s="24">
        <v>45139</v>
      </c>
      <c r="G11" s="25">
        <v>3100</v>
      </c>
      <c r="H11" s="25">
        <v>0</v>
      </c>
      <c r="I11" s="25">
        <v>0</v>
      </c>
      <c r="J11" s="22" t="s">
        <v>47</v>
      </c>
      <c r="K11" s="22" t="s">
        <v>48</v>
      </c>
    </row>
    <row r="12" spans="1:11" ht="15.75" customHeight="1" x14ac:dyDescent="0.25">
      <c r="A12" s="26" t="s">
        <v>67</v>
      </c>
      <c r="B12" s="27" t="s">
        <v>68</v>
      </c>
      <c r="C12" s="26" t="s">
        <v>19</v>
      </c>
      <c r="D12" s="27" t="s">
        <v>69</v>
      </c>
      <c r="E12" s="26" t="s">
        <v>46</v>
      </c>
      <c r="F12" s="28">
        <v>42384</v>
      </c>
      <c r="G12" s="29">
        <v>7200</v>
      </c>
      <c r="H12" s="29">
        <v>450</v>
      </c>
      <c r="I12" s="29">
        <v>180</v>
      </c>
      <c r="J12" s="26" t="s">
        <v>47</v>
      </c>
      <c r="K12" s="26" t="s">
        <v>48</v>
      </c>
    </row>
    <row r="13" spans="1:11" ht="15.75" customHeight="1" x14ac:dyDescent="0.25">
      <c r="A13" s="22" t="s">
        <v>70</v>
      </c>
      <c r="B13" s="23" t="s">
        <v>71</v>
      </c>
      <c r="C13" s="22" t="s">
        <v>19</v>
      </c>
      <c r="D13" s="23" t="s">
        <v>72</v>
      </c>
      <c r="E13" s="22" t="s">
        <v>46</v>
      </c>
      <c r="F13" s="24">
        <v>44621</v>
      </c>
      <c r="G13" s="25">
        <v>5200</v>
      </c>
      <c r="H13" s="25">
        <v>0</v>
      </c>
      <c r="I13" s="25">
        <v>100</v>
      </c>
      <c r="J13" s="22" t="s">
        <v>47</v>
      </c>
      <c r="K13" s="22" t="s">
        <v>48</v>
      </c>
    </row>
    <row r="14" spans="1:11" ht="15.75" customHeight="1" x14ac:dyDescent="0.25">
      <c r="A14" s="26" t="s">
        <v>73</v>
      </c>
      <c r="B14" s="27" t="s">
        <v>74</v>
      </c>
      <c r="C14" s="26" t="s">
        <v>19</v>
      </c>
      <c r="D14" s="27" t="s">
        <v>75</v>
      </c>
      <c r="E14" s="26" t="s">
        <v>55</v>
      </c>
      <c r="F14" s="28">
        <v>45748</v>
      </c>
      <c r="G14" s="29">
        <v>1450</v>
      </c>
      <c r="H14" s="29">
        <v>0</v>
      </c>
      <c r="I14" s="29">
        <v>0</v>
      </c>
      <c r="J14" s="26" t="s">
        <v>76</v>
      </c>
      <c r="K14" s="26" t="s">
        <v>48</v>
      </c>
    </row>
    <row r="15" spans="1:11" ht="15.75" customHeight="1" x14ac:dyDescent="0.25">
      <c r="A15" s="22" t="s">
        <v>77</v>
      </c>
      <c r="B15" s="23" t="s">
        <v>78</v>
      </c>
      <c r="C15" s="22" t="s">
        <v>21</v>
      </c>
      <c r="D15" s="23" t="s">
        <v>79</v>
      </c>
      <c r="E15" s="22" t="s">
        <v>46</v>
      </c>
      <c r="F15" s="24">
        <v>42248</v>
      </c>
      <c r="G15" s="25">
        <v>4900</v>
      </c>
      <c r="H15" s="25">
        <v>0</v>
      </c>
      <c r="I15" s="25">
        <v>120</v>
      </c>
      <c r="J15" s="22" t="s">
        <v>47</v>
      </c>
      <c r="K15" s="22" t="s">
        <v>48</v>
      </c>
    </row>
    <row r="16" spans="1:11" ht="15.75" customHeight="1" x14ac:dyDescent="0.25">
      <c r="A16" s="26" t="s">
        <v>80</v>
      </c>
      <c r="B16" s="27" t="s">
        <v>81</v>
      </c>
      <c r="C16" s="26" t="s">
        <v>21</v>
      </c>
      <c r="D16" s="27" t="s">
        <v>82</v>
      </c>
      <c r="E16" s="26" t="s">
        <v>46</v>
      </c>
      <c r="F16" s="28">
        <v>43770</v>
      </c>
      <c r="G16" s="29">
        <v>3600</v>
      </c>
      <c r="H16" s="29">
        <v>0</v>
      </c>
      <c r="I16" s="29">
        <v>60</v>
      </c>
      <c r="J16" s="26" t="s">
        <v>47</v>
      </c>
      <c r="K16" s="26" t="s">
        <v>48</v>
      </c>
    </row>
    <row r="17" spans="1:11" ht="15.75" customHeight="1" x14ac:dyDescent="0.25">
      <c r="A17" s="22" t="s">
        <v>83</v>
      </c>
      <c r="B17" s="23" t="s">
        <v>84</v>
      </c>
      <c r="C17" s="22" t="s">
        <v>21</v>
      </c>
      <c r="D17" s="23" t="s">
        <v>85</v>
      </c>
      <c r="E17" s="22" t="s">
        <v>55</v>
      </c>
      <c r="F17" s="24">
        <v>44348</v>
      </c>
      <c r="G17" s="25">
        <v>2600</v>
      </c>
      <c r="H17" s="25">
        <v>0</v>
      </c>
      <c r="I17" s="25">
        <v>0</v>
      </c>
      <c r="J17" s="22" t="s">
        <v>47</v>
      </c>
      <c r="K17" s="22" t="s">
        <v>48</v>
      </c>
    </row>
    <row r="18" spans="1:11" ht="15.75" customHeight="1" x14ac:dyDescent="0.25">
      <c r="A18" s="26" t="s">
        <v>86</v>
      </c>
      <c r="B18" s="27" t="s">
        <v>87</v>
      </c>
      <c r="C18" s="26" t="s">
        <v>17</v>
      </c>
      <c r="D18" s="27" t="s">
        <v>88</v>
      </c>
      <c r="E18" s="26" t="s">
        <v>89</v>
      </c>
      <c r="F18" s="28">
        <v>45505</v>
      </c>
      <c r="G18" s="29">
        <v>1150</v>
      </c>
      <c r="H18" s="29">
        <v>0</v>
      </c>
      <c r="I18" s="29">
        <v>0</v>
      </c>
      <c r="J18" s="26" t="s">
        <v>47</v>
      </c>
      <c r="K18" s="26" t="s">
        <v>48</v>
      </c>
    </row>
    <row r="19" spans="1:11" ht="15.75" customHeight="1" x14ac:dyDescent="0.25">
      <c r="A19" s="22" t="s">
        <v>90</v>
      </c>
      <c r="B19" s="23" t="s">
        <v>91</v>
      </c>
      <c r="C19" s="22" t="s">
        <v>21</v>
      </c>
      <c r="D19" s="23" t="s">
        <v>92</v>
      </c>
      <c r="E19" s="22" t="s">
        <v>93</v>
      </c>
      <c r="F19" s="24">
        <v>44958</v>
      </c>
      <c r="G19" s="25">
        <v>550</v>
      </c>
      <c r="H19" s="25">
        <v>0</v>
      </c>
      <c r="I19" s="25">
        <v>0</v>
      </c>
      <c r="J19" s="22" t="s">
        <v>76</v>
      </c>
      <c r="K19" s="22" t="s">
        <v>48</v>
      </c>
    </row>
    <row r="22" spans="1:11" ht="18" customHeight="1" x14ac:dyDescent="0.25">
      <c r="A22" s="4" t="s">
        <v>94</v>
      </c>
      <c r="B22" s="4"/>
    </row>
    <row r="23" spans="1:11" x14ac:dyDescent="0.25">
      <c r="A23" s="30" t="s">
        <v>15</v>
      </c>
      <c r="B23" s="31">
        <f>COUNTIFS($C$5:$C$19,A23,$K$5:$K$19,"Aktiv")</f>
        <v>3</v>
      </c>
    </row>
    <row r="24" spans="1:11" x14ac:dyDescent="0.25">
      <c r="A24" s="30" t="s">
        <v>17</v>
      </c>
      <c r="B24" s="31">
        <f>COUNTIFS($C$5:$C$19,A24,$K$5:$K$19,"Aktiv")</f>
        <v>5</v>
      </c>
    </row>
    <row r="25" spans="1:11" x14ac:dyDescent="0.25">
      <c r="A25" s="30" t="s">
        <v>19</v>
      </c>
      <c r="B25" s="31">
        <f>COUNTIFS($C$5:$C$19,A25,$K$5:$K$19,"Aktiv")</f>
        <v>3</v>
      </c>
    </row>
    <row r="26" spans="1:11" x14ac:dyDescent="0.25">
      <c r="A26" s="30" t="s">
        <v>21</v>
      </c>
      <c r="B26" s="31">
        <f>COUNTIFS($C$5:$C$19,A26,$K$5:$K$19,"Aktiv")</f>
        <v>4</v>
      </c>
    </row>
  </sheetData>
  <mergeCells count="3">
    <mergeCell ref="A1:K1"/>
    <mergeCell ref="A2:K2"/>
    <mergeCell ref="A22:B22"/>
  </mergeCells>
  <dataValidations count="3">
    <dataValidation type="list" sqref="E5:E19" xr:uid="{00000000-0002-0000-0100-000000000000}">
      <formula1>"Vollzeit,Teilzeit,Azubi,Minijob"</formula1>
      <formula2>0</formula2>
    </dataValidation>
    <dataValidation type="list" sqref="J5:J19" xr:uid="{00000000-0002-0000-0100-000001000000}">
      <formula1>"Ja,Nein"</formula1>
      <formula2>0</formula2>
    </dataValidation>
    <dataValidation type="list" sqref="K5:K19" xr:uid="{00000000-0002-0000-0100-000002000000}">
      <formula1>"Aktiv,Inaktiv"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8860B"/>
    <pageSetUpPr fitToPage="1"/>
  </sheetPr>
  <dimension ref="A1:AK26"/>
  <sheetViews>
    <sheetView showGridLines="0" zoomScaleNormal="100" workbookViewId="0">
      <pane xSplit="9" ySplit="7" topLeftCell="J8" activePane="bottomRight" state="frozen"/>
      <selection pane="topRight" activeCell="J1" sqref="J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9" customWidth="1"/>
    <col min="2" max="2" width="18" customWidth="1"/>
    <col min="3" max="3" width="14" customWidth="1"/>
    <col min="4" max="4" width="11" customWidth="1"/>
    <col min="5" max="5" width="10" customWidth="1"/>
    <col min="6" max="6" width="11" customWidth="1"/>
    <col min="7" max="8" width="10" customWidth="1"/>
    <col min="9" max="9" width="8" customWidth="1"/>
    <col min="10" max="21" width="9.5703125" customWidth="1"/>
    <col min="22" max="22" width="13" customWidth="1"/>
    <col min="23" max="23" width="12" customWidth="1"/>
    <col min="24" max="24" width="11" customWidth="1"/>
    <col min="25" max="37" width="13" hidden="1" customWidth="1"/>
  </cols>
  <sheetData>
    <row r="1" spans="1:37" ht="30" customHeight="1" x14ac:dyDescent="0.25">
      <c r="A1" s="14" t="s">
        <v>95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</row>
    <row r="2" spans="1:37" ht="18" customHeight="1" x14ac:dyDescent="0.25">
      <c r="A2" s="13" t="s">
        <v>96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19.5" customHeight="1" x14ac:dyDescent="0.25">
      <c r="A3" s="3" t="s">
        <v>97</v>
      </c>
      <c r="B3" s="3"/>
      <c r="C3" s="32">
        <v>2026</v>
      </c>
      <c r="E3" s="3" t="s">
        <v>98</v>
      </c>
      <c r="F3" s="3"/>
      <c r="G3" s="2">
        <f>SUM(J26:U26)</f>
        <v>945875.71295000007</v>
      </c>
      <c r="H3" s="2"/>
      <c r="I3" s="2"/>
    </row>
    <row r="4" spans="1:37" ht="6" customHeight="1" x14ac:dyDescent="0.25"/>
    <row r="5" spans="1:37" ht="15.75" customHeight="1" x14ac:dyDescent="0.25">
      <c r="A5" s="1" t="s">
        <v>99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 customHeight="1" x14ac:dyDescent="0.25">
      <c r="A6" s="15" t="s">
        <v>33</v>
      </c>
      <c r="B6" s="15" t="s">
        <v>34</v>
      </c>
      <c r="C6" s="15" t="s">
        <v>9</v>
      </c>
      <c r="D6" s="15" t="s">
        <v>36</v>
      </c>
      <c r="E6" s="15" t="s">
        <v>100</v>
      </c>
      <c r="F6" s="15" t="s">
        <v>101</v>
      </c>
      <c r="G6" s="15" t="s">
        <v>102</v>
      </c>
      <c r="H6" s="15" t="s">
        <v>103</v>
      </c>
      <c r="I6" s="15" t="s">
        <v>104</v>
      </c>
      <c r="J6" s="33" t="s">
        <v>16</v>
      </c>
      <c r="K6" s="33" t="s">
        <v>18</v>
      </c>
      <c r="L6" s="33" t="s">
        <v>20</v>
      </c>
      <c r="M6" s="33" t="s">
        <v>22</v>
      </c>
      <c r="N6" s="33" t="s">
        <v>23</v>
      </c>
      <c r="O6" s="33" t="s">
        <v>24</v>
      </c>
      <c r="P6" s="33" t="s">
        <v>25</v>
      </c>
      <c r="Q6" s="33" t="s">
        <v>26</v>
      </c>
      <c r="R6" s="33" t="s">
        <v>27</v>
      </c>
      <c r="S6" s="33" t="s">
        <v>28</v>
      </c>
      <c r="T6" s="33" t="s">
        <v>29</v>
      </c>
      <c r="U6" s="33" t="s">
        <v>30</v>
      </c>
      <c r="V6" s="15" t="s">
        <v>105</v>
      </c>
      <c r="W6" s="15" t="s">
        <v>106</v>
      </c>
      <c r="X6" s="15" t="s">
        <v>107</v>
      </c>
      <c r="Y6" s="34" t="s">
        <v>108</v>
      </c>
      <c r="Z6" s="34" t="s">
        <v>108</v>
      </c>
      <c r="AA6" s="34" t="s">
        <v>108</v>
      </c>
      <c r="AB6" s="34" t="s">
        <v>108</v>
      </c>
      <c r="AC6" s="34" t="s">
        <v>108</v>
      </c>
      <c r="AD6" s="34" t="s">
        <v>108</v>
      </c>
      <c r="AE6" s="34" t="s">
        <v>108</v>
      </c>
      <c r="AF6" s="34" t="s">
        <v>108</v>
      </c>
      <c r="AG6" s="34" t="s">
        <v>108</v>
      </c>
      <c r="AH6" s="34" t="s">
        <v>108</v>
      </c>
      <c r="AI6" s="34" t="s">
        <v>108</v>
      </c>
      <c r="AJ6" s="34" t="s">
        <v>108</v>
      </c>
      <c r="AK6" s="34" t="s">
        <v>108</v>
      </c>
    </row>
    <row r="8" spans="1:37" ht="15" customHeight="1" x14ac:dyDescent="0.25">
      <c r="A8" s="18" t="str">
        <f>Mitarbeiterstamm!A5</f>
        <v>P-201</v>
      </c>
      <c r="B8" s="35" t="str">
        <f>Mitarbeiterstamm!B5</f>
        <v>Anna Brenner</v>
      </c>
      <c r="C8" s="18" t="str">
        <f>Mitarbeiterstamm!C5</f>
        <v>Vertrieb</v>
      </c>
      <c r="D8" s="18" t="str">
        <f>Mitarbeiterstamm!E5</f>
        <v>Vollzeit</v>
      </c>
      <c r="E8" s="36">
        <f>Mitarbeiterstamm!F5</f>
        <v>42795</v>
      </c>
      <c r="F8" s="16">
        <f>Mitarbeiterstamm!G5</f>
        <v>6200</v>
      </c>
      <c r="G8" s="16">
        <f>Mitarbeiterstamm!H5</f>
        <v>450</v>
      </c>
      <c r="H8" s="16">
        <f>Mitarbeiterstamm!I5</f>
        <v>150</v>
      </c>
      <c r="I8" s="18" t="str">
        <f>Mitarbeiterstamm!J5</f>
        <v>Ja</v>
      </c>
      <c r="J8" s="16">
        <f t="shared" ref="J8:J22" si="0">IF(DATE($C$3,1,1)&gt;=DATE(YEAR($E8),MONTH($E8),1),1,0)*(($F8*IF(1&gt;=Steig_Monat,1+Steig_Satz,1))+IF($I8="Ja",IF(1=UG_Monat,($F8*IF(1&gt;=Steig_Monat,1+Steig_Satz,1))*UG_Satz,0)+IF(1=WG_Monat,($F8*IF(1&gt;=Steig_Monat,1+Steig_Satz,1))*WG_Satz,0),0)+$G8+$H8+IF($D8="Minijob",($F8*IF(1&gt;=Steig_Monat,1+Steig_Satz,1))*(MJ_KV+MJ_RV+MJ_ST+Satz_U1+Satz_U2+Satz_Insolvenz+Satz_BG),MIN((($F8*IF(1&gt;=Steig_Monat,1+Steig_Satz,1))+$G8+IF($I8="Ja",IF(1=UG_Monat,($F8*IF(1&gt;=Steig_Monat,1+Steig_Satz,1))*UG_Satz,0)+IF(1=WG_Monat,($F8*IF(1&gt;=Steig_Monat,1+Steig_Satz,1))*WG_Satz,0),0)),BBG_KVPV)*(Satz_KV+Satz_PV)+MIN((($F8*IF(1&gt;=Steig_Monat,1+Steig_Satz,1))+$G8+IF($I8="Ja",IF(1=UG_Monat,($F8*IF(1&gt;=Steig_Monat,1+Steig_Satz,1))*UG_Satz,0)+IF(1=WG_Monat,($F8*IF(1&gt;=Steig_Monat,1+Steig_Satz,1))*WG_Satz,0),0)),BBG_RVAV)*(Satz_RV+Satz_AV)+(($F8*IF(1&gt;=Steig_Monat,1+Steig_Satz,1))+$G8+IF($I8="Ja",IF(1=UG_Monat,($F8*IF(1&gt;=Steig_Monat,1+Steig_Satz,1))*UG_Satz,0)+IF(1=WG_Monat,($F8*IF(1&gt;=Steig_Monat,1+Steig_Satz,1))*WG_Satz,0),0))*(Satz_U1+Satz_U2+Satz_Insolvenz+Satz_BG)))</f>
        <v>8303.6537499999995</v>
      </c>
      <c r="K8" s="16">
        <f t="shared" ref="K8:K22" si="1">IF(DATE($C$3,2,1)&gt;=DATE(YEAR($E8),MONTH($E8),1),1,0)*(($F8*IF(2&gt;=Steig_Monat,1+Steig_Satz,1))+IF($I8="Ja",IF(2=UG_Monat,($F8*IF(2&gt;=Steig_Monat,1+Steig_Satz,1))*UG_Satz,0)+IF(2=WG_Monat,($F8*IF(2&gt;=Steig_Monat,1+Steig_Satz,1))*WG_Satz,0),0)+$G8+$H8+IF($D8="Minijob",($F8*IF(2&gt;=Steig_Monat,1+Steig_Satz,1))*(MJ_KV+MJ_RV+MJ_ST+Satz_U1+Satz_U2+Satz_Insolvenz+Satz_BG),MIN((($F8*IF(2&gt;=Steig_Monat,1+Steig_Satz,1))+$G8+IF($I8="Ja",IF(2=UG_Monat,($F8*IF(2&gt;=Steig_Monat,1+Steig_Satz,1))*UG_Satz,0)+IF(2=WG_Monat,($F8*IF(2&gt;=Steig_Monat,1+Steig_Satz,1))*WG_Satz,0),0)),BBG_KVPV)*(Satz_KV+Satz_PV)+MIN((($F8*IF(2&gt;=Steig_Monat,1+Steig_Satz,1))+$G8+IF($I8="Ja",IF(2=UG_Monat,($F8*IF(2&gt;=Steig_Monat,1+Steig_Satz,1))*UG_Satz,0)+IF(2=WG_Monat,($F8*IF(2&gt;=Steig_Monat,1+Steig_Satz,1))*WG_Satz,0),0)),BBG_RVAV)*(Satz_RV+Satz_AV)+(($F8*IF(2&gt;=Steig_Monat,1+Steig_Satz,1))+$G8+IF($I8="Ja",IF(2=UG_Monat,($F8*IF(2&gt;=Steig_Monat,1+Steig_Satz,1))*UG_Satz,0)+IF(2=WG_Monat,($F8*IF(2&gt;=Steig_Monat,1+Steig_Satz,1))*WG_Satz,0),0))*(Satz_U1+Satz_U2+Satz_Insolvenz+Satz_BG)))</f>
        <v>8303.6537499999995</v>
      </c>
      <c r="L8" s="16">
        <f t="shared" ref="L8:L22" si="2">IF(DATE($C$3,3,1)&gt;=DATE(YEAR($E8),MONTH($E8),1),1,0)*(($F8*IF(3&gt;=Steig_Monat,1+Steig_Satz,1))+IF($I8="Ja",IF(3=UG_Monat,($F8*IF(3&gt;=Steig_Monat,1+Steig_Satz,1))*UG_Satz,0)+IF(3=WG_Monat,($F8*IF(3&gt;=Steig_Monat,1+Steig_Satz,1))*WG_Satz,0),0)+$G8+$H8+IF($D8="Minijob",($F8*IF(3&gt;=Steig_Monat,1+Steig_Satz,1))*(MJ_KV+MJ_RV+MJ_ST+Satz_U1+Satz_U2+Satz_Insolvenz+Satz_BG),MIN((($F8*IF(3&gt;=Steig_Monat,1+Steig_Satz,1))+$G8+IF($I8="Ja",IF(3=UG_Monat,($F8*IF(3&gt;=Steig_Monat,1+Steig_Satz,1))*UG_Satz,0)+IF(3=WG_Monat,($F8*IF(3&gt;=Steig_Monat,1+Steig_Satz,1))*WG_Satz,0),0)),BBG_KVPV)*(Satz_KV+Satz_PV)+MIN((($F8*IF(3&gt;=Steig_Monat,1+Steig_Satz,1))+$G8+IF($I8="Ja",IF(3=UG_Monat,($F8*IF(3&gt;=Steig_Monat,1+Steig_Satz,1))*UG_Satz,0)+IF(3=WG_Monat,($F8*IF(3&gt;=Steig_Monat,1+Steig_Satz,1))*WG_Satz,0),0)),BBG_RVAV)*(Satz_RV+Satz_AV)+(($F8*IF(3&gt;=Steig_Monat,1+Steig_Satz,1))+$G8+IF($I8="Ja",IF(3=UG_Monat,($F8*IF(3&gt;=Steig_Monat,1+Steig_Satz,1))*UG_Satz,0)+IF(3=WG_Monat,($F8*IF(3&gt;=Steig_Monat,1+Steig_Satz,1))*WG_Satz,0),0))*(Satz_U1+Satz_U2+Satz_Insolvenz+Satz_BG)))</f>
        <v>8303.6537499999995</v>
      </c>
      <c r="M8" s="16">
        <f t="shared" ref="M8:M22" si="3">IF(DATE($C$3,4,1)&gt;=DATE(YEAR($E8),MONTH($E8),1),1,0)*(($F8*IF(4&gt;=Steig_Monat,1+Steig_Satz,1))+IF($I8="Ja",IF(4=UG_Monat,($F8*IF(4&gt;=Steig_Monat,1+Steig_Satz,1))*UG_Satz,0)+IF(4=WG_Monat,($F8*IF(4&gt;=Steig_Monat,1+Steig_Satz,1))*WG_Satz,0),0)+$G8+$H8+IF($D8="Minijob",($F8*IF(4&gt;=Steig_Monat,1+Steig_Satz,1))*(MJ_KV+MJ_RV+MJ_ST+Satz_U1+Satz_U2+Satz_Insolvenz+Satz_BG),MIN((($F8*IF(4&gt;=Steig_Monat,1+Steig_Satz,1))+$G8+IF($I8="Ja",IF(4=UG_Monat,($F8*IF(4&gt;=Steig_Monat,1+Steig_Satz,1))*UG_Satz,0)+IF(4=WG_Monat,($F8*IF(4&gt;=Steig_Monat,1+Steig_Satz,1))*WG_Satz,0),0)),BBG_KVPV)*(Satz_KV+Satz_PV)+MIN((($F8*IF(4&gt;=Steig_Monat,1+Steig_Satz,1))+$G8+IF($I8="Ja",IF(4=UG_Monat,($F8*IF(4&gt;=Steig_Monat,1+Steig_Satz,1))*UG_Satz,0)+IF(4=WG_Monat,($F8*IF(4&gt;=Steig_Monat,1+Steig_Satz,1))*WG_Satz,0),0)),BBG_RVAV)*(Satz_RV+Satz_AV)+(($F8*IF(4&gt;=Steig_Monat,1+Steig_Satz,1))+$G8+IF($I8="Ja",IF(4=UG_Monat,($F8*IF(4&gt;=Steig_Monat,1+Steig_Satz,1))*UG_Satz,0)+IF(4=WG_Monat,($F8*IF(4&gt;=Steig_Monat,1+Steig_Satz,1))*WG_Satz,0),0))*(Satz_U1+Satz_U2+Satz_Insolvenz+Satz_BG)))</f>
        <v>8303.6537499999995</v>
      </c>
      <c r="N8" s="16">
        <f t="shared" ref="N8:N22" si="4">IF(DATE($C$3,5,1)&gt;=DATE(YEAR($E8),MONTH($E8),1),1,0)*(($F8*IF(5&gt;=Steig_Monat,1+Steig_Satz,1))+IF($I8="Ja",IF(5=UG_Monat,($F8*IF(5&gt;=Steig_Monat,1+Steig_Satz,1))*UG_Satz,0)+IF(5=WG_Monat,($F8*IF(5&gt;=Steig_Monat,1+Steig_Satz,1))*WG_Satz,0),0)+$G8+$H8+IF($D8="Minijob",($F8*IF(5&gt;=Steig_Monat,1+Steig_Satz,1))*(MJ_KV+MJ_RV+MJ_ST+Satz_U1+Satz_U2+Satz_Insolvenz+Satz_BG),MIN((($F8*IF(5&gt;=Steig_Monat,1+Steig_Satz,1))+$G8+IF($I8="Ja",IF(5=UG_Monat,($F8*IF(5&gt;=Steig_Monat,1+Steig_Satz,1))*UG_Satz,0)+IF(5=WG_Monat,($F8*IF(5&gt;=Steig_Monat,1+Steig_Satz,1))*WG_Satz,0),0)),BBG_KVPV)*(Satz_KV+Satz_PV)+MIN((($F8*IF(5&gt;=Steig_Monat,1+Steig_Satz,1))+$G8+IF($I8="Ja",IF(5=UG_Monat,($F8*IF(5&gt;=Steig_Monat,1+Steig_Satz,1))*UG_Satz,0)+IF(5=WG_Monat,($F8*IF(5&gt;=Steig_Monat,1+Steig_Satz,1))*WG_Satz,0),0)),BBG_RVAV)*(Satz_RV+Satz_AV)+(($F8*IF(5&gt;=Steig_Monat,1+Steig_Satz,1))+$G8+IF($I8="Ja",IF(5=UG_Monat,($F8*IF(5&gt;=Steig_Monat,1+Steig_Satz,1))*UG_Satz,0)+IF(5=WG_Monat,($F8*IF(5&gt;=Steig_Monat,1+Steig_Satz,1))*WG_Satz,0),0))*(Satz_U1+Satz_U2+Satz_Insolvenz+Satz_BG)))</f>
        <v>8303.6537499999995</v>
      </c>
      <c r="O8" s="16">
        <f t="shared" ref="O8:O22" si="5">IF(DATE($C$3,6,1)&gt;=DATE(YEAR($E8),MONTH($E8),1),1,0)*(($F8*IF(6&gt;=Steig_Monat,1+Steig_Satz,1))+IF($I8="Ja",IF(6=UG_Monat,($F8*IF(6&gt;=Steig_Monat,1+Steig_Satz,1))*UG_Satz,0)+IF(6=WG_Monat,($F8*IF(6&gt;=Steig_Monat,1+Steig_Satz,1))*WG_Satz,0),0)+$G8+$H8+IF($D8="Minijob",($F8*IF(6&gt;=Steig_Monat,1+Steig_Satz,1))*(MJ_KV+MJ_RV+MJ_ST+Satz_U1+Satz_U2+Satz_Insolvenz+Satz_BG),MIN((($F8*IF(6&gt;=Steig_Monat,1+Steig_Satz,1))+$G8+IF($I8="Ja",IF(6=UG_Monat,($F8*IF(6&gt;=Steig_Monat,1+Steig_Satz,1))*UG_Satz,0)+IF(6=WG_Monat,($F8*IF(6&gt;=Steig_Monat,1+Steig_Satz,1))*WG_Satz,0),0)),BBG_KVPV)*(Satz_KV+Satz_PV)+MIN((($F8*IF(6&gt;=Steig_Monat,1+Steig_Satz,1))+$G8+IF($I8="Ja",IF(6=UG_Monat,($F8*IF(6&gt;=Steig_Monat,1+Steig_Satz,1))*UG_Satz,0)+IF(6=WG_Monat,($F8*IF(6&gt;=Steig_Monat,1+Steig_Satz,1))*WG_Satz,0),0)),BBG_RVAV)*(Satz_RV+Satz_AV)+(($F8*IF(6&gt;=Steig_Monat,1+Steig_Satz,1))+$G8+IF($I8="Ja",IF(6=UG_Monat,($F8*IF(6&gt;=Steig_Monat,1+Steig_Satz,1))*UG_Satz,0)+IF(6=WG_Monat,($F8*IF(6&gt;=Steig_Monat,1+Steig_Satz,1))*WG_Satz,0),0))*(Satz_U1+Satz_U2+Satz_Insolvenz+Satz_BG)))</f>
        <v>11680.94375</v>
      </c>
      <c r="P8" s="16">
        <f t="shared" ref="P8:P22" si="6">IF(DATE($C$3,7,1)&gt;=DATE(YEAR($E8),MONTH($E8),1),1,0)*(($F8*IF(7&gt;=Steig_Monat,1+Steig_Satz,1))+IF($I8="Ja",IF(7=UG_Monat,($F8*IF(7&gt;=Steig_Monat,1+Steig_Satz,1))*UG_Satz,0)+IF(7=WG_Monat,($F8*IF(7&gt;=Steig_Monat,1+Steig_Satz,1))*WG_Satz,0),0)+$G8+$H8+IF($D8="Minijob",($F8*IF(7&gt;=Steig_Monat,1+Steig_Satz,1))*(MJ_KV+MJ_RV+MJ_ST+Satz_U1+Satz_U2+Satz_Insolvenz+Satz_BG),MIN((($F8*IF(7&gt;=Steig_Monat,1+Steig_Satz,1))+$G8+IF($I8="Ja",IF(7=UG_Monat,($F8*IF(7&gt;=Steig_Monat,1+Steig_Satz,1))*UG_Satz,0)+IF(7=WG_Monat,($F8*IF(7&gt;=Steig_Monat,1+Steig_Satz,1))*WG_Satz,0),0)),BBG_KVPV)*(Satz_KV+Satz_PV)+MIN((($F8*IF(7&gt;=Steig_Monat,1+Steig_Satz,1))+$G8+IF($I8="Ja",IF(7=UG_Monat,($F8*IF(7&gt;=Steig_Monat,1+Steig_Satz,1))*UG_Satz,0)+IF(7=WG_Monat,($F8*IF(7&gt;=Steig_Monat,1+Steig_Satz,1))*WG_Satz,0),0)),BBG_RVAV)*(Satz_RV+Satz_AV)+(($F8*IF(7&gt;=Steig_Monat,1+Steig_Satz,1))+$G8+IF($I8="Ja",IF(7=UG_Monat,($F8*IF(7&gt;=Steig_Monat,1+Steig_Satz,1))*UG_Satz,0)+IF(7=WG_Monat,($F8*IF(7&gt;=Steig_Monat,1+Steig_Satz,1))*WG_Satz,0),0))*(Satz_U1+Satz_U2+Satz_Insolvenz+Satz_BG)))</f>
        <v>8514.559150000001</v>
      </c>
      <c r="Q8" s="16">
        <f t="shared" ref="Q8:Q22" si="7">IF(DATE($C$3,8,1)&gt;=DATE(YEAR($E8),MONTH($E8),1),1,0)*(($F8*IF(8&gt;=Steig_Monat,1+Steig_Satz,1))+IF($I8="Ja",IF(8=UG_Monat,($F8*IF(8&gt;=Steig_Monat,1+Steig_Satz,1))*UG_Satz,0)+IF(8=WG_Monat,($F8*IF(8&gt;=Steig_Monat,1+Steig_Satz,1))*WG_Satz,0),0)+$G8+$H8+IF($D8="Minijob",($F8*IF(8&gt;=Steig_Monat,1+Steig_Satz,1))*(MJ_KV+MJ_RV+MJ_ST+Satz_U1+Satz_U2+Satz_Insolvenz+Satz_BG),MIN((($F8*IF(8&gt;=Steig_Monat,1+Steig_Satz,1))+$G8+IF($I8="Ja",IF(8=UG_Monat,($F8*IF(8&gt;=Steig_Monat,1+Steig_Satz,1))*UG_Satz,0)+IF(8=WG_Monat,($F8*IF(8&gt;=Steig_Monat,1+Steig_Satz,1))*WG_Satz,0),0)),BBG_KVPV)*(Satz_KV+Satz_PV)+MIN((($F8*IF(8&gt;=Steig_Monat,1+Steig_Satz,1))+$G8+IF($I8="Ja",IF(8=UG_Monat,($F8*IF(8&gt;=Steig_Monat,1+Steig_Satz,1))*UG_Satz,0)+IF(8=WG_Monat,($F8*IF(8&gt;=Steig_Monat,1+Steig_Satz,1))*WG_Satz,0),0)),BBG_RVAV)*(Satz_RV+Satz_AV)+(($F8*IF(8&gt;=Steig_Monat,1+Steig_Satz,1))+$G8+IF($I8="Ja",IF(8=UG_Monat,($F8*IF(8&gt;=Steig_Monat,1+Steig_Satz,1))*UG_Satz,0)+IF(8=WG_Monat,($F8*IF(8&gt;=Steig_Monat,1+Steig_Satz,1))*WG_Satz,0),0))*(Satz_U1+Satz_U2+Satz_Insolvenz+Satz_BG)))</f>
        <v>8514.559150000001</v>
      </c>
      <c r="R8" s="16">
        <f t="shared" ref="R8:R22" si="8">IF(DATE($C$3,9,1)&gt;=DATE(YEAR($E8),MONTH($E8),1),1,0)*(($F8*IF(9&gt;=Steig_Monat,1+Steig_Satz,1))+IF($I8="Ja",IF(9=UG_Monat,($F8*IF(9&gt;=Steig_Monat,1+Steig_Satz,1))*UG_Satz,0)+IF(9=WG_Monat,($F8*IF(9&gt;=Steig_Monat,1+Steig_Satz,1))*WG_Satz,0),0)+$G8+$H8+IF($D8="Minijob",($F8*IF(9&gt;=Steig_Monat,1+Steig_Satz,1))*(MJ_KV+MJ_RV+MJ_ST+Satz_U1+Satz_U2+Satz_Insolvenz+Satz_BG),MIN((($F8*IF(9&gt;=Steig_Monat,1+Steig_Satz,1))+$G8+IF($I8="Ja",IF(9=UG_Monat,($F8*IF(9&gt;=Steig_Monat,1+Steig_Satz,1))*UG_Satz,0)+IF(9=WG_Monat,($F8*IF(9&gt;=Steig_Monat,1+Steig_Satz,1))*WG_Satz,0),0)),BBG_KVPV)*(Satz_KV+Satz_PV)+MIN((($F8*IF(9&gt;=Steig_Monat,1+Steig_Satz,1))+$G8+IF($I8="Ja",IF(9=UG_Monat,($F8*IF(9&gt;=Steig_Monat,1+Steig_Satz,1))*UG_Satz,0)+IF(9=WG_Monat,($F8*IF(9&gt;=Steig_Monat,1+Steig_Satz,1))*WG_Satz,0),0)),BBG_RVAV)*(Satz_RV+Satz_AV)+(($F8*IF(9&gt;=Steig_Monat,1+Steig_Satz,1))+$G8+IF($I8="Ja",IF(9=UG_Monat,($F8*IF(9&gt;=Steig_Monat,1+Steig_Satz,1))*UG_Satz,0)+IF(9=WG_Monat,($F8*IF(9&gt;=Steig_Monat,1+Steig_Satz,1))*WG_Satz,0),0))*(Satz_U1+Satz_U2+Satz_Insolvenz+Satz_BG)))</f>
        <v>8514.559150000001</v>
      </c>
      <c r="S8" s="16">
        <f t="shared" ref="S8:S22" si="9">IF(DATE($C$3,10,1)&gt;=DATE(YEAR($E8),MONTH($E8),1),1,0)*(($F8*IF(10&gt;=Steig_Monat,1+Steig_Satz,1))+IF($I8="Ja",IF(10=UG_Monat,($F8*IF(10&gt;=Steig_Monat,1+Steig_Satz,1))*UG_Satz,0)+IF(10=WG_Monat,($F8*IF(10&gt;=Steig_Monat,1+Steig_Satz,1))*WG_Satz,0),0)+$G8+$H8+IF($D8="Minijob",($F8*IF(10&gt;=Steig_Monat,1+Steig_Satz,1))*(MJ_KV+MJ_RV+MJ_ST+Satz_U1+Satz_U2+Satz_Insolvenz+Satz_BG),MIN((($F8*IF(10&gt;=Steig_Monat,1+Steig_Satz,1))+$G8+IF($I8="Ja",IF(10=UG_Monat,($F8*IF(10&gt;=Steig_Monat,1+Steig_Satz,1))*UG_Satz,0)+IF(10=WG_Monat,($F8*IF(10&gt;=Steig_Monat,1+Steig_Satz,1))*WG_Satz,0),0)),BBG_KVPV)*(Satz_KV+Satz_PV)+MIN((($F8*IF(10&gt;=Steig_Monat,1+Steig_Satz,1))+$G8+IF($I8="Ja",IF(10=UG_Monat,($F8*IF(10&gt;=Steig_Monat,1+Steig_Satz,1))*UG_Satz,0)+IF(10=WG_Monat,($F8*IF(10&gt;=Steig_Monat,1+Steig_Satz,1))*WG_Satz,0),0)),BBG_RVAV)*(Satz_RV+Satz_AV)+(($F8*IF(10&gt;=Steig_Monat,1+Steig_Satz,1))+$G8+IF($I8="Ja",IF(10=UG_Monat,($F8*IF(10&gt;=Steig_Monat,1+Steig_Satz,1))*UG_Satz,0)+IF(10=WG_Monat,($F8*IF(10&gt;=Steig_Monat,1+Steig_Satz,1))*WG_Satz,0),0))*(Satz_U1+Satz_U2+Satz_Insolvenz+Satz_BG)))</f>
        <v>8514.559150000001</v>
      </c>
      <c r="T8" s="16">
        <f t="shared" ref="T8:T22" si="10">IF(DATE($C$3,11,1)&gt;=DATE(YEAR($E8),MONTH($E8),1),1,0)*(($F8*IF(11&gt;=Steig_Monat,1+Steig_Satz,1))+IF($I8="Ja",IF(11=UG_Monat,($F8*IF(11&gt;=Steig_Monat,1+Steig_Satz,1))*UG_Satz,0)+IF(11=WG_Monat,($F8*IF(11&gt;=Steig_Monat,1+Steig_Satz,1))*WG_Satz,0),0)+$G8+$H8+IF($D8="Minijob",($F8*IF(11&gt;=Steig_Monat,1+Steig_Satz,1))*(MJ_KV+MJ_RV+MJ_ST+Satz_U1+Satz_U2+Satz_Insolvenz+Satz_BG),MIN((($F8*IF(11&gt;=Steig_Monat,1+Steig_Satz,1))+$G8+IF($I8="Ja",IF(11=UG_Monat,($F8*IF(11&gt;=Steig_Monat,1+Steig_Satz,1))*UG_Satz,0)+IF(11=WG_Monat,($F8*IF(11&gt;=Steig_Monat,1+Steig_Satz,1))*WG_Satz,0),0)),BBG_KVPV)*(Satz_KV+Satz_PV)+MIN((($F8*IF(11&gt;=Steig_Monat,1+Steig_Satz,1))+$G8+IF($I8="Ja",IF(11=UG_Monat,($F8*IF(11&gt;=Steig_Monat,1+Steig_Satz,1))*UG_Satz,0)+IF(11=WG_Monat,($F8*IF(11&gt;=Steig_Monat,1+Steig_Satz,1))*WG_Satz,0),0)),BBG_RVAV)*(Satz_RV+Satz_AV)+(($F8*IF(11&gt;=Steig_Monat,1+Steig_Satz,1))+$G8+IF($I8="Ja",IF(11=UG_Monat,($F8*IF(11&gt;=Steig_Monat,1+Steig_Satz,1))*UG_Satz,0)+IF(11=WG_Monat,($F8*IF(11&gt;=Steig_Monat,1+Steig_Satz,1))*WG_Satz,0),0))*(Satz_U1+Satz_U2+Satz_Insolvenz+Satz_BG)))</f>
        <v>15249.812549999999</v>
      </c>
      <c r="U8" s="16">
        <f t="shared" ref="U8:U22" si="11">IF(DATE($C$3,12,1)&gt;=DATE(YEAR($E8),MONTH($E8),1),1,0)*(($F8*IF(12&gt;=Steig_Monat,1+Steig_Satz,1))+IF($I8="Ja",IF(12=UG_Monat,($F8*IF(12&gt;=Steig_Monat,1+Steig_Satz,1))*UG_Satz,0)+IF(12=WG_Monat,($F8*IF(12&gt;=Steig_Monat,1+Steig_Satz,1))*WG_Satz,0),0)+$G8+$H8+IF($D8="Minijob",($F8*IF(12&gt;=Steig_Monat,1+Steig_Satz,1))*(MJ_KV+MJ_RV+MJ_ST+Satz_U1+Satz_U2+Satz_Insolvenz+Satz_BG),MIN((($F8*IF(12&gt;=Steig_Monat,1+Steig_Satz,1))+$G8+IF($I8="Ja",IF(12=UG_Monat,($F8*IF(12&gt;=Steig_Monat,1+Steig_Satz,1))*UG_Satz,0)+IF(12=WG_Monat,($F8*IF(12&gt;=Steig_Monat,1+Steig_Satz,1))*WG_Satz,0),0)),BBG_KVPV)*(Satz_KV+Satz_PV)+MIN((($F8*IF(12&gt;=Steig_Monat,1+Steig_Satz,1))+$G8+IF($I8="Ja",IF(12=UG_Monat,($F8*IF(12&gt;=Steig_Monat,1+Steig_Satz,1))*UG_Satz,0)+IF(12=WG_Monat,($F8*IF(12&gt;=Steig_Monat,1+Steig_Satz,1))*WG_Satz,0),0)),BBG_RVAV)*(Satz_RV+Satz_AV)+(($F8*IF(12&gt;=Steig_Monat,1+Steig_Satz,1))+$G8+IF($I8="Ja",IF(12=UG_Monat,($F8*IF(12&gt;=Steig_Monat,1+Steig_Satz,1))*UG_Satz,0)+IF(12=WG_Monat,($F8*IF(12&gt;=Steig_Monat,1+Steig_Satz,1))*WG_Satz,0),0))*(Satz_U1+Satz_U2+Satz_Insolvenz+Satz_BG)))</f>
        <v>8514.559150000001</v>
      </c>
      <c r="V8" s="37">
        <f t="shared" ref="V8:V22" si="12">SUM(J8:U8)</f>
        <v>111021.8208</v>
      </c>
      <c r="W8" s="37">
        <f t="shared" ref="W8:W22" si="13">IFERROR(V8/COUNTIF(J8:U8,"&gt;0"),0)</f>
        <v>9251.8184000000001</v>
      </c>
      <c r="X8" s="38">
        <f t="shared" ref="X8:X22" si="14">IFERROR((V8-AK8)/AK8,0)</f>
        <v>0.22809031658591625</v>
      </c>
      <c r="Y8" s="39">
        <f t="shared" ref="Y8:Y22" si="15">IF(DATE($C$3,1,1)&gt;=DATE(YEAR($E8),MONTH($E8),1),1,0)*(($F8*IF(1&gt;=Steig_Monat,1+Steig_Satz,1))+IF($I8="Ja",IF(1=UG_Monat,($F8*IF(1&gt;=Steig_Monat,1+Steig_Satz,1))*UG_Satz,0)+IF(1=WG_Monat,($F8*IF(1&gt;=Steig_Monat,1+Steig_Satz,1))*WG_Satz,0),0)+$G8)</f>
        <v>6650</v>
      </c>
      <c r="Z8" s="39">
        <f t="shared" ref="Z8:Z22" si="16">IF(DATE($C$3,2,1)&gt;=DATE(YEAR($E8),MONTH($E8),1),1,0)*(($F8*IF(2&gt;=Steig_Monat,1+Steig_Satz,1))+IF($I8="Ja",IF(2=UG_Monat,($F8*IF(2&gt;=Steig_Monat,1+Steig_Satz,1))*UG_Satz,0)+IF(2=WG_Monat,($F8*IF(2&gt;=Steig_Monat,1+Steig_Satz,1))*WG_Satz,0),0)+$G8)</f>
        <v>6650</v>
      </c>
      <c r="AA8" s="39">
        <f t="shared" ref="AA8:AA22" si="17">IF(DATE($C$3,3,1)&gt;=DATE(YEAR($E8),MONTH($E8),1),1,0)*(($F8*IF(3&gt;=Steig_Monat,1+Steig_Satz,1))+IF($I8="Ja",IF(3=UG_Monat,($F8*IF(3&gt;=Steig_Monat,1+Steig_Satz,1))*UG_Satz,0)+IF(3=WG_Monat,($F8*IF(3&gt;=Steig_Monat,1+Steig_Satz,1))*WG_Satz,0),0)+$G8)</f>
        <v>6650</v>
      </c>
      <c r="AB8" s="39">
        <f t="shared" ref="AB8:AB22" si="18">IF(DATE($C$3,4,1)&gt;=DATE(YEAR($E8),MONTH($E8),1),1,0)*(($F8*IF(4&gt;=Steig_Monat,1+Steig_Satz,1))+IF($I8="Ja",IF(4=UG_Monat,($F8*IF(4&gt;=Steig_Monat,1+Steig_Satz,1))*UG_Satz,0)+IF(4=WG_Monat,($F8*IF(4&gt;=Steig_Monat,1+Steig_Satz,1))*WG_Satz,0),0)+$G8)</f>
        <v>6650</v>
      </c>
      <c r="AC8" s="39">
        <f t="shared" ref="AC8:AC22" si="19">IF(DATE($C$3,5,1)&gt;=DATE(YEAR($E8),MONTH($E8),1),1,0)*(($F8*IF(5&gt;=Steig_Monat,1+Steig_Satz,1))+IF($I8="Ja",IF(5=UG_Monat,($F8*IF(5&gt;=Steig_Monat,1+Steig_Satz,1))*UG_Satz,0)+IF(5=WG_Monat,($F8*IF(5&gt;=Steig_Monat,1+Steig_Satz,1))*WG_Satz,0),0)+$G8)</f>
        <v>6650</v>
      </c>
      <c r="AD8" s="39">
        <f t="shared" ref="AD8:AD22" si="20">IF(DATE($C$3,6,1)&gt;=DATE(YEAR($E8),MONTH($E8),1),1,0)*(($F8*IF(6&gt;=Steig_Monat,1+Steig_Satz,1))+IF($I8="Ja",IF(6=UG_Monat,($F8*IF(6&gt;=Steig_Monat,1+Steig_Satz,1))*UG_Satz,0)+IF(6=WG_Monat,($F8*IF(6&gt;=Steig_Monat,1+Steig_Satz,1))*WG_Satz,0),0)+$G8)</f>
        <v>9750</v>
      </c>
      <c r="AE8" s="39">
        <f t="shared" ref="AE8:AE22" si="21">IF(DATE($C$3,7,1)&gt;=DATE(YEAR($E8),MONTH($E8),1),1,0)*(($F8*IF(7&gt;=Steig_Monat,1+Steig_Satz,1))+IF($I8="Ja",IF(7=UG_Monat,($F8*IF(7&gt;=Steig_Monat,1+Steig_Satz,1))*UG_Satz,0)+IF(7=WG_Monat,($F8*IF(7&gt;=Steig_Monat,1+Steig_Satz,1))*WG_Satz,0),0)+$G8)</f>
        <v>6836</v>
      </c>
      <c r="AF8" s="39">
        <f t="shared" ref="AF8:AF22" si="22">IF(DATE($C$3,8,1)&gt;=DATE(YEAR($E8),MONTH($E8),1),1,0)*(($F8*IF(8&gt;=Steig_Monat,1+Steig_Satz,1))+IF($I8="Ja",IF(8=UG_Monat,($F8*IF(8&gt;=Steig_Monat,1+Steig_Satz,1))*UG_Satz,0)+IF(8=WG_Monat,($F8*IF(8&gt;=Steig_Monat,1+Steig_Satz,1))*WG_Satz,0),0)+$G8)</f>
        <v>6836</v>
      </c>
      <c r="AG8" s="39">
        <f t="shared" ref="AG8:AG22" si="23">IF(DATE($C$3,9,1)&gt;=DATE(YEAR($E8),MONTH($E8),1),1,0)*(($F8*IF(9&gt;=Steig_Monat,1+Steig_Satz,1))+IF($I8="Ja",IF(9=UG_Monat,($F8*IF(9&gt;=Steig_Monat,1+Steig_Satz,1))*UG_Satz,0)+IF(9=WG_Monat,($F8*IF(9&gt;=Steig_Monat,1+Steig_Satz,1))*WG_Satz,0),0)+$G8)</f>
        <v>6836</v>
      </c>
      <c r="AH8" s="39">
        <f t="shared" ref="AH8:AH22" si="24">IF(DATE($C$3,10,1)&gt;=DATE(YEAR($E8),MONTH($E8),1),1,0)*(($F8*IF(10&gt;=Steig_Monat,1+Steig_Satz,1))+IF($I8="Ja",IF(10=UG_Monat,($F8*IF(10&gt;=Steig_Monat,1+Steig_Satz,1))*UG_Satz,0)+IF(10=WG_Monat,($F8*IF(10&gt;=Steig_Monat,1+Steig_Satz,1))*WG_Satz,0),0)+$G8)</f>
        <v>6836</v>
      </c>
      <c r="AI8" s="39">
        <f t="shared" ref="AI8:AI22" si="25">IF(DATE($C$3,11,1)&gt;=DATE(YEAR($E8),MONTH($E8),1),1,0)*(($F8*IF(11&gt;=Steig_Monat,1+Steig_Satz,1))+IF($I8="Ja",IF(11=UG_Monat,($F8*IF(11&gt;=Steig_Monat,1+Steig_Satz,1))*UG_Satz,0)+IF(11=WG_Monat,($F8*IF(11&gt;=Steig_Monat,1+Steig_Satz,1))*WG_Satz,0),0)+$G8)</f>
        <v>13222</v>
      </c>
      <c r="AJ8" s="39">
        <f t="shared" ref="AJ8:AJ22" si="26">IF(DATE($C$3,12,1)&gt;=DATE(YEAR($E8),MONTH($E8),1),1,0)*(($F8*IF(12&gt;=Steig_Monat,1+Steig_Satz,1))+IF($I8="Ja",IF(12=UG_Monat,($F8*IF(12&gt;=Steig_Monat,1+Steig_Satz,1))*UG_Satz,0)+IF(12=WG_Monat,($F8*IF(12&gt;=Steig_Monat,1+Steig_Satz,1))*WG_Satz,0),0)+$G8)</f>
        <v>6836</v>
      </c>
      <c r="AK8" s="39">
        <f t="shared" ref="AK8:AK22" si="27">SUM(Y8:AJ8)</f>
        <v>90402</v>
      </c>
    </row>
    <row r="9" spans="1:37" ht="15" customHeight="1" x14ac:dyDescent="0.25">
      <c r="A9" s="21" t="str">
        <f>Mitarbeiterstamm!A6</f>
        <v>P-202</v>
      </c>
      <c r="B9" s="40" t="str">
        <f>Mitarbeiterstamm!B6</f>
        <v>Markus Feldmann</v>
      </c>
      <c r="C9" s="21" t="str">
        <f>Mitarbeiterstamm!C6</f>
        <v>Vertrieb</v>
      </c>
      <c r="D9" s="21" t="str">
        <f>Mitarbeiterstamm!E6</f>
        <v>Vollzeit</v>
      </c>
      <c r="E9" s="41">
        <f>Mitarbeiterstamm!F6</f>
        <v>43997</v>
      </c>
      <c r="F9" s="19">
        <f>Mitarbeiterstamm!G6</f>
        <v>4200</v>
      </c>
      <c r="G9" s="19">
        <f>Mitarbeiterstamm!H6</f>
        <v>0</v>
      </c>
      <c r="H9" s="19">
        <f>Mitarbeiterstamm!I6</f>
        <v>100</v>
      </c>
      <c r="I9" s="21" t="str">
        <f>Mitarbeiterstamm!J6</f>
        <v>Ja</v>
      </c>
      <c r="J9" s="19">
        <f t="shared" si="0"/>
        <v>5305.48</v>
      </c>
      <c r="K9" s="19">
        <f t="shared" si="1"/>
        <v>5305.48</v>
      </c>
      <c r="L9" s="19">
        <f t="shared" si="2"/>
        <v>5305.48</v>
      </c>
      <c r="M9" s="19">
        <f t="shared" si="3"/>
        <v>5305.48</v>
      </c>
      <c r="N9" s="19">
        <f t="shared" si="4"/>
        <v>5305.48</v>
      </c>
      <c r="O9" s="19">
        <f t="shared" si="5"/>
        <v>7856.7887499999997</v>
      </c>
      <c r="P9" s="19">
        <f t="shared" si="6"/>
        <v>5461.6444000000001</v>
      </c>
      <c r="Q9" s="19">
        <f t="shared" si="7"/>
        <v>5461.6444000000001</v>
      </c>
      <c r="R9" s="19">
        <f t="shared" si="8"/>
        <v>5461.6444000000001</v>
      </c>
      <c r="S9" s="19">
        <f t="shared" si="9"/>
        <v>5461.6444000000001</v>
      </c>
      <c r="T9" s="19">
        <f t="shared" si="10"/>
        <v>10502.30955</v>
      </c>
      <c r="U9" s="19">
        <f t="shared" si="11"/>
        <v>5461.6444000000001</v>
      </c>
      <c r="V9" s="42">
        <f t="shared" si="12"/>
        <v>72194.720300000001</v>
      </c>
      <c r="W9" s="42">
        <f t="shared" si="13"/>
        <v>6016.2266916666667</v>
      </c>
      <c r="X9" s="43">
        <f t="shared" si="14"/>
        <v>0.25377236462783509</v>
      </c>
      <c r="Y9" s="39">
        <f t="shared" si="15"/>
        <v>4200</v>
      </c>
      <c r="Z9" s="39">
        <f t="shared" si="16"/>
        <v>4200</v>
      </c>
      <c r="AA9" s="39">
        <f t="shared" si="17"/>
        <v>4200</v>
      </c>
      <c r="AB9" s="39">
        <f t="shared" si="18"/>
        <v>4200</v>
      </c>
      <c r="AC9" s="39">
        <f t="shared" si="19"/>
        <v>4200</v>
      </c>
      <c r="AD9" s="39">
        <f t="shared" si="20"/>
        <v>6300</v>
      </c>
      <c r="AE9" s="39">
        <f t="shared" si="21"/>
        <v>4326</v>
      </c>
      <c r="AF9" s="39">
        <f t="shared" si="22"/>
        <v>4326</v>
      </c>
      <c r="AG9" s="39">
        <f t="shared" si="23"/>
        <v>4326</v>
      </c>
      <c r="AH9" s="39">
        <f t="shared" si="24"/>
        <v>4326</v>
      </c>
      <c r="AI9" s="39">
        <f t="shared" si="25"/>
        <v>8652</v>
      </c>
      <c r="AJ9" s="39">
        <f t="shared" si="26"/>
        <v>4326</v>
      </c>
      <c r="AK9" s="39">
        <f t="shared" si="27"/>
        <v>57582</v>
      </c>
    </row>
    <row r="10" spans="1:37" ht="15" customHeight="1" x14ac:dyDescent="0.25">
      <c r="A10" s="18" t="str">
        <f>Mitarbeiterstamm!A7</f>
        <v>P-203</v>
      </c>
      <c r="B10" s="35" t="str">
        <f>Mitarbeiterstamm!B7</f>
        <v>Laura Vogt</v>
      </c>
      <c r="C10" s="18" t="str">
        <f>Mitarbeiterstamm!C7</f>
        <v>Vertrieb</v>
      </c>
      <c r="D10" s="18" t="str">
        <f>Mitarbeiterstamm!E7</f>
        <v>Teilzeit</v>
      </c>
      <c r="E10" s="36">
        <f>Mitarbeiterstamm!F7</f>
        <v>44805</v>
      </c>
      <c r="F10" s="16">
        <f>Mitarbeiterstamm!G7</f>
        <v>2400</v>
      </c>
      <c r="G10" s="16">
        <f>Mitarbeiterstamm!H7</f>
        <v>0</v>
      </c>
      <c r="H10" s="16">
        <f>Mitarbeiterstamm!I7</f>
        <v>0</v>
      </c>
      <c r="I10" s="18" t="str">
        <f>Mitarbeiterstamm!J7</f>
        <v>Ja</v>
      </c>
      <c r="J10" s="16">
        <f t="shared" si="0"/>
        <v>2974.56</v>
      </c>
      <c r="K10" s="16">
        <f t="shared" si="1"/>
        <v>2974.56</v>
      </c>
      <c r="L10" s="16">
        <f t="shared" si="2"/>
        <v>2974.56</v>
      </c>
      <c r="M10" s="16">
        <f t="shared" si="3"/>
        <v>2974.56</v>
      </c>
      <c r="N10" s="16">
        <f t="shared" si="4"/>
        <v>2974.56</v>
      </c>
      <c r="O10" s="16">
        <f t="shared" si="5"/>
        <v>4461.84</v>
      </c>
      <c r="P10" s="16">
        <f t="shared" si="6"/>
        <v>3063.7968000000001</v>
      </c>
      <c r="Q10" s="16">
        <f t="shared" si="7"/>
        <v>3063.7968000000001</v>
      </c>
      <c r="R10" s="16">
        <f t="shared" si="8"/>
        <v>3063.7968000000001</v>
      </c>
      <c r="S10" s="16">
        <f t="shared" si="9"/>
        <v>3063.7968000000001</v>
      </c>
      <c r="T10" s="16">
        <f t="shared" si="10"/>
        <v>6127.5936000000002</v>
      </c>
      <c r="U10" s="16">
        <f t="shared" si="11"/>
        <v>3063.7968000000001</v>
      </c>
      <c r="V10" s="37">
        <f t="shared" si="12"/>
        <v>40781.217600000004</v>
      </c>
      <c r="W10" s="37">
        <f t="shared" si="13"/>
        <v>3398.4348000000005</v>
      </c>
      <c r="X10" s="38">
        <f t="shared" si="14"/>
        <v>0.23940000000000011</v>
      </c>
      <c r="Y10" s="39">
        <f t="shared" si="15"/>
        <v>2400</v>
      </c>
      <c r="Z10" s="39">
        <f t="shared" si="16"/>
        <v>2400</v>
      </c>
      <c r="AA10" s="39">
        <f t="shared" si="17"/>
        <v>2400</v>
      </c>
      <c r="AB10" s="39">
        <f t="shared" si="18"/>
        <v>2400</v>
      </c>
      <c r="AC10" s="39">
        <f t="shared" si="19"/>
        <v>2400</v>
      </c>
      <c r="AD10" s="39">
        <f t="shared" si="20"/>
        <v>3600</v>
      </c>
      <c r="AE10" s="39">
        <f t="shared" si="21"/>
        <v>2472</v>
      </c>
      <c r="AF10" s="39">
        <f t="shared" si="22"/>
        <v>2472</v>
      </c>
      <c r="AG10" s="39">
        <f t="shared" si="23"/>
        <v>2472</v>
      </c>
      <c r="AH10" s="39">
        <f t="shared" si="24"/>
        <v>2472</v>
      </c>
      <c r="AI10" s="39">
        <f t="shared" si="25"/>
        <v>4944</v>
      </c>
      <c r="AJ10" s="39">
        <f t="shared" si="26"/>
        <v>2472</v>
      </c>
      <c r="AK10" s="39">
        <f t="shared" si="27"/>
        <v>32904</v>
      </c>
    </row>
    <row r="11" spans="1:37" ht="15" customHeight="1" x14ac:dyDescent="0.25">
      <c r="A11" s="21" t="str">
        <f>Mitarbeiterstamm!A8</f>
        <v>P-204</v>
      </c>
      <c r="B11" s="40" t="str">
        <f>Mitarbeiterstamm!B8</f>
        <v>Thomas Reinhardt</v>
      </c>
      <c r="C11" s="21" t="str">
        <f>Mitarbeiterstamm!C8</f>
        <v>Produktion</v>
      </c>
      <c r="D11" s="21" t="str">
        <f>Mitarbeiterstamm!E8</f>
        <v>Vollzeit</v>
      </c>
      <c r="E11" s="41">
        <f>Mitarbeiterstamm!F8</f>
        <v>41671</v>
      </c>
      <c r="F11" s="19">
        <f>Mitarbeiterstamm!G8</f>
        <v>5800</v>
      </c>
      <c r="G11" s="19">
        <f>Mitarbeiterstamm!H8</f>
        <v>0</v>
      </c>
      <c r="H11" s="19">
        <f>Mitarbeiterstamm!I8</f>
        <v>150</v>
      </c>
      <c r="I11" s="21" t="str">
        <f>Mitarbeiterstamm!J8</f>
        <v>Ja</v>
      </c>
      <c r="J11" s="19">
        <f t="shared" si="0"/>
        <v>7338.5199999999995</v>
      </c>
      <c r="K11" s="19">
        <f t="shared" si="1"/>
        <v>7338.5199999999995</v>
      </c>
      <c r="L11" s="19">
        <f t="shared" si="2"/>
        <v>7338.5199999999995</v>
      </c>
      <c r="M11" s="19">
        <f t="shared" si="3"/>
        <v>7338.5199999999995</v>
      </c>
      <c r="N11" s="19">
        <f t="shared" si="4"/>
        <v>7338.5199999999995</v>
      </c>
      <c r="O11" s="19">
        <f t="shared" si="5"/>
        <v>10601.64875</v>
      </c>
      <c r="P11" s="19">
        <f t="shared" si="6"/>
        <v>7537.13735</v>
      </c>
      <c r="Q11" s="19">
        <f t="shared" si="7"/>
        <v>7537.13735</v>
      </c>
      <c r="R11" s="19">
        <f t="shared" si="8"/>
        <v>7537.13735</v>
      </c>
      <c r="S11" s="19">
        <f t="shared" si="9"/>
        <v>7537.13735</v>
      </c>
      <c r="T11" s="19">
        <f t="shared" si="10"/>
        <v>13940.267949999999</v>
      </c>
      <c r="U11" s="19">
        <f t="shared" si="11"/>
        <v>7537.13735</v>
      </c>
      <c r="V11" s="42">
        <f t="shared" si="12"/>
        <v>98920.203450000001</v>
      </c>
      <c r="W11" s="42">
        <f t="shared" si="13"/>
        <v>8243.3502874999995</v>
      </c>
      <c r="X11" s="43">
        <f t="shared" si="14"/>
        <v>0.24399762883875351</v>
      </c>
      <c r="Y11" s="39">
        <f t="shared" si="15"/>
        <v>5800</v>
      </c>
      <c r="Z11" s="39">
        <f t="shared" si="16"/>
        <v>5800</v>
      </c>
      <c r="AA11" s="39">
        <f t="shared" si="17"/>
        <v>5800</v>
      </c>
      <c r="AB11" s="39">
        <f t="shared" si="18"/>
        <v>5800</v>
      </c>
      <c r="AC11" s="39">
        <f t="shared" si="19"/>
        <v>5800</v>
      </c>
      <c r="AD11" s="39">
        <f t="shared" si="20"/>
        <v>8700</v>
      </c>
      <c r="AE11" s="39">
        <f t="shared" si="21"/>
        <v>5974</v>
      </c>
      <c r="AF11" s="39">
        <f t="shared" si="22"/>
        <v>5974</v>
      </c>
      <c r="AG11" s="39">
        <f t="shared" si="23"/>
        <v>5974</v>
      </c>
      <c r="AH11" s="39">
        <f t="shared" si="24"/>
        <v>5974</v>
      </c>
      <c r="AI11" s="39">
        <f t="shared" si="25"/>
        <v>11948</v>
      </c>
      <c r="AJ11" s="39">
        <f t="shared" si="26"/>
        <v>5974</v>
      </c>
      <c r="AK11" s="39">
        <f t="shared" si="27"/>
        <v>79518</v>
      </c>
    </row>
    <row r="12" spans="1:37" ht="15" customHeight="1" x14ac:dyDescent="0.25">
      <c r="A12" s="18" t="str">
        <f>Mitarbeiterstamm!A9</f>
        <v>P-205</v>
      </c>
      <c r="B12" s="35" t="str">
        <f>Mitarbeiterstamm!B9</f>
        <v>Stefan Holzer</v>
      </c>
      <c r="C12" s="18" t="str">
        <f>Mitarbeiterstamm!C9</f>
        <v>Produktion</v>
      </c>
      <c r="D12" s="18" t="str">
        <f>Mitarbeiterstamm!E9</f>
        <v>Vollzeit</v>
      </c>
      <c r="E12" s="36">
        <f>Mitarbeiterstamm!F9</f>
        <v>43221</v>
      </c>
      <c r="F12" s="16">
        <f>Mitarbeiterstamm!G9</f>
        <v>3400</v>
      </c>
      <c r="G12" s="16">
        <f>Mitarbeiterstamm!H9</f>
        <v>0</v>
      </c>
      <c r="H12" s="16">
        <f>Mitarbeiterstamm!I9</f>
        <v>60</v>
      </c>
      <c r="I12" s="18" t="str">
        <f>Mitarbeiterstamm!J9</f>
        <v>Ja</v>
      </c>
      <c r="J12" s="16">
        <f t="shared" si="0"/>
        <v>4273.96</v>
      </c>
      <c r="K12" s="16">
        <f t="shared" si="1"/>
        <v>4273.96</v>
      </c>
      <c r="L12" s="16">
        <f t="shared" si="2"/>
        <v>4273.96</v>
      </c>
      <c r="M12" s="16">
        <f t="shared" si="3"/>
        <v>4273.96</v>
      </c>
      <c r="N12" s="16">
        <f t="shared" si="4"/>
        <v>4273.96</v>
      </c>
      <c r="O12" s="16">
        <f t="shared" si="5"/>
        <v>6380.9400000000005</v>
      </c>
      <c r="P12" s="16">
        <f t="shared" si="6"/>
        <v>4400.3788000000004</v>
      </c>
      <c r="Q12" s="16">
        <f t="shared" si="7"/>
        <v>4400.3788000000004</v>
      </c>
      <c r="R12" s="16">
        <f t="shared" si="8"/>
        <v>4400.3788000000004</v>
      </c>
      <c r="S12" s="16">
        <f t="shared" si="9"/>
        <v>4400.3788000000004</v>
      </c>
      <c r="T12" s="16">
        <f t="shared" si="10"/>
        <v>8615.0543500000003</v>
      </c>
      <c r="U12" s="16">
        <f t="shared" si="11"/>
        <v>4400.3788000000004</v>
      </c>
      <c r="V12" s="37">
        <f t="shared" si="12"/>
        <v>58367.688349999989</v>
      </c>
      <c r="W12" s="37">
        <f t="shared" si="13"/>
        <v>4863.9740291666658</v>
      </c>
      <c r="X12" s="38">
        <f t="shared" si="14"/>
        <v>0.25214931887415776</v>
      </c>
      <c r="Y12" s="39">
        <f t="shared" si="15"/>
        <v>3400</v>
      </c>
      <c r="Z12" s="39">
        <f t="shared" si="16"/>
        <v>3400</v>
      </c>
      <c r="AA12" s="39">
        <f t="shared" si="17"/>
        <v>3400</v>
      </c>
      <c r="AB12" s="39">
        <f t="shared" si="18"/>
        <v>3400</v>
      </c>
      <c r="AC12" s="39">
        <f t="shared" si="19"/>
        <v>3400</v>
      </c>
      <c r="AD12" s="39">
        <f t="shared" si="20"/>
        <v>5100</v>
      </c>
      <c r="AE12" s="39">
        <f t="shared" si="21"/>
        <v>3502</v>
      </c>
      <c r="AF12" s="39">
        <f t="shared" si="22"/>
        <v>3502</v>
      </c>
      <c r="AG12" s="39">
        <f t="shared" si="23"/>
        <v>3502</v>
      </c>
      <c r="AH12" s="39">
        <f t="shared" si="24"/>
        <v>3502</v>
      </c>
      <c r="AI12" s="39">
        <f t="shared" si="25"/>
        <v>7004</v>
      </c>
      <c r="AJ12" s="39">
        <f t="shared" si="26"/>
        <v>3502</v>
      </c>
      <c r="AK12" s="39">
        <f t="shared" si="27"/>
        <v>46614</v>
      </c>
    </row>
    <row r="13" spans="1:37" ht="15" customHeight="1" x14ac:dyDescent="0.25">
      <c r="A13" s="21" t="str">
        <f>Mitarbeiterstamm!A10</f>
        <v>P-206</v>
      </c>
      <c r="B13" s="40" t="str">
        <f>Mitarbeiterstamm!B10</f>
        <v>Michael Brandt</v>
      </c>
      <c r="C13" s="21" t="str">
        <f>Mitarbeiterstamm!C10</f>
        <v>Produktion</v>
      </c>
      <c r="D13" s="21" t="str">
        <f>Mitarbeiterstamm!E10</f>
        <v>Vollzeit</v>
      </c>
      <c r="E13" s="41">
        <f>Mitarbeiterstamm!F10</f>
        <v>44287</v>
      </c>
      <c r="F13" s="19">
        <f>Mitarbeiterstamm!G10</f>
        <v>3300</v>
      </c>
      <c r="G13" s="19">
        <f>Mitarbeiterstamm!H10</f>
        <v>0</v>
      </c>
      <c r="H13" s="19">
        <f>Mitarbeiterstamm!I10</f>
        <v>60</v>
      </c>
      <c r="I13" s="21" t="str">
        <f>Mitarbeiterstamm!J10</f>
        <v>Ja</v>
      </c>
      <c r="J13" s="19">
        <f t="shared" si="0"/>
        <v>4150.0200000000004</v>
      </c>
      <c r="K13" s="19">
        <f t="shared" si="1"/>
        <v>4150.0200000000004</v>
      </c>
      <c r="L13" s="19">
        <f t="shared" si="2"/>
        <v>4150.0200000000004</v>
      </c>
      <c r="M13" s="19">
        <f t="shared" si="3"/>
        <v>4150.0200000000004</v>
      </c>
      <c r="N13" s="19">
        <f t="shared" si="4"/>
        <v>4150.0200000000004</v>
      </c>
      <c r="O13" s="19">
        <f t="shared" si="5"/>
        <v>6195.03</v>
      </c>
      <c r="P13" s="19">
        <f t="shared" si="6"/>
        <v>4272.7205999999996</v>
      </c>
      <c r="Q13" s="19">
        <f t="shared" si="7"/>
        <v>4272.7205999999996</v>
      </c>
      <c r="R13" s="19">
        <f t="shared" si="8"/>
        <v>4272.7205999999996</v>
      </c>
      <c r="S13" s="19">
        <f t="shared" si="9"/>
        <v>4272.7205999999996</v>
      </c>
      <c r="T13" s="19">
        <f t="shared" si="10"/>
        <v>8381.470949999999</v>
      </c>
      <c r="U13" s="19">
        <f t="shared" si="11"/>
        <v>4272.7205999999996</v>
      </c>
      <c r="V13" s="42">
        <f t="shared" si="12"/>
        <v>56690.203949999996</v>
      </c>
      <c r="W13" s="42">
        <f t="shared" si="13"/>
        <v>4724.1836624999996</v>
      </c>
      <c r="X13" s="43">
        <f t="shared" si="14"/>
        <v>0.25301602347324437</v>
      </c>
      <c r="Y13" s="39">
        <f t="shared" si="15"/>
        <v>3300</v>
      </c>
      <c r="Z13" s="39">
        <f t="shared" si="16"/>
        <v>3300</v>
      </c>
      <c r="AA13" s="39">
        <f t="shared" si="17"/>
        <v>3300</v>
      </c>
      <c r="AB13" s="39">
        <f t="shared" si="18"/>
        <v>3300</v>
      </c>
      <c r="AC13" s="39">
        <f t="shared" si="19"/>
        <v>3300</v>
      </c>
      <c r="AD13" s="39">
        <f t="shared" si="20"/>
        <v>4950</v>
      </c>
      <c r="AE13" s="39">
        <f t="shared" si="21"/>
        <v>3399</v>
      </c>
      <c r="AF13" s="39">
        <f t="shared" si="22"/>
        <v>3399</v>
      </c>
      <c r="AG13" s="39">
        <f t="shared" si="23"/>
        <v>3399</v>
      </c>
      <c r="AH13" s="39">
        <f t="shared" si="24"/>
        <v>3399</v>
      </c>
      <c r="AI13" s="39">
        <f t="shared" si="25"/>
        <v>6798</v>
      </c>
      <c r="AJ13" s="39">
        <f t="shared" si="26"/>
        <v>3399</v>
      </c>
      <c r="AK13" s="39">
        <f t="shared" si="27"/>
        <v>45243</v>
      </c>
    </row>
    <row r="14" spans="1:37" ht="15" customHeight="1" x14ac:dyDescent="0.25">
      <c r="A14" s="18" t="str">
        <f>Mitarbeiterstamm!A11</f>
        <v>P-207</v>
      </c>
      <c r="B14" s="35" t="str">
        <f>Mitarbeiterstamm!B11</f>
        <v>Jasmin Köhler</v>
      </c>
      <c r="C14" s="18" t="str">
        <f>Mitarbeiterstamm!C11</f>
        <v>Produktion</v>
      </c>
      <c r="D14" s="18" t="str">
        <f>Mitarbeiterstamm!E11</f>
        <v>Vollzeit</v>
      </c>
      <c r="E14" s="36">
        <f>Mitarbeiterstamm!F11</f>
        <v>45139</v>
      </c>
      <c r="F14" s="16">
        <f>Mitarbeiterstamm!G11</f>
        <v>3100</v>
      </c>
      <c r="G14" s="16">
        <f>Mitarbeiterstamm!H11</f>
        <v>0</v>
      </c>
      <c r="H14" s="16">
        <f>Mitarbeiterstamm!I11</f>
        <v>0</v>
      </c>
      <c r="I14" s="18" t="str">
        <f>Mitarbeiterstamm!J11</f>
        <v>Ja</v>
      </c>
      <c r="J14" s="16">
        <f t="shared" si="0"/>
        <v>3842.14</v>
      </c>
      <c r="K14" s="16">
        <f t="shared" si="1"/>
        <v>3842.14</v>
      </c>
      <c r="L14" s="16">
        <f t="shared" si="2"/>
        <v>3842.14</v>
      </c>
      <c r="M14" s="16">
        <f t="shared" si="3"/>
        <v>3842.14</v>
      </c>
      <c r="N14" s="16">
        <f t="shared" si="4"/>
        <v>3842.14</v>
      </c>
      <c r="O14" s="16">
        <f t="shared" si="5"/>
        <v>5763.21</v>
      </c>
      <c r="P14" s="16">
        <f t="shared" si="6"/>
        <v>3957.4041999999999</v>
      </c>
      <c r="Q14" s="16">
        <f t="shared" si="7"/>
        <v>3957.4041999999999</v>
      </c>
      <c r="R14" s="16">
        <f t="shared" si="8"/>
        <v>3957.4041999999999</v>
      </c>
      <c r="S14" s="16">
        <f t="shared" si="9"/>
        <v>3957.4041999999999</v>
      </c>
      <c r="T14" s="16">
        <f t="shared" si="10"/>
        <v>7854.3041499999999</v>
      </c>
      <c r="U14" s="16">
        <f t="shared" si="11"/>
        <v>3957.4041999999999</v>
      </c>
      <c r="V14" s="37">
        <f t="shared" si="12"/>
        <v>52615.235149999986</v>
      </c>
      <c r="W14" s="37">
        <f t="shared" si="13"/>
        <v>4384.6029291666655</v>
      </c>
      <c r="X14" s="38">
        <f t="shared" si="14"/>
        <v>0.23797640408460943</v>
      </c>
      <c r="Y14" s="39">
        <f t="shared" si="15"/>
        <v>3100</v>
      </c>
      <c r="Z14" s="39">
        <f t="shared" si="16"/>
        <v>3100</v>
      </c>
      <c r="AA14" s="39">
        <f t="shared" si="17"/>
        <v>3100</v>
      </c>
      <c r="AB14" s="39">
        <f t="shared" si="18"/>
        <v>3100</v>
      </c>
      <c r="AC14" s="39">
        <f t="shared" si="19"/>
        <v>3100</v>
      </c>
      <c r="AD14" s="39">
        <f t="shared" si="20"/>
        <v>4650</v>
      </c>
      <c r="AE14" s="39">
        <f t="shared" si="21"/>
        <v>3193</v>
      </c>
      <c r="AF14" s="39">
        <f t="shared" si="22"/>
        <v>3193</v>
      </c>
      <c r="AG14" s="39">
        <f t="shared" si="23"/>
        <v>3193</v>
      </c>
      <c r="AH14" s="39">
        <f t="shared" si="24"/>
        <v>3193</v>
      </c>
      <c r="AI14" s="39">
        <f t="shared" si="25"/>
        <v>6386</v>
      </c>
      <c r="AJ14" s="39">
        <f t="shared" si="26"/>
        <v>3193</v>
      </c>
      <c r="AK14" s="39">
        <f t="shared" si="27"/>
        <v>42501</v>
      </c>
    </row>
    <row r="15" spans="1:37" ht="15" customHeight="1" x14ac:dyDescent="0.25">
      <c r="A15" s="21" t="str">
        <f>Mitarbeiterstamm!A12</f>
        <v>P-208</v>
      </c>
      <c r="B15" s="40" t="str">
        <f>Mitarbeiterstamm!B12</f>
        <v>Daniel Wagner</v>
      </c>
      <c r="C15" s="21" t="str">
        <f>Mitarbeiterstamm!C12</f>
        <v>IT/Entwicklung</v>
      </c>
      <c r="D15" s="21" t="str">
        <f>Mitarbeiterstamm!E12</f>
        <v>Vollzeit</v>
      </c>
      <c r="E15" s="41">
        <f>Mitarbeiterstamm!F12</f>
        <v>42384</v>
      </c>
      <c r="F15" s="19">
        <f>Mitarbeiterstamm!G12</f>
        <v>7200</v>
      </c>
      <c r="G15" s="19">
        <f>Mitarbeiterstamm!H12</f>
        <v>450</v>
      </c>
      <c r="H15" s="19">
        <f>Mitarbeiterstamm!I12</f>
        <v>180</v>
      </c>
      <c r="I15" s="21" t="str">
        <f>Mitarbeiterstamm!J12</f>
        <v>Ja</v>
      </c>
      <c r="J15" s="19">
        <f t="shared" si="0"/>
        <v>9467.5537499999991</v>
      </c>
      <c r="K15" s="19">
        <f t="shared" si="1"/>
        <v>9467.5537499999991</v>
      </c>
      <c r="L15" s="19">
        <f t="shared" si="2"/>
        <v>9467.5537499999991</v>
      </c>
      <c r="M15" s="19">
        <f t="shared" si="3"/>
        <v>9467.5537499999991</v>
      </c>
      <c r="N15" s="19">
        <f t="shared" si="4"/>
        <v>9467.5537499999991</v>
      </c>
      <c r="O15" s="19">
        <f t="shared" si="5"/>
        <v>13252.793750000001</v>
      </c>
      <c r="P15" s="19">
        <f t="shared" si="6"/>
        <v>9712.4761500000004</v>
      </c>
      <c r="Q15" s="19">
        <f t="shared" si="7"/>
        <v>9712.4761500000004</v>
      </c>
      <c r="R15" s="19">
        <f t="shared" si="8"/>
        <v>9712.4761500000004</v>
      </c>
      <c r="S15" s="19">
        <f t="shared" si="9"/>
        <v>9712.4761500000004</v>
      </c>
      <c r="T15" s="19">
        <f t="shared" si="10"/>
        <v>17397.286550000001</v>
      </c>
      <c r="U15" s="19">
        <f t="shared" si="11"/>
        <v>9712.4761500000004</v>
      </c>
      <c r="V15" s="42">
        <f t="shared" si="12"/>
        <v>126550.22980000002</v>
      </c>
      <c r="W15" s="42">
        <f t="shared" si="13"/>
        <v>10545.852483333334</v>
      </c>
      <c r="X15" s="43">
        <f t="shared" si="14"/>
        <v>0.21552011103427093</v>
      </c>
      <c r="Y15" s="39">
        <f t="shared" si="15"/>
        <v>7650</v>
      </c>
      <c r="Z15" s="39">
        <f t="shared" si="16"/>
        <v>7650</v>
      </c>
      <c r="AA15" s="39">
        <f t="shared" si="17"/>
        <v>7650</v>
      </c>
      <c r="AB15" s="39">
        <f t="shared" si="18"/>
        <v>7650</v>
      </c>
      <c r="AC15" s="39">
        <f t="shared" si="19"/>
        <v>7650</v>
      </c>
      <c r="AD15" s="39">
        <f t="shared" si="20"/>
        <v>11250</v>
      </c>
      <c r="AE15" s="39">
        <f t="shared" si="21"/>
        <v>7866</v>
      </c>
      <c r="AF15" s="39">
        <f t="shared" si="22"/>
        <v>7866</v>
      </c>
      <c r="AG15" s="39">
        <f t="shared" si="23"/>
        <v>7866</v>
      </c>
      <c r="AH15" s="39">
        <f t="shared" si="24"/>
        <v>7866</v>
      </c>
      <c r="AI15" s="39">
        <f t="shared" si="25"/>
        <v>15282</v>
      </c>
      <c r="AJ15" s="39">
        <f t="shared" si="26"/>
        <v>7866</v>
      </c>
      <c r="AK15" s="39">
        <f t="shared" si="27"/>
        <v>104112</v>
      </c>
    </row>
    <row r="16" spans="1:37" ht="15" customHeight="1" x14ac:dyDescent="0.25">
      <c r="A16" s="18" t="str">
        <f>Mitarbeiterstamm!A13</f>
        <v>P-209</v>
      </c>
      <c r="B16" s="35" t="str">
        <f>Mitarbeiterstamm!B13</f>
        <v>Sarah Lindemann</v>
      </c>
      <c r="C16" s="18" t="str">
        <f>Mitarbeiterstamm!C13</f>
        <v>IT/Entwicklung</v>
      </c>
      <c r="D16" s="18" t="str">
        <f>Mitarbeiterstamm!E13</f>
        <v>Vollzeit</v>
      </c>
      <c r="E16" s="36">
        <f>Mitarbeiterstamm!F13</f>
        <v>44621</v>
      </c>
      <c r="F16" s="16">
        <f>Mitarbeiterstamm!G13</f>
        <v>5200</v>
      </c>
      <c r="G16" s="16">
        <f>Mitarbeiterstamm!H13</f>
        <v>0</v>
      </c>
      <c r="H16" s="16">
        <f>Mitarbeiterstamm!I13</f>
        <v>100</v>
      </c>
      <c r="I16" s="18" t="str">
        <f>Mitarbeiterstamm!J13</f>
        <v>Ja</v>
      </c>
      <c r="J16" s="16">
        <f t="shared" si="0"/>
        <v>6544.88</v>
      </c>
      <c r="K16" s="16">
        <f t="shared" si="1"/>
        <v>6544.88</v>
      </c>
      <c r="L16" s="16">
        <f t="shared" si="2"/>
        <v>6544.88</v>
      </c>
      <c r="M16" s="16">
        <f t="shared" si="3"/>
        <v>6544.88</v>
      </c>
      <c r="N16" s="16">
        <f t="shared" si="4"/>
        <v>6544.88</v>
      </c>
      <c r="O16" s="16">
        <f t="shared" si="5"/>
        <v>9557.6387500000001</v>
      </c>
      <c r="P16" s="16">
        <f t="shared" si="6"/>
        <v>6738.2263999999996</v>
      </c>
      <c r="Q16" s="16">
        <f t="shared" si="7"/>
        <v>6738.2263999999996</v>
      </c>
      <c r="R16" s="16">
        <f t="shared" si="8"/>
        <v>6738.2263999999996</v>
      </c>
      <c r="S16" s="16">
        <f t="shared" si="9"/>
        <v>6738.2263999999996</v>
      </c>
      <c r="T16" s="16">
        <f t="shared" si="10"/>
        <v>12619.78355</v>
      </c>
      <c r="U16" s="16">
        <f t="shared" si="11"/>
        <v>6738.2263999999996</v>
      </c>
      <c r="V16" s="37">
        <f t="shared" si="12"/>
        <v>88592.954299999998</v>
      </c>
      <c r="W16" s="37">
        <f t="shared" si="13"/>
        <v>7382.7461916666662</v>
      </c>
      <c r="X16" s="38">
        <f t="shared" si="14"/>
        <v>0.24267735931100259</v>
      </c>
      <c r="Y16" s="39">
        <f t="shared" si="15"/>
        <v>5200</v>
      </c>
      <c r="Z16" s="39">
        <f t="shared" si="16"/>
        <v>5200</v>
      </c>
      <c r="AA16" s="39">
        <f t="shared" si="17"/>
        <v>5200</v>
      </c>
      <c r="AB16" s="39">
        <f t="shared" si="18"/>
        <v>5200</v>
      </c>
      <c r="AC16" s="39">
        <f t="shared" si="19"/>
        <v>5200</v>
      </c>
      <c r="AD16" s="39">
        <f t="shared" si="20"/>
        <v>7800</v>
      </c>
      <c r="AE16" s="39">
        <f t="shared" si="21"/>
        <v>5356</v>
      </c>
      <c r="AF16" s="39">
        <f t="shared" si="22"/>
        <v>5356</v>
      </c>
      <c r="AG16" s="39">
        <f t="shared" si="23"/>
        <v>5356</v>
      </c>
      <c r="AH16" s="39">
        <f t="shared" si="24"/>
        <v>5356</v>
      </c>
      <c r="AI16" s="39">
        <f t="shared" si="25"/>
        <v>10712</v>
      </c>
      <c r="AJ16" s="39">
        <f t="shared" si="26"/>
        <v>5356</v>
      </c>
      <c r="AK16" s="39">
        <f t="shared" si="27"/>
        <v>71292</v>
      </c>
    </row>
    <row r="17" spans="1:37" ht="15" customHeight="1" x14ac:dyDescent="0.25">
      <c r="A17" s="21" t="str">
        <f>Mitarbeiterstamm!A14</f>
        <v>P-210</v>
      </c>
      <c r="B17" s="40" t="str">
        <f>Mitarbeiterstamm!B14</f>
        <v>Tim Achterberg</v>
      </c>
      <c r="C17" s="21" t="str">
        <f>Mitarbeiterstamm!C14</f>
        <v>IT/Entwicklung</v>
      </c>
      <c r="D17" s="21" t="str">
        <f>Mitarbeiterstamm!E14</f>
        <v>Teilzeit</v>
      </c>
      <c r="E17" s="41">
        <f>Mitarbeiterstamm!F14</f>
        <v>45748</v>
      </c>
      <c r="F17" s="19">
        <f>Mitarbeiterstamm!G14</f>
        <v>1450</v>
      </c>
      <c r="G17" s="19">
        <f>Mitarbeiterstamm!H14</f>
        <v>0</v>
      </c>
      <c r="H17" s="19">
        <f>Mitarbeiterstamm!I14</f>
        <v>0</v>
      </c>
      <c r="I17" s="21" t="str">
        <f>Mitarbeiterstamm!J14</f>
        <v>Nein</v>
      </c>
      <c r="J17" s="19">
        <f t="shared" si="0"/>
        <v>1797.1299999999999</v>
      </c>
      <c r="K17" s="19">
        <f t="shared" si="1"/>
        <v>1797.1299999999999</v>
      </c>
      <c r="L17" s="19">
        <f t="shared" si="2"/>
        <v>1797.1299999999999</v>
      </c>
      <c r="M17" s="19">
        <f t="shared" si="3"/>
        <v>1797.1299999999999</v>
      </c>
      <c r="N17" s="19">
        <f t="shared" si="4"/>
        <v>1797.1299999999999</v>
      </c>
      <c r="O17" s="19">
        <f t="shared" si="5"/>
        <v>1797.1299999999999</v>
      </c>
      <c r="P17" s="19">
        <f t="shared" si="6"/>
        <v>1851.0439000000001</v>
      </c>
      <c r="Q17" s="19">
        <f t="shared" si="7"/>
        <v>1851.0439000000001</v>
      </c>
      <c r="R17" s="19">
        <f t="shared" si="8"/>
        <v>1851.0439000000001</v>
      </c>
      <c r="S17" s="19">
        <f t="shared" si="9"/>
        <v>1851.0439000000001</v>
      </c>
      <c r="T17" s="19">
        <f t="shared" si="10"/>
        <v>1851.0439000000001</v>
      </c>
      <c r="U17" s="19">
        <f t="shared" si="11"/>
        <v>1851.0439000000001</v>
      </c>
      <c r="V17" s="42">
        <f t="shared" si="12"/>
        <v>21889.043400000002</v>
      </c>
      <c r="W17" s="42">
        <f t="shared" si="13"/>
        <v>1824.0869500000001</v>
      </c>
      <c r="X17" s="43">
        <f t="shared" si="14"/>
        <v>0.23940000000000014</v>
      </c>
      <c r="Y17" s="39">
        <f t="shared" si="15"/>
        <v>1450</v>
      </c>
      <c r="Z17" s="39">
        <f t="shared" si="16"/>
        <v>1450</v>
      </c>
      <c r="AA17" s="39">
        <f t="shared" si="17"/>
        <v>1450</v>
      </c>
      <c r="AB17" s="39">
        <f t="shared" si="18"/>
        <v>1450</v>
      </c>
      <c r="AC17" s="39">
        <f t="shared" si="19"/>
        <v>1450</v>
      </c>
      <c r="AD17" s="39">
        <f t="shared" si="20"/>
        <v>1450</v>
      </c>
      <c r="AE17" s="39">
        <f t="shared" si="21"/>
        <v>1493.5</v>
      </c>
      <c r="AF17" s="39">
        <f t="shared" si="22"/>
        <v>1493.5</v>
      </c>
      <c r="AG17" s="39">
        <f t="shared" si="23"/>
        <v>1493.5</v>
      </c>
      <c r="AH17" s="39">
        <f t="shared" si="24"/>
        <v>1493.5</v>
      </c>
      <c r="AI17" s="39">
        <f t="shared" si="25"/>
        <v>1493.5</v>
      </c>
      <c r="AJ17" s="39">
        <f t="shared" si="26"/>
        <v>1493.5</v>
      </c>
      <c r="AK17" s="39">
        <f t="shared" si="27"/>
        <v>17661</v>
      </c>
    </row>
    <row r="18" spans="1:37" ht="15" customHeight="1" x14ac:dyDescent="0.25">
      <c r="A18" s="18" t="str">
        <f>Mitarbeiterstamm!A15</f>
        <v>P-211</v>
      </c>
      <c r="B18" s="35" t="str">
        <f>Mitarbeiterstamm!B15</f>
        <v>Julia Sommerfeld</v>
      </c>
      <c r="C18" s="18" t="str">
        <f>Mitarbeiterstamm!C15</f>
        <v>Verwaltung</v>
      </c>
      <c r="D18" s="18" t="str">
        <f>Mitarbeiterstamm!E15</f>
        <v>Vollzeit</v>
      </c>
      <c r="E18" s="36">
        <f>Mitarbeiterstamm!F15</f>
        <v>42248</v>
      </c>
      <c r="F18" s="16">
        <f>Mitarbeiterstamm!G15</f>
        <v>4900</v>
      </c>
      <c r="G18" s="16">
        <f>Mitarbeiterstamm!H15</f>
        <v>0</v>
      </c>
      <c r="H18" s="16">
        <f>Mitarbeiterstamm!I15</f>
        <v>120</v>
      </c>
      <c r="I18" s="18" t="str">
        <f>Mitarbeiterstamm!J15</f>
        <v>Ja</v>
      </c>
      <c r="J18" s="16">
        <f t="shared" si="0"/>
        <v>6193.0599999999995</v>
      </c>
      <c r="K18" s="16">
        <f t="shared" si="1"/>
        <v>6193.0599999999995</v>
      </c>
      <c r="L18" s="16">
        <f t="shared" si="2"/>
        <v>6193.0599999999995</v>
      </c>
      <c r="M18" s="16">
        <f t="shared" si="3"/>
        <v>6193.0599999999995</v>
      </c>
      <c r="N18" s="16">
        <f t="shared" si="4"/>
        <v>6193.0599999999995</v>
      </c>
      <c r="O18" s="16">
        <f t="shared" si="5"/>
        <v>9067.3837500000009</v>
      </c>
      <c r="P18" s="16">
        <f t="shared" si="6"/>
        <v>6375.2518</v>
      </c>
      <c r="Q18" s="16">
        <f t="shared" si="7"/>
        <v>6375.2518</v>
      </c>
      <c r="R18" s="16">
        <f t="shared" si="8"/>
        <v>6375.2518</v>
      </c>
      <c r="S18" s="16">
        <f t="shared" si="9"/>
        <v>6375.2518</v>
      </c>
      <c r="T18" s="16">
        <f t="shared" si="10"/>
        <v>12004.54135</v>
      </c>
      <c r="U18" s="16">
        <f t="shared" si="11"/>
        <v>6375.2518</v>
      </c>
      <c r="V18" s="37">
        <f t="shared" si="12"/>
        <v>83913.484099999987</v>
      </c>
      <c r="W18" s="37">
        <f t="shared" si="13"/>
        <v>6992.7903416666659</v>
      </c>
      <c r="X18" s="38">
        <f t="shared" si="14"/>
        <v>0.24910290566992643</v>
      </c>
      <c r="Y18" s="39">
        <f t="shared" si="15"/>
        <v>4900</v>
      </c>
      <c r="Z18" s="39">
        <f t="shared" si="16"/>
        <v>4900</v>
      </c>
      <c r="AA18" s="39">
        <f t="shared" si="17"/>
        <v>4900</v>
      </c>
      <c r="AB18" s="39">
        <f t="shared" si="18"/>
        <v>4900</v>
      </c>
      <c r="AC18" s="39">
        <f t="shared" si="19"/>
        <v>4900</v>
      </c>
      <c r="AD18" s="39">
        <f t="shared" si="20"/>
        <v>7350</v>
      </c>
      <c r="AE18" s="39">
        <f t="shared" si="21"/>
        <v>5047</v>
      </c>
      <c r="AF18" s="39">
        <f t="shared" si="22"/>
        <v>5047</v>
      </c>
      <c r="AG18" s="39">
        <f t="shared" si="23"/>
        <v>5047</v>
      </c>
      <c r="AH18" s="39">
        <f t="shared" si="24"/>
        <v>5047</v>
      </c>
      <c r="AI18" s="39">
        <f t="shared" si="25"/>
        <v>10094</v>
      </c>
      <c r="AJ18" s="39">
        <f t="shared" si="26"/>
        <v>5047</v>
      </c>
      <c r="AK18" s="39">
        <f t="shared" si="27"/>
        <v>67179</v>
      </c>
    </row>
    <row r="19" spans="1:37" ht="15" customHeight="1" x14ac:dyDescent="0.25">
      <c r="A19" s="21" t="str">
        <f>Mitarbeiterstamm!A16</f>
        <v>P-212</v>
      </c>
      <c r="B19" s="40" t="str">
        <f>Mitarbeiterstamm!B16</f>
        <v>Peter Ostendorf</v>
      </c>
      <c r="C19" s="21" t="str">
        <f>Mitarbeiterstamm!C16</f>
        <v>Verwaltung</v>
      </c>
      <c r="D19" s="21" t="str">
        <f>Mitarbeiterstamm!E16</f>
        <v>Vollzeit</v>
      </c>
      <c r="E19" s="41">
        <f>Mitarbeiterstamm!F16</f>
        <v>43770</v>
      </c>
      <c r="F19" s="19">
        <f>Mitarbeiterstamm!G16</f>
        <v>3600</v>
      </c>
      <c r="G19" s="19">
        <f>Mitarbeiterstamm!H16</f>
        <v>0</v>
      </c>
      <c r="H19" s="19">
        <f>Mitarbeiterstamm!I16</f>
        <v>60</v>
      </c>
      <c r="I19" s="21" t="str">
        <f>Mitarbeiterstamm!J16</f>
        <v>Ja</v>
      </c>
      <c r="J19" s="19">
        <f t="shared" si="0"/>
        <v>4521.84</v>
      </c>
      <c r="K19" s="19">
        <f t="shared" si="1"/>
        <v>4521.84</v>
      </c>
      <c r="L19" s="19">
        <f t="shared" si="2"/>
        <v>4521.84</v>
      </c>
      <c r="M19" s="19">
        <f t="shared" si="3"/>
        <v>4521.84</v>
      </c>
      <c r="N19" s="19">
        <f t="shared" si="4"/>
        <v>4521.84</v>
      </c>
      <c r="O19" s="19">
        <f t="shared" si="5"/>
        <v>6752.76</v>
      </c>
      <c r="P19" s="19">
        <f t="shared" si="6"/>
        <v>4655.6952000000001</v>
      </c>
      <c r="Q19" s="19">
        <f t="shared" si="7"/>
        <v>4655.6952000000001</v>
      </c>
      <c r="R19" s="19">
        <f t="shared" si="8"/>
        <v>4655.6952000000001</v>
      </c>
      <c r="S19" s="19">
        <f t="shared" si="9"/>
        <v>4655.6952000000001</v>
      </c>
      <c r="T19" s="19">
        <f t="shared" si="10"/>
        <v>9082.2211499999994</v>
      </c>
      <c r="U19" s="19">
        <f t="shared" si="11"/>
        <v>4655.6952000000001</v>
      </c>
      <c r="V19" s="42">
        <f t="shared" si="12"/>
        <v>61722.657150000006</v>
      </c>
      <c r="W19" s="42">
        <f t="shared" si="13"/>
        <v>5143.5547625000008</v>
      </c>
      <c r="X19" s="43">
        <f t="shared" si="14"/>
        <v>0.25056036044249952</v>
      </c>
      <c r="Y19" s="39">
        <f t="shared" si="15"/>
        <v>3600</v>
      </c>
      <c r="Z19" s="39">
        <f t="shared" si="16"/>
        <v>3600</v>
      </c>
      <c r="AA19" s="39">
        <f t="shared" si="17"/>
        <v>3600</v>
      </c>
      <c r="AB19" s="39">
        <f t="shared" si="18"/>
        <v>3600</v>
      </c>
      <c r="AC19" s="39">
        <f t="shared" si="19"/>
        <v>3600</v>
      </c>
      <c r="AD19" s="39">
        <f t="shared" si="20"/>
        <v>5400</v>
      </c>
      <c r="AE19" s="39">
        <f t="shared" si="21"/>
        <v>3708</v>
      </c>
      <c r="AF19" s="39">
        <f t="shared" si="22"/>
        <v>3708</v>
      </c>
      <c r="AG19" s="39">
        <f t="shared" si="23"/>
        <v>3708</v>
      </c>
      <c r="AH19" s="39">
        <f t="shared" si="24"/>
        <v>3708</v>
      </c>
      <c r="AI19" s="39">
        <f t="shared" si="25"/>
        <v>7416</v>
      </c>
      <c r="AJ19" s="39">
        <f t="shared" si="26"/>
        <v>3708</v>
      </c>
      <c r="AK19" s="39">
        <f t="shared" si="27"/>
        <v>49356</v>
      </c>
    </row>
    <row r="20" spans="1:37" ht="15" customHeight="1" x14ac:dyDescent="0.25">
      <c r="A20" s="18" t="str">
        <f>Mitarbeiterstamm!A17</f>
        <v>P-213</v>
      </c>
      <c r="B20" s="35" t="str">
        <f>Mitarbeiterstamm!B17</f>
        <v>Christina Mauer</v>
      </c>
      <c r="C20" s="18" t="str">
        <f>Mitarbeiterstamm!C17</f>
        <v>Verwaltung</v>
      </c>
      <c r="D20" s="18" t="str">
        <f>Mitarbeiterstamm!E17</f>
        <v>Teilzeit</v>
      </c>
      <c r="E20" s="36">
        <f>Mitarbeiterstamm!F17</f>
        <v>44348</v>
      </c>
      <c r="F20" s="16">
        <f>Mitarbeiterstamm!G17</f>
        <v>2600</v>
      </c>
      <c r="G20" s="16">
        <f>Mitarbeiterstamm!H17</f>
        <v>0</v>
      </c>
      <c r="H20" s="16">
        <f>Mitarbeiterstamm!I17</f>
        <v>0</v>
      </c>
      <c r="I20" s="18" t="str">
        <f>Mitarbeiterstamm!J17</f>
        <v>Ja</v>
      </c>
      <c r="J20" s="16">
        <f t="shared" si="0"/>
        <v>3222.44</v>
      </c>
      <c r="K20" s="16">
        <f t="shared" si="1"/>
        <v>3222.44</v>
      </c>
      <c r="L20" s="16">
        <f t="shared" si="2"/>
        <v>3222.44</v>
      </c>
      <c r="M20" s="16">
        <f t="shared" si="3"/>
        <v>3222.44</v>
      </c>
      <c r="N20" s="16">
        <f t="shared" si="4"/>
        <v>3222.44</v>
      </c>
      <c r="O20" s="16">
        <f t="shared" si="5"/>
        <v>4833.66</v>
      </c>
      <c r="P20" s="16">
        <f t="shared" si="6"/>
        <v>3319.1131999999998</v>
      </c>
      <c r="Q20" s="16">
        <f t="shared" si="7"/>
        <v>3319.1131999999998</v>
      </c>
      <c r="R20" s="16">
        <f t="shared" si="8"/>
        <v>3319.1131999999998</v>
      </c>
      <c r="S20" s="16">
        <f t="shared" si="9"/>
        <v>3319.1131999999998</v>
      </c>
      <c r="T20" s="16">
        <f t="shared" si="10"/>
        <v>6638.2263999999996</v>
      </c>
      <c r="U20" s="16">
        <f t="shared" si="11"/>
        <v>3319.1131999999998</v>
      </c>
      <c r="V20" s="37">
        <f t="shared" si="12"/>
        <v>44179.652399999999</v>
      </c>
      <c r="W20" s="37">
        <f t="shared" si="13"/>
        <v>3681.6376999999998</v>
      </c>
      <c r="X20" s="38">
        <f t="shared" si="14"/>
        <v>0.23939999999999997</v>
      </c>
      <c r="Y20" s="39">
        <f t="shared" si="15"/>
        <v>2600</v>
      </c>
      <c r="Z20" s="39">
        <f t="shared" si="16"/>
        <v>2600</v>
      </c>
      <c r="AA20" s="39">
        <f t="shared" si="17"/>
        <v>2600</v>
      </c>
      <c r="AB20" s="39">
        <f t="shared" si="18"/>
        <v>2600</v>
      </c>
      <c r="AC20" s="39">
        <f t="shared" si="19"/>
        <v>2600</v>
      </c>
      <c r="AD20" s="39">
        <f t="shared" si="20"/>
        <v>3900</v>
      </c>
      <c r="AE20" s="39">
        <f t="shared" si="21"/>
        <v>2678</v>
      </c>
      <c r="AF20" s="39">
        <f t="shared" si="22"/>
        <v>2678</v>
      </c>
      <c r="AG20" s="39">
        <f t="shared" si="23"/>
        <v>2678</v>
      </c>
      <c r="AH20" s="39">
        <f t="shared" si="24"/>
        <v>2678</v>
      </c>
      <c r="AI20" s="39">
        <f t="shared" si="25"/>
        <v>5356</v>
      </c>
      <c r="AJ20" s="39">
        <f t="shared" si="26"/>
        <v>2678</v>
      </c>
      <c r="AK20" s="39">
        <f t="shared" si="27"/>
        <v>35646</v>
      </c>
    </row>
    <row r="21" spans="1:37" ht="15" customHeight="1" x14ac:dyDescent="0.25">
      <c r="A21" s="21" t="str">
        <f>Mitarbeiterstamm!A18</f>
        <v>P-214</v>
      </c>
      <c r="B21" s="40" t="str">
        <f>Mitarbeiterstamm!B18</f>
        <v>Robert Adler</v>
      </c>
      <c r="C21" s="21" t="str">
        <f>Mitarbeiterstamm!C18</f>
        <v>Produktion</v>
      </c>
      <c r="D21" s="21" t="str">
        <f>Mitarbeiterstamm!E18</f>
        <v>Azubi</v>
      </c>
      <c r="E21" s="41">
        <f>Mitarbeiterstamm!F18</f>
        <v>45505</v>
      </c>
      <c r="F21" s="19">
        <f>Mitarbeiterstamm!G18</f>
        <v>1150</v>
      </c>
      <c r="G21" s="19">
        <f>Mitarbeiterstamm!H18</f>
        <v>0</v>
      </c>
      <c r="H21" s="19">
        <f>Mitarbeiterstamm!I18</f>
        <v>0</v>
      </c>
      <c r="I21" s="21" t="str">
        <f>Mitarbeiterstamm!J18</f>
        <v>Ja</v>
      </c>
      <c r="J21" s="19">
        <f t="shared" si="0"/>
        <v>1425.31</v>
      </c>
      <c r="K21" s="19">
        <f t="shared" si="1"/>
        <v>1425.31</v>
      </c>
      <c r="L21" s="19">
        <f t="shared" si="2"/>
        <v>1425.31</v>
      </c>
      <c r="M21" s="19">
        <f t="shared" si="3"/>
        <v>1425.31</v>
      </c>
      <c r="N21" s="19">
        <f t="shared" si="4"/>
        <v>1425.31</v>
      </c>
      <c r="O21" s="19">
        <f t="shared" si="5"/>
        <v>2137.9650000000001</v>
      </c>
      <c r="P21" s="19">
        <f t="shared" si="6"/>
        <v>1468.0693000000001</v>
      </c>
      <c r="Q21" s="19">
        <f t="shared" si="7"/>
        <v>1468.0693000000001</v>
      </c>
      <c r="R21" s="19">
        <f t="shared" si="8"/>
        <v>1468.0693000000001</v>
      </c>
      <c r="S21" s="19">
        <f t="shared" si="9"/>
        <v>1468.0693000000001</v>
      </c>
      <c r="T21" s="19">
        <f t="shared" si="10"/>
        <v>2936.1386000000002</v>
      </c>
      <c r="U21" s="19">
        <f t="shared" si="11"/>
        <v>1468.0693000000001</v>
      </c>
      <c r="V21" s="42">
        <f t="shared" si="12"/>
        <v>19541.000099999994</v>
      </c>
      <c r="W21" s="42">
        <f t="shared" si="13"/>
        <v>1628.4166749999995</v>
      </c>
      <c r="X21" s="43">
        <f t="shared" si="14"/>
        <v>0.23939999999999961</v>
      </c>
      <c r="Y21" s="39">
        <f t="shared" si="15"/>
        <v>1150</v>
      </c>
      <c r="Z21" s="39">
        <f t="shared" si="16"/>
        <v>1150</v>
      </c>
      <c r="AA21" s="39">
        <f t="shared" si="17"/>
        <v>1150</v>
      </c>
      <c r="AB21" s="39">
        <f t="shared" si="18"/>
        <v>1150</v>
      </c>
      <c r="AC21" s="39">
        <f t="shared" si="19"/>
        <v>1150</v>
      </c>
      <c r="AD21" s="39">
        <f t="shared" si="20"/>
        <v>1725</v>
      </c>
      <c r="AE21" s="39">
        <f t="shared" si="21"/>
        <v>1184.5</v>
      </c>
      <c r="AF21" s="39">
        <f t="shared" si="22"/>
        <v>1184.5</v>
      </c>
      <c r="AG21" s="39">
        <f t="shared" si="23"/>
        <v>1184.5</v>
      </c>
      <c r="AH21" s="39">
        <f t="shared" si="24"/>
        <v>1184.5</v>
      </c>
      <c r="AI21" s="39">
        <f t="shared" si="25"/>
        <v>2369</v>
      </c>
      <c r="AJ21" s="39">
        <f t="shared" si="26"/>
        <v>1184.5</v>
      </c>
      <c r="AK21" s="39">
        <f t="shared" si="27"/>
        <v>15766.5</v>
      </c>
    </row>
    <row r="22" spans="1:37" ht="15" customHeight="1" x14ac:dyDescent="0.25">
      <c r="A22" s="18" t="str">
        <f>Mitarbeiterstamm!A19</f>
        <v>P-215</v>
      </c>
      <c r="B22" s="35" t="str">
        <f>Mitarbeiterstamm!B19</f>
        <v>Hannah Pietsch</v>
      </c>
      <c r="C22" s="18" t="str">
        <f>Mitarbeiterstamm!C19</f>
        <v>Verwaltung</v>
      </c>
      <c r="D22" s="18" t="str">
        <f>Mitarbeiterstamm!E19</f>
        <v>Minijob</v>
      </c>
      <c r="E22" s="36">
        <f>Mitarbeiterstamm!F19</f>
        <v>44958</v>
      </c>
      <c r="F22" s="16">
        <f>Mitarbeiterstamm!G19</f>
        <v>550</v>
      </c>
      <c r="G22" s="16">
        <f>Mitarbeiterstamm!H19</f>
        <v>0</v>
      </c>
      <c r="H22" s="16">
        <f>Mitarbeiterstamm!I19</f>
        <v>0</v>
      </c>
      <c r="I22" s="18" t="str">
        <f>Mitarbeiterstamm!J19</f>
        <v>Nein</v>
      </c>
      <c r="J22" s="16">
        <f t="shared" si="0"/>
        <v>730.34500000000003</v>
      </c>
      <c r="K22" s="16">
        <f t="shared" si="1"/>
        <v>730.34500000000003</v>
      </c>
      <c r="L22" s="16">
        <f t="shared" si="2"/>
        <v>730.34500000000003</v>
      </c>
      <c r="M22" s="16">
        <f t="shared" si="3"/>
        <v>730.34500000000003</v>
      </c>
      <c r="N22" s="16">
        <f t="shared" si="4"/>
        <v>730.34500000000003</v>
      </c>
      <c r="O22" s="16">
        <f t="shared" si="5"/>
        <v>730.34500000000003</v>
      </c>
      <c r="P22" s="16">
        <f t="shared" si="6"/>
        <v>752.25535000000002</v>
      </c>
      <c r="Q22" s="16">
        <f t="shared" si="7"/>
        <v>752.25535000000002</v>
      </c>
      <c r="R22" s="16">
        <f t="shared" si="8"/>
        <v>752.25535000000002</v>
      </c>
      <c r="S22" s="16">
        <f t="shared" si="9"/>
        <v>752.25535000000002</v>
      </c>
      <c r="T22" s="16">
        <f t="shared" si="10"/>
        <v>752.25535000000002</v>
      </c>
      <c r="U22" s="16">
        <f t="shared" si="11"/>
        <v>752.25535000000002</v>
      </c>
      <c r="V22" s="37">
        <f t="shared" si="12"/>
        <v>8895.6021000000019</v>
      </c>
      <c r="W22" s="37">
        <f t="shared" si="13"/>
        <v>741.30017500000019</v>
      </c>
      <c r="X22" s="38">
        <f t="shared" si="14"/>
        <v>0.3279000000000003</v>
      </c>
      <c r="Y22" s="39">
        <f t="shared" si="15"/>
        <v>550</v>
      </c>
      <c r="Z22" s="39">
        <f t="shared" si="16"/>
        <v>550</v>
      </c>
      <c r="AA22" s="39">
        <f t="shared" si="17"/>
        <v>550</v>
      </c>
      <c r="AB22" s="39">
        <f t="shared" si="18"/>
        <v>550</v>
      </c>
      <c r="AC22" s="39">
        <f t="shared" si="19"/>
        <v>550</v>
      </c>
      <c r="AD22" s="39">
        <f t="shared" si="20"/>
        <v>550</v>
      </c>
      <c r="AE22" s="39">
        <f t="shared" si="21"/>
        <v>566.5</v>
      </c>
      <c r="AF22" s="39">
        <f t="shared" si="22"/>
        <v>566.5</v>
      </c>
      <c r="AG22" s="39">
        <f t="shared" si="23"/>
        <v>566.5</v>
      </c>
      <c r="AH22" s="39">
        <f t="shared" si="24"/>
        <v>566.5</v>
      </c>
      <c r="AI22" s="39">
        <f t="shared" si="25"/>
        <v>566.5</v>
      </c>
      <c r="AJ22" s="39">
        <f t="shared" si="26"/>
        <v>566.5</v>
      </c>
      <c r="AK22" s="39">
        <f t="shared" si="27"/>
        <v>6699</v>
      </c>
    </row>
    <row r="23" spans="1:37" ht="6" customHeight="1" x14ac:dyDescent="0.25"/>
    <row r="24" spans="1:37" ht="18" customHeight="1" x14ac:dyDescent="0.25">
      <c r="A24" s="63" t="s">
        <v>109</v>
      </c>
      <c r="B24" s="63"/>
      <c r="C24" s="63"/>
      <c r="D24" s="63"/>
      <c r="E24" s="63"/>
      <c r="F24" s="63"/>
      <c r="G24" s="63"/>
      <c r="H24" s="63"/>
      <c r="I24" s="63"/>
      <c r="J24" s="44">
        <f t="shared" ref="J24:U24" si="28">SUM(Y8:Y22)</f>
        <v>55950</v>
      </c>
      <c r="K24" s="44">
        <f t="shared" si="28"/>
        <v>55950</v>
      </c>
      <c r="L24" s="44">
        <f t="shared" si="28"/>
        <v>55950</v>
      </c>
      <c r="M24" s="44">
        <f t="shared" si="28"/>
        <v>55950</v>
      </c>
      <c r="N24" s="44">
        <f t="shared" si="28"/>
        <v>55950</v>
      </c>
      <c r="O24" s="44">
        <f t="shared" si="28"/>
        <v>82475</v>
      </c>
      <c r="P24" s="44">
        <f t="shared" si="28"/>
        <v>57601.5</v>
      </c>
      <c r="Q24" s="44">
        <f t="shared" si="28"/>
        <v>57601.5</v>
      </c>
      <c r="R24" s="44">
        <f t="shared" si="28"/>
        <v>57601.5</v>
      </c>
      <c r="S24" s="44">
        <f t="shared" si="28"/>
        <v>57601.5</v>
      </c>
      <c r="T24" s="44">
        <f t="shared" si="28"/>
        <v>112243</v>
      </c>
      <c r="U24" s="44">
        <f t="shared" si="28"/>
        <v>57601.5</v>
      </c>
      <c r="V24" s="44">
        <f>SUM(J24:U24)</f>
        <v>762475.5</v>
      </c>
      <c r="W24" s="45"/>
      <c r="X24" s="45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</row>
    <row r="25" spans="1:37" ht="18" customHeight="1" x14ac:dyDescent="0.25">
      <c r="A25" s="64" t="s">
        <v>110</v>
      </c>
      <c r="B25" s="64"/>
      <c r="C25" s="64"/>
      <c r="D25" s="64"/>
      <c r="E25" s="64"/>
      <c r="F25" s="64"/>
      <c r="G25" s="64"/>
      <c r="H25" s="64"/>
      <c r="I25" s="64"/>
      <c r="J25" s="47">
        <f t="shared" ref="J25:U25" si="29">J26-J24</f>
        <v>14140.892499999987</v>
      </c>
      <c r="K25" s="47">
        <f t="shared" si="29"/>
        <v>14140.892499999987</v>
      </c>
      <c r="L25" s="47">
        <f t="shared" si="29"/>
        <v>14140.892499999987</v>
      </c>
      <c r="M25" s="47">
        <f t="shared" si="29"/>
        <v>14140.892499999987</v>
      </c>
      <c r="N25" s="47">
        <f t="shared" si="29"/>
        <v>14140.892499999987</v>
      </c>
      <c r="O25" s="47">
        <f t="shared" si="29"/>
        <v>18595.077499999999</v>
      </c>
      <c r="P25" s="47">
        <f t="shared" si="29"/>
        <v>14478.272600000011</v>
      </c>
      <c r="Q25" s="47">
        <f t="shared" si="29"/>
        <v>14478.272600000011</v>
      </c>
      <c r="R25" s="47">
        <f t="shared" si="29"/>
        <v>14478.272600000011</v>
      </c>
      <c r="S25" s="47">
        <f t="shared" si="29"/>
        <v>14478.272600000011</v>
      </c>
      <c r="T25" s="47">
        <f t="shared" si="29"/>
        <v>21709.309949999995</v>
      </c>
      <c r="U25" s="47">
        <f t="shared" si="29"/>
        <v>14478.272600000011</v>
      </c>
      <c r="V25" s="47">
        <f>SUM(J25:U25)</f>
        <v>183400.21294999996</v>
      </c>
      <c r="W25" s="48"/>
      <c r="X25" s="48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</row>
    <row r="26" spans="1:37" ht="18" customHeight="1" x14ac:dyDescent="0.25">
      <c r="A26" s="65" t="s">
        <v>111</v>
      </c>
      <c r="B26" s="65"/>
      <c r="C26" s="65"/>
      <c r="D26" s="65"/>
      <c r="E26" s="65"/>
      <c r="F26" s="65"/>
      <c r="G26" s="65"/>
      <c r="H26" s="65"/>
      <c r="I26" s="65"/>
      <c r="J26" s="50">
        <f t="shared" ref="J26:U26" si="30">SUM(J8:J22)</f>
        <v>70090.892499999987</v>
      </c>
      <c r="K26" s="50">
        <f t="shared" si="30"/>
        <v>70090.892499999987</v>
      </c>
      <c r="L26" s="50">
        <f t="shared" si="30"/>
        <v>70090.892499999987</v>
      </c>
      <c r="M26" s="50">
        <f t="shared" si="30"/>
        <v>70090.892499999987</v>
      </c>
      <c r="N26" s="50">
        <f t="shared" si="30"/>
        <v>70090.892499999987</v>
      </c>
      <c r="O26" s="50">
        <f t="shared" si="30"/>
        <v>101070.0775</v>
      </c>
      <c r="P26" s="50">
        <f t="shared" si="30"/>
        <v>72079.772600000011</v>
      </c>
      <c r="Q26" s="50">
        <f t="shared" si="30"/>
        <v>72079.772600000011</v>
      </c>
      <c r="R26" s="50">
        <f t="shared" si="30"/>
        <v>72079.772600000011</v>
      </c>
      <c r="S26" s="50">
        <f t="shared" si="30"/>
        <v>72079.772600000011</v>
      </c>
      <c r="T26" s="50">
        <f t="shared" si="30"/>
        <v>133952.30995</v>
      </c>
      <c r="U26" s="50">
        <f t="shared" si="30"/>
        <v>72079.772600000011</v>
      </c>
      <c r="V26" s="50">
        <f>SUM(J26:U26)</f>
        <v>945875.71295000007</v>
      </c>
      <c r="W26" s="51"/>
      <c r="X26" s="51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</sheetData>
  <mergeCells count="9">
    <mergeCell ref="A5:AK5"/>
    <mergeCell ref="A24:I24"/>
    <mergeCell ref="A25:I25"/>
    <mergeCell ref="A26:I26"/>
    <mergeCell ref="A1:AK1"/>
    <mergeCell ref="A2:AK2"/>
    <mergeCell ref="A3:B3"/>
    <mergeCell ref="E3:F3"/>
    <mergeCell ref="G3:I3"/>
  </mergeCells>
  <dataValidations count="1">
    <dataValidation type="whole" showErrorMessage="1" errorTitle="Ungültiges Jahr" error="Bitte ein Jahr zwischen 2020 und 2035 eingeben." sqref="C3" xr:uid="{00000000-0002-0000-0200-000000000000}">
      <formula1>2020</formula1>
      <formula2>2035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AA5B1"/>
    <pageSetUpPr fitToPage="1"/>
  </sheetPr>
  <dimension ref="A1:D48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42" customWidth="1"/>
    <col min="3" max="3" width="16" customWidth="1"/>
    <col min="4" max="4" width="30" customWidth="1"/>
  </cols>
  <sheetData>
    <row r="1" spans="1:4" ht="30" customHeight="1" x14ac:dyDescent="0.25">
      <c r="A1" s="14" t="s">
        <v>112</v>
      </c>
      <c r="B1" s="14"/>
      <c r="C1" s="14"/>
      <c r="D1" s="14"/>
    </row>
    <row r="2" spans="1:4" ht="18" customHeight="1" x14ac:dyDescent="0.25">
      <c r="A2" s="13" t="s">
        <v>113</v>
      </c>
      <c r="B2" s="13"/>
      <c r="C2" s="13"/>
      <c r="D2" s="13"/>
    </row>
    <row r="4" spans="1:4" ht="21.75" customHeight="1" x14ac:dyDescent="0.25">
      <c r="A4" s="8" t="s">
        <v>114</v>
      </c>
      <c r="B4" s="8"/>
      <c r="C4" s="8"/>
      <c r="D4" s="8"/>
    </row>
    <row r="5" spans="1:4" ht="15.75" customHeight="1" x14ac:dyDescent="0.25">
      <c r="B5" s="15" t="s">
        <v>115</v>
      </c>
      <c r="C5" s="15" t="s">
        <v>116</v>
      </c>
      <c r="D5" s="15" t="s">
        <v>117</v>
      </c>
    </row>
    <row r="6" spans="1:4" ht="15.75" customHeight="1" x14ac:dyDescent="0.25">
      <c r="B6" s="23" t="s">
        <v>118</v>
      </c>
      <c r="C6" s="53">
        <v>8.7499999999999994E-2</v>
      </c>
      <c r="D6" s="54" t="s">
        <v>119</v>
      </c>
    </row>
    <row r="7" spans="1:4" ht="15.75" customHeight="1" x14ac:dyDescent="0.25">
      <c r="B7" s="27" t="s">
        <v>120</v>
      </c>
      <c r="C7" s="53">
        <v>1.7999999999999999E-2</v>
      </c>
      <c r="D7" s="55" t="s">
        <v>121</v>
      </c>
    </row>
    <row r="8" spans="1:4" ht="15.75" customHeight="1" x14ac:dyDescent="0.25">
      <c r="B8" s="23" t="s">
        <v>122</v>
      </c>
      <c r="C8" s="53">
        <v>9.2999999999999999E-2</v>
      </c>
      <c r="D8" s="54" t="s">
        <v>123</v>
      </c>
    </row>
    <row r="9" spans="1:4" ht="15.75" customHeight="1" x14ac:dyDescent="0.25">
      <c r="B9" s="27" t="s">
        <v>124</v>
      </c>
      <c r="C9" s="53">
        <v>1.2999999999999999E-2</v>
      </c>
      <c r="D9" s="55" t="s">
        <v>125</v>
      </c>
    </row>
    <row r="10" spans="1:4" ht="15.75" customHeight="1" x14ac:dyDescent="0.25">
      <c r="B10" s="23" t="s">
        <v>126</v>
      </c>
      <c r="C10" s="53">
        <v>1.0999999999999999E-2</v>
      </c>
      <c r="D10" s="54" t="s">
        <v>127</v>
      </c>
    </row>
    <row r="11" spans="1:4" ht="15.75" customHeight="1" x14ac:dyDescent="0.25">
      <c r="B11" s="27" t="s">
        <v>128</v>
      </c>
      <c r="C11" s="53">
        <v>2.3999999999999998E-3</v>
      </c>
      <c r="D11" s="55" t="s">
        <v>129</v>
      </c>
    </row>
    <row r="12" spans="1:4" ht="15.75" customHeight="1" x14ac:dyDescent="0.25">
      <c r="B12" s="23" t="s">
        <v>130</v>
      </c>
      <c r="C12" s="53">
        <v>1.5E-3</v>
      </c>
      <c r="D12" s="54" t="s">
        <v>131</v>
      </c>
    </row>
    <row r="13" spans="1:4" ht="15.75" customHeight="1" x14ac:dyDescent="0.25">
      <c r="B13" s="27" t="s">
        <v>132</v>
      </c>
      <c r="C13" s="53">
        <v>1.2999999999999999E-2</v>
      </c>
      <c r="D13" s="55" t="s">
        <v>133</v>
      </c>
    </row>
    <row r="14" spans="1:4" ht="15.75" customHeight="1" x14ac:dyDescent="0.25">
      <c r="B14" s="56" t="s">
        <v>134</v>
      </c>
      <c r="C14" s="57">
        <f>SUM(C6:C13)</f>
        <v>0.23940000000000006</v>
      </c>
      <c r="D14" s="58"/>
    </row>
    <row r="16" spans="1:4" ht="21.75" customHeight="1" x14ac:dyDescent="0.25">
      <c r="A16" s="8" t="s">
        <v>135</v>
      </c>
      <c r="B16" s="8"/>
      <c r="C16" s="8"/>
      <c r="D16" s="8"/>
    </row>
    <row r="17" spans="1:4" ht="15.75" customHeight="1" x14ac:dyDescent="0.25">
      <c r="B17" s="15" t="s">
        <v>136</v>
      </c>
      <c r="C17" s="15" t="s">
        <v>137</v>
      </c>
      <c r="D17" s="15" t="s">
        <v>117</v>
      </c>
    </row>
    <row r="18" spans="1:4" ht="15.75" customHeight="1" x14ac:dyDescent="0.25">
      <c r="B18" s="23" t="s">
        <v>138</v>
      </c>
      <c r="C18" s="59">
        <v>5812.5</v>
      </c>
      <c r="D18" s="54" t="s">
        <v>139</v>
      </c>
    </row>
    <row r="19" spans="1:4" ht="15.75" customHeight="1" x14ac:dyDescent="0.25">
      <c r="B19" s="27" t="s">
        <v>140</v>
      </c>
      <c r="C19" s="59">
        <v>8450</v>
      </c>
      <c r="D19" s="55" t="s">
        <v>141</v>
      </c>
    </row>
    <row r="21" spans="1:4" ht="21.75" customHeight="1" x14ac:dyDescent="0.25">
      <c r="A21" s="8" t="s">
        <v>142</v>
      </c>
      <c r="B21" s="8"/>
      <c r="C21" s="8"/>
      <c r="D21" s="8"/>
    </row>
    <row r="22" spans="1:4" ht="15.75" customHeight="1" x14ac:dyDescent="0.25">
      <c r="B22" s="15" t="s">
        <v>143</v>
      </c>
      <c r="C22" s="15" t="s">
        <v>144</v>
      </c>
      <c r="D22" s="15" t="s">
        <v>117</v>
      </c>
    </row>
    <row r="23" spans="1:4" ht="15.75" customHeight="1" x14ac:dyDescent="0.25">
      <c r="B23" s="23" t="s">
        <v>145</v>
      </c>
      <c r="C23" s="53">
        <v>0.13</v>
      </c>
      <c r="D23" s="54" t="s">
        <v>146</v>
      </c>
    </row>
    <row r="24" spans="1:4" ht="15.75" customHeight="1" x14ac:dyDescent="0.25">
      <c r="B24" s="27" t="s">
        <v>147</v>
      </c>
      <c r="C24" s="53">
        <v>0.15</v>
      </c>
      <c r="D24" s="55" t="s">
        <v>148</v>
      </c>
    </row>
    <row r="25" spans="1:4" ht="15.75" customHeight="1" x14ac:dyDescent="0.25">
      <c r="B25" s="23" t="s">
        <v>149</v>
      </c>
      <c r="C25" s="53">
        <v>0.02</v>
      </c>
      <c r="D25" s="54" t="s">
        <v>150</v>
      </c>
    </row>
    <row r="26" spans="1:4" ht="15.75" customHeight="1" x14ac:dyDescent="0.25">
      <c r="B26" s="27" t="s">
        <v>151</v>
      </c>
      <c r="C26" s="59">
        <v>603</v>
      </c>
      <c r="D26" s="55" t="s">
        <v>152</v>
      </c>
    </row>
    <row r="28" spans="1:4" ht="21.75" customHeight="1" x14ac:dyDescent="0.25">
      <c r="A28" s="8" t="s">
        <v>153</v>
      </c>
      <c r="B28" s="8"/>
      <c r="C28" s="8"/>
      <c r="D28" s="8"/>
    </row>
    <row r="29" spans="1:4" ht="15.75" customHeight="1" x14ac:dyDescent="0.25">
      <c r="B29" s="15" t="s">
        <v>35</v>
      </c>
      <c r="C29" s="15" t="s">
        <v>154</v>
      </c>
      <c r="D29" s="15" t="s">
        <v>117</v>
      </c>
    </row>
    <row r="30" spans="1:4" ht="15.75" customHeight="1" x14ac:dyDescent="0.25">
      <c r="B30" s="23" t="s">
        <v>155</v>
      </c>
      <c r="C30" s="53">
        <v>0.5</v>
      </c>
      <c r="D30" s="54" t="s">
        <v>156</v>
      </c>
    </row>
    <row r="31" spans="1:4" ht="15.75" customHeight="1" x14ac:dyDescent="0.25">
      <c r="B31" s="27" t="s">
        <v>157</v>
      </c>
      <c r="C31" s="60">
        <v>6</v>
      </c>
      <c r="D31" s="55" t="s">
        <v>158</v>
      </c>
    </row>
    <row r="32" spans="1:4" ht="15.75" customHeight="1" x14ac:dyDescent="0.25">
      <c r="B32" s="23" t="s">
        <v>159</v>
      </c>
      <c r="C32" s="53">
        <v>1</v>
      </c>
      <c r="D32" s="54" t="s">
        <v>156</v>
      </c>
    </row>
    <row r="33" spans="1:4" ht="15.75" customHeight="1" x14ac:dyDescent="0.25">
      <c r="B33" s="27" t="s">
        <v>160</v>
      </c>
      <c r="C33" s="60">
        <v>11</v>
      </c>
      <c r="D33" s="55" t="s">
        <v>161</v>
      </c>
    </row>
    <row r="35" spans="1:4" ht="21.75" customHeight="1" x14ac:dyDescent="0.25">
      <c r="A35" s="8" t="s">
        <v>162</v>
      </c>
      <c r="B35" s="8"/>
      <c r="C35" s="8"/>
      <c r="D35" s="8"/>
    </row>
    <row r="36" spans="1:4" ht="15.75" customHeight="1" x14ac:dyDescent="0.25">
      <c r="B36" s="15" t="s">
        <v>35</v>
      </c>
      <c r="C36" s="15" t="s">
        <v>154</v>
      </c>
      <c r="D36" s="15" t="s">
        <v>117</v>
      </c>
    </row>
    <row r="37" spans="1:4" ht="15.75" customHeight="1" x14ac:dyDescent="0.25">
      <c r="B37" s="23" t="s">
        <v>163</v>
      </c>
      <c r="C37" s="53">
        <v>0.03</v>
      </c>
      <c r="D37" s="54" t="s">
        <v>164</v>
      </c>
    </row>
    <row r="38" spans="1:4" ht="15.75" customHeight="1" x14ac:dyDescent="0.25">
      <c r="B38" s="27" t="s">
        <v>165</v>
      </c>
      <c r="C38" s="60">
        <v>7</v>
      </c>
      <c r="D38" s="55" t="s">
        <v>166</v>
      </c>
    </row>
    <row r="40" spans="1:4" ht="21.75" customHeight="1" x14ac:dyDescent="0.25">
      <c r="A40" s="8" t="s">
        <v>167</v>
      </c>
      <c r="B40" s="8"/>
      <c r="C40" s="8"/>
      <c r="D40" s="8"/>
    </row>
    <row r="41" spans="1:4" ht="30" customHeight="1" x14ac:dyDescent="0.25">
      <c r="A41" s="61"/>
      <c r="B41" s="66" t="s">
        <v>168</v>
      </c>
      <c r="C41" s="66"/>
      <c r="D41" s="66"/>
    </row>
    <row r="42" spans="1:4" ht="4.5" customHeight="1" x14ac:dyDescent="0.25"/>
    <row r="43" spans="1:4" ht="30" customHeight="1" x14ac:dyDescent="0.25">
      <c r="A43" s="62"/>
      <c r="B43" s="66" t="s">
        <v>169</v>
      </c>
      <c r="C43" s="66"/>
      <c r="D43" s="66"/>
    </row>
    <row r="45" spans="1:4" ht="15" customHeight="1" x14ac:dyDescent="0.25">
      <c r="A45" s="67" t="s">
        <v>170</v>
      </c>
      <c r="B45" s="67"/>
      <c r="C45" s="67"/>
      <c r="D45" s="67"/>
    </row>
    <row r="46" spans="1:4" x14ac:dyDescent="0.25">
      <c r="A46" s="67"/>
      <c r="B46" s="67"/>
      <c r="C46" s="67"/>
      <c r="D46" s="67"/>
    </row>
    <row r="47" spans="1:4" x14ac:dyDescent="0.25">
      <c r="A47" s="67"/>
      <c r="B47" s="67"/>
      <c r="C47" s="67"/>
      <c r="D47" s="67"/>
    </row>
    <row r="48" spans="1:4" x14ac:dyDescent="0.25">
      <c r="A48" s="67"/>
      <c r="B48" s="67"/>
      <c r="C48" s="67"/>
      <c r="D48" s="67"/>
    </row>
  </sheetData>
  <mergeCells count="11">
    <mergeCell ref="A45:D48"/>
    <mergeCell ref="A28:D28"/>
    <mergeCell ref="A35:D35"/>
    <mergeCell ref="A40:D40"/>
    <mergeCell ref="B41:D41"/>
    <mergeCell ref="B43:D43"/>
    <mergeCell ref="A1:D1"/>
    <mergeCell ref="A2:D2"/>
    <mergeCell ref="A4:D4"/>
    <mergeCell ref="A16:D16"/>
    <mergeCell ref="A21:D21"/>
  </mergeCell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21</vt:i4>
      </vt:variant>
    </vt:vector>
  </HeadingPairs>
  <TitlesOfParts>
    <vt:vector size="25" baseType="lpstr">
      <vt:lpstr>Übersicht</vt:lpstr>
      <vt:lpstr>Mitarbeiterstamm</vt:lpstr>
      <vt:lpstr>Kostenplanung</vt:lpstr>
      <vt:lpstr>Faktoren</vt:lpstr>
      <vt:lpstr>BBG_KVPV</vt:lpstr>
      <vt:lpstr>BBG_RVAV</vt:lpstr>
      <vt:lpstr>Kostenplanung!Drucktitel</vt:lpstr>
      <vt:lpstr>Geringfuegigkeit</vt:lpstr>
      <vt:lpstr>MJ_KV</vt:lpstr>
      <vt:lpstr>MJ_RV</vt:lpstr>
      <vt:lpstr>MJ_ST</vt:lpstr>
      <vt:lpstr>Satz_AV</vt:lpstr>
      <vt:lpstr>Satz_BG</vt:lpstr>
      <vt:lpstr>Satz_Insolvenz</vt:lpstr>
      <vt:lpstr>Satz_KV</vt:lpstr>
      <vt:lpstr>Satz_PV</vt:lpstr>
      <vt:lpstr>Satz_RV</vt:lpstr>
      <vt:lpstr>Satz_U1</vt:lpstr>
      <vt:lpstr>Satz_U2</vt:lpstr>
      <vt:lpstr>Steig_Monat</vt:lpstr>
      <vt:lpstr>Steig_Satz</vt:lpstr>
      <vt:lpstr>UG_Monat</vt:lpstr>
      <vt:lpstr>UG_Satz</vt:lpstr>
      <vt:lpstr>WG_Monat</vt:lpstr>
      <vt:lpstr>WG_Satz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Personalkostenplanung – Vorlage 2026</dc:title>
  <dc:subject>Personalkostenplanung</dc:subject>
  <dc:creator>Birkental Technik GmbH</dc:creator>
  <dc:description/>
  <cp:lastModifiedBy>Sergio Jiménez Canales</cp:lastModifiedBy>
  <cp:revision>1</cp:revision>
  <dcterms:created xsi:type="dcterms:W3CDTF">2026-06-30T13:34:25Z</dcterms:created>
  <dcterms:modified xsi:type="dcterms:W3CDTF">2026-06-30T14:28:18Z</dcterms:modified>
  <dc:language>en-US</dc:language>
</cp:coreProperties>
</file>