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EB55E3C-574B-4844-82B4-D3590091B65E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Parameter" sheetId="1" r:id="rId1"/>
    <sheet name="Personalplanung" sheetId="2" r:id="rId2"/>
    <sheet name="Auswertun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3" l="1"/>
  <c r="C17" i="3"/>
  <c r="C16" i="3"/>
  <c r="C15" i="3"/>
  <c r="C14" i="3"/>
  <c r="C13" i="3"/>
  <c r="C19" i="3" s="1"/>
  <c r="E5" i="3"/>
  <c r="B5" i="3"/>
  <c r="R19" i="2"/>
  <c r="N19" i="2"/>
  <c r="M19" i="2"/>
  <c r="K18" i="2"/>
  <c r="L18" i="2" s="1"/>
  <c r="O18" i="2" s="1"/>
  <c r="I18" i="2"/>
  <c r="K17" i="2"/>
  <c r="L17" i="2" s="1"/>
  <c r="O17" i="2" s="1"/>
  <c r="I17" i="2"/>
  <c r="K16" i="2"/>
  <c r="L16" i="2" s="1"/>
  <c r="O16" i="2" s="1"/>
  <c r="I16" i="2"/>
  <c r="L15" i="2"/>
  <c r="O15" i="2" s="1"/>
  <c r="K15" i="2"/>
  <c r="I15" i="2"/>
  <c r="K14" i="2"/>
  <c r="L14" i="2" s="1"/>
  <c r="O14" i="2" s="1"/>
  <c r="I14" i="2"/>
  <c r="K13" i="2"/>
  <c r="L13" i="2" s="1"/>
  <c r="O13" i="2" s="1"/>
  <c r="I13" i="2"/>
  <c r="K12" i="2"/>
  <c r="L12" i="2" s="1"/>
  <c r="O12" i="2" s="1"/>
  <c r="I12" i="2"/>
  <c r="K11" i="2"/>
  <c r="L11" i="2" s="1"/>
  <c r="O11" i="2" s="1"/>
  <c r="I11" i="2"/>
  <c r="K10" i="2"/>
  <c r="I10" i="2"/>
  <c r="L10" i="2" s="1"/>
  <c r="O10" i="2" s="1"/>
  <c r="K9" i="2"/>
  <c r="L9" i="2" s="1"/>
  <c r="O9" i="2" s="1"/>
  <c r="I9" i="2"/>
  <c r="K8" i="2"/>
  <c r="L8" i="2" s="1"/>
  <c r="O8" i="2" s="1"/>
  <c r="I8" i="2"/>
  <c r="K7" i="2"/>
  <c r="L7" i="2" s="1"/>
  <c r="O7" i="2" s="1"/>
  <c r="I7" i="2"/>
  <c r="K6" i="2"/>
  <c r="L6" i="2" s="1"/>
  <c r="O6" i="2" s="1"/>
  <c r="I6" i="2"/>
  <c r="K5" i="2"/>
  <c r="I5" i="2"/>
  <c r="G17" i="1"/>
  <c r="Q17" i="2" l="1"/>
  <c r="S17" i="2" s="1"/>
  <c r="T17" i="2" s="1"/>
  <c r="Q8" i="2"/>
  <c r="E15" i="3" s="1"/>
  <c r="D15" i="3"/>
  <c r="Q11" i="2"/>
  <c r="S11" i="2" s="1"/>
  <c r="T11" i="2" s="1"/>
  <c r="Q7" i="2"/>
  <c r="S7" i="2" s="1"/>
  <c r="T7" i="2" s="1"/>
  <c r="Q10" i="2"/>
  <c r="E16" i="3" s="1"/>
  <c r="D16" i="3"/>
  <c r="S10" i="2"/>
  <c r="D17" i="3"/>
  <c r="S12" i="2"/>
  <c r="Q12" i="2"/>
  <c r="E17" i="3" s="1"/>
  <c r="D18" i="3"/>
  <c r="Q15" i="2"/>
  <c r="E18" i="3" s="1"/>
  <c r="Q16" i="2"/>
  <c r="S16" i="2" s="1"/>
  <c r="T16" i="2" s="1"/>
  <c r="Q9" i="2"/>
  <c r="S9" i="2" s="1"/>
  <c r="T9" i="2" s="1"/>
  <c r="Q13" i="2"/>
  <c r="S13" i="2"/>
  <c r="T13" i="2" s="1"/>
  <c r="Q6" i="2"/>
  <c r="E14" i="3" s="1"/>
  <c r="D14" i="3"/>
  <c r="S6" i="2"/>
  <c r="Q18" i="2"/>
  <c r="S18" i="2" s="1"/>
  <c r="T18" i="2" s="1"/>
  <c r="Q14" i="2"/>
  <c r="S14" i="2" s="1"/>
  <c r="T14" i="2" s="1"/>
  <c r="T10" i="2"/>
  <c r="L5" i="2"/>
  <c r="O5" i="2" l="1"/>
  <c r="L19" i="2"/>
  <c r="F16" i="3"/>
  <c r="F17" i="3"/>
  <c r="T12" i="2"/>
  <c r="T6" i="2"/>
  <c r="F14" i="3"/>
  <c r="S8" i="2"/>
  <c r="S15" i="2"/>
  <c r="F18" i="3" l="1"/>
  <c r="T15" i="2"/>
  <c r="T8" i="2"/>
  <c r="F15" i="3"/>
  <c r="D13" i="3"/>
  <c r="D19" i="3" s="1"/>
  <c r="Q5" i="2"/>
  <c r="S5" i="2" s="1"/>
  <c r="O19" i="2"/>
  <c r="E8" i="3" s="1"/>
  <c r="C34" i="3" l="1"/>
  <c r="C33" i="3"/>
  <c r="C32" i="3"/>
  <c r="F13" i="3"/>
  <c r="F19" i="3" s="1"/>
  <c r="C31" i="3"/>
  <c r="C30" i="3"/>
  <c r="C29" i="3"/>
  <c r="C28" i="3"/>
  <c r="C27" i="3"/>
  <c r="C26" i="3"/>
  <c r="C25" i="3"/>
  <c r="C24" i="3"/>
  <c r="C23" i="3"/>
  <c r="S19" i="2"/>
  <c r="T5" i="2"/>
  <c r="E13" i="3"/>
  <c r="E19" i="3" s="1"/>
  <c r="Q19" i="2"/>
  <c r="I8" i="3" s="1"/>
  <c r="B8" i="3" l="1"/>
  <c r="I5" i="3"/>
  <c r="T19" i="2"/>
  <c r="G17" i="3"/>
  <c r="G13" i="3"/>
  <c r="G16" i="3"/>
  <c r="G19" i="3"/>
  <c r="G15" i="3"/>
  <c r="G18" i="3"/>
  <c r="G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11" authorId="0" shapeId="0" xr:uid="{00000000-0006-0000-0000-000001000000}">
      <text>
        <r>
          <rPr>
            <sz val="10"/>
            <rFont val="Arial"/>
            <family val="2"/>
          </rPr>
          <t>Allg. KV-Satz 14,6 % zzgl. durchschn. Zusatzbeitrag 2,9 % – Arbeitgeberanteil = Hälfte ≈ 8,75 %.</t>
        </r>
      </text>
    </comment>
    <comment ref="G16" authorId="0" shapeId="0" xr:uid="{00000000-0006-0000-0000-000002000000}">
      <text>
        <r>
          <rPr>
            <sz val="10"/>
            <rFont val="Arial"/>
            <family val="2"/>
          </rPr>
          <t>Branchenabhängiger Beitrag der Berufsgenossenschaft – bitte individuell anpassen.</t>
        </r>
      </text>
    </comment>
  </commentList>
</comments>
</file>

<file path=xl/sharedStrings.xml><?xml version="1.0" encoding="utf-8"?>
<sst xmlns="http://schemas.openxmlformats.org/spreadsheetml/2006/main" count="155" uniqueCount="118">
  <si>
    <t>PERSONALKOSTENPLANUNG  ·  PARAMETER &amp; ANNAHMEN</t>
  </si>
  <si>
    <t>Zentrale Stellschrauben für die Jahresplanung – hier gepflegte Werte steuern die Berechnungen in allen Tabellenblättern.</t>
  </si>
  <si>
    <t>ALLGEMEIN</t>
  </si>
  <si>
    <t>Planungsjahr</t>
  </si>
  <si>
    <t>Unternehmen (Beispiel)</t>
  </si>
  <si>
    <t>Muster GmbH</t>
  </si>
  <si>
    <t>ARBEITGEBERANTEILE SOZIALVERSICHERUNG 2026</t>
  </si>
  <si>
    <t>Rentenversicherung (RV)</t>
  </si>
  <si>
    <t>Arbeitslosenversicherung (ALV)</t>
  </si>
  <si>
    <t>Krankenversicherung (KV, inkl. ½ Zusatzbeitrag)</t>
  </si>
  <si>
    <t>Pflegeversicherung (PV)</t>
  </si>
  <si>
    <t>Umlage U1 (Entgeltfortzahlung, kassenabh.)</t>
  </si>
  <si>
    <t>Umlage U2 (Mutterschaft)</t>
  </si>
  <si>
    <t>Insolvenzgeldumlage (U3)</t>
  </si>
  <si>
    <t>Berufsgenossenschaft (Unfallvers., branchenabh.)</t>
  </si>
  <si>
    <t>Arbeitgeberfaktor gesamt</t>
  </si>
  <si>
    <t>Hinweis: vereinfachte Pauschalbetrachtung ohne Beitragsbemessungsgrenze (BBG 2026: KV/PV 5.812,50 €/Mon., RV/ALV 8.450 €/Mon.). Für Sonderfälle (Minijob, Werkstudent, Azubi) den individuellen AG-Faktor je Person in der Personalplanung pflegen.</t>
  </si>
  <si>
    <t>STAMMLISTEN (für Auswahlfelder)</t>
  </si>
  <si>
    <t>Abteilungen</t>
  </si>
  <si>
    <t>Beschäftigungsart</t>
  </si>
  <si>
    <t>Geschäftsführung</t>
  </si>
  <si>
    <t>Vollzeit</t>
  </si>
  <si>
    <t>Vertrieb</t>
  </si>
  <si>
    <t>Teilzeit</t>
  </si>
  <si>
    <t>Marketing</t>
  </si>
  <si>
    <t>Minijob</t>
  </si>
  <si>
    <t>Verwaltung</t>
  </si>
  <si>
    <t>Werkstudent</t>
  </si>
  <si>
    <t>Produktion</t>
  </si>
  <si>
    <t>Auszubildende</t>
  </si>
  <si>
    <t>IT</t>
  </si>
  <si>
    <t>LEGENDE</t>
  </si>
  <si>
    <t>123 €</t>
  </si>
  <si>
    <t>Eingabefeld (anpassbar)</t>
  </si>
  <si>
    <t>Berechnetes Feld (Formel)</t>
  </si>
  <si>
    <t>Summen / Kennzahlen</t>
  </si>
  <si>
    <t>PERSONALKOSTENPLANUNG  ·  GESCHÄFTSJAHR 2026</t>
  </si>
  <si>
    <t>Eine Zeile je Person · blaue Felder ausfüllen · Arbeitgeberkosten und Summen werden automatisch berechnet · Werte =('Muster GmbH', Beispieldaten – bitte ersetzen)</t>
  </si>
  <si>
    <t>Nr.</t>
  </si>
  <si>
    <t>Mitarbeiter/in</t>
  </si>
  <si>
    <t>Abteilung</t>
  </si>
  <si>
    <t>Position</t>
  </si>
  <si>
    <t>Beschäfti-
gungsart</t>
  </si>
  <si>
    <t>Beschäfti-
gungsgrad</t>
  </si>
  <si>
    <t>Eintritt
(Monat)</t>
  </si>
  <si>
    <t>Austritt
(Monat)</t>
  </si>
  <si>
    <t>Aktive
Monate</t>
  </si>
  <si>
    <t>Monats-
brutto VZ</t>
  </si>
  <si>
    <t>Monats-
brutto eff.</t>
  </si>
  <si>
    <t>Jahres-
grundgehalt</t>
  </si>
  <si>
    <t>Sonder-
zahlungen</t>
  </si>
  <si>
    <t>Variable
Vergütung</t>
  </si>
  <si>
    <t>Brutto-
jahreslohn</t>
  </si>
  <si>
    <t>AG-Faktor
(optional)</t>
  </si>
  <si>
    <t>Arbeitgeber-
kosten SV</t>
  </si>
  <si>
    <t>Weitere
AG-Kosten</t>
  </si>
  <si>
    <t>Gesamtkosten
Arbeitgeber</t>
  </si>
  <si>
    <t>Ø Kosten
/ Monat</t>
  </si>
  <si>
    <t>Andrea Hoffmann</t>
  </si>
  <si>
    <t>Geschäftsführerin</t>
  </si>
  <si>
    <t>Markus Brandt</t>
  </si>
  <si>
    <t>Vertriebsleiter</t>
  </si>
  <si>
    <t>Sabine Vogel</t>
  </si>
  <si>
    <t>Account Managerin</t>
  </si>
  <si>
    <t>Thomas Köhler</t>
  </si>
  <si>
    <t>Marketingleiter</t>
  </si>
  <si>
    <t>Lena Wagner</t>
  </si>
  <si>
    <t>Online-Marketing-Managerin</t>
  </si>
  <si>
    <t>Julia Becker</t>
  </si>
  <si>
    <t>Buchhalterin</t>
  </si>
  <si>
    <t>Peter Schulz</t>
  </si>
  <si>
    <t>HR-Referent</t>
  </si>
  <si>
    <t>Michael Frank</t>
  </si>
  <si>
    <t>Produktionsleiter</t>
  </si>
  <si>
    <t>Nadine Krüger</t>
  </si>
  <si>
    <t>Facharbeiterin</t>
  </si>
  <si>
    <t>Daniel Roth</t>
  </si>
  <si>
    <t>Facharbeiter</t>
  </si>
  <si>
    <t>Christian Lang</t>
  </si>
  <si>
    <t>Systemadministrator</t>
  </si>
  <si>
    <t>Sophie Wolf</t>
  </si>
  <si>
    <t>Werkstudentin</t>
  </si>
  <si>
    <t>Tim Schäfer</t>
  </si>
  <si>
    <t>Auszubildender</t>
  </si>
  <si>
    <t>Klaus Bauer</t>
  </si>
  <si>
    <t>Aushilfe</t>
  </si>
  <si>
    <t>SUMME / DURCHSCHNITT</t>
  </si>
  <si>
    <t>AUSWERTUNG &amp; KENNZAHLEN  ·  2026</t>
  </si>
  <si>
    <t>KENNZAHLEN AUF EINEN BLICK</t>
  </si>
  <si>
    <t>Mitarbeitende (Köpfe)</t>
  </si>
  <si>
    <t>Vollzeitäquivalente (FTE)</t>
  </si>
  <si>
    <t>Personalkosten gesamt / Jahr</t>
  </si>
  <si>
    <t>Ø Kosten je Mitarbeiter/Jahr</t>
  </si>
  <si>
    <t>Bruttolohnsumme / Jahr</t>
  </si>
  <si>
    <t>Arbeitgeberquote (Nebenkosten)</t>
  </si>
  <si>
    <t>PERSONALKOSTEN NACH ABTEILUNG</t>
  </si>
  <si>
    <t>Köpfe</t>
  </si>
  <si>
    <t>Bruttolohn</t>
  </si>
  <si>
    <t>AG-Kosten</t>
  </si>
  <si>
    <t>Gesamtkosten</t>
  </si>
  <si>
    <t>Anteil</t>
  </si>
  <si>
    <t>Gesamt</t>
  </si>
  <si>
    <t>KOSTENVERLAUF NACH MONAT</t>
  </si>
  <si>
    <t>Monat</t>
  </si>
  <si>
    <t>Personalkosten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</si>
  <si>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</si>
  <si>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</si>
  <si>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</si>
  <si>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</si>
  <si>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</si>
  <si>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</si>
  <si>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</si>
  <si>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</si>
  <si>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</si>
  <si>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</si>
  <si>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</si>
  <si>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</si>
  <si>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Monatswerte = anteilige Jahres-Gesamtkosten je aktivem Beschäftigungsmonat. Quelle der Beitragssätze: gesetzliche Sozialversicherung, Stand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</si>
</sst>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\ %"/>
    <numFmt numFmtId="165" formatCode="0.0\ %"/>
    <numFmt numFmtId="166" formatCode="#,##0&quot; €&quot;;\-#,##0&quot; €&quot;;\–"/>
    <numFmt numFmtId="167" formatCode="0.0"/>
  </numFmts>
  <fonts count="21" x14ac:knownFonts="1">
    <font>
      <sz val="11"/>
      <color theme="1"/>
      <name val="Calibri"/>
      <family val="2"/>
      <charset val="1"/>
    </font>
    <font>
      <i/>
      <sz val="9.5"/>
      <color rgb="FF6B6B6B"/>
      <name val="Calibri"/>
      <charset val="1"/>
    </font>
    <font>
      <b/>
      <sz val="11"/>
      <color rgb="FFFFFFFF"/>
      <name val="Calibri"/>
      <charset val="1"/>
    </font>
    <font>
      <sz val="11"/>
      <color rgb="FF262128"/>
      <name val="Calibri"/>
      <charset val="1"/>
    </font>
    <font>
      <sz val="11"/>
      <color rgb="FF0000FF"/>
      <name val="Calibri"/>
      <charset val="1"/>
    </font>
    <font>
      <b/>
      <sz val="11"/>
      <color rgb="FF262128"/>
      <name val="Calibri"/>
      <charset val="1"/>
    </font>
    <font>
      <b/>
      <sz val="11"/>
      <color rgb="FF2F2236"/>
      <name val="Calibri"/>
      <charset val="1"/>
    </font>
    <font>
      <i/>
      <sz val="8.5"/>
      <color rgb="FF7A7A7A"/>
      <name val="Calibri"/>
      <charset val="1"/>
    </font>
    <font>
      <b/>
      <sz val="10"/>
      <color rgb="FFFFFFFF"/>
      <name val="Calibri"/>
      <charset val="1"/>
    </font>
    <font>
      <sz val="10"/>
      <color rgb="FF262128"/>
      <name val="Calibri"/>
      <charset val="1"/>
    </font>
    <font>
      <b/>
      <sz val="10"/>
      <color rgb="FF0000FF"/>
      <name val="Calibri"/>
      <charset val="1"/>
    </font>
    <font>
      <b/>
      <sz val="10"/>
      <color rgb="FF262128"/>
      <name val="Calibri"/>
      <charset val="1"/>
    </font>
    <font>
      <b/>
      <sz val="10"/>
      <color rgb="FF2F2236"/>
      <name val="Calibri"/>
      <charset val="1"/>
    </font>
    <font>
      <sz val="10"/>
      <name val="Arial"/>
      <family val="2"/>
    </font>
    <font>
      <b/>
      <sz val="16"/>
      <color rgb="FFFFFFFF"/>
      <name val="Calibri"/>
      <charset val="1"/>
    </font>
    <font>
      <b/>
      <sz val="9.5"/>
      <color rgb="FFFFFFFF"/>
      <name val="Calibri"/>
      <charset val="1"/>
    </font>
    <font>
      <sz val="10"/>
      <color rgb="FF0000FF"/>
      <name val="Calibri"/>
      <charset val="1"/>
    </font>
    <font>
      <b/>
      <sz val="10.5"/>
      <color rgb="FFFFFFFF"/>
      <name val="Calibri"/>
      <charset val="1"/>
    </font>
    <font>
      <b/>
      <sz val="9.5"/>
      <color rgb="FF2F2236"/>
      <name val="Calibri"/>
      <charset val="1"/>
    </font>
    <font>
      <b/>
      <sz val="17"/>
      <color rgb="FF46344E"/>
      <name val="Calibri"/>
      <charset val="1"/>
    </font>
    <font>
      <b/>
      <sz val="20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46344E"/>
        <bgColor rgb="FF2F2236"/>
      </patternFill>
    </fill>
    <fill>
      <patternFill patternType="solid">
        <fgColor rgb="FFC77B43"/>
        <bgColor rgb="FF8C7E6E"/>
      </patternFill>
    </fill>
    <fill>
      <patternFill patternType="solid">
        <fgColor rgb="FFF6F1EB"/>
        <bgColor rgb="FFFBF8F4"/>
      </patternFill>
    </fill>
    <fill>
      <patternFill patternType="solid">
        <fgColor rgb="FFEFE0D2"/>
        <bgColor rgb="FFD9D9D9"/>
      </patternFill>
    </fill>
    <fill>
      <patternFill patternType="solid">
        <fgColor rgb="FFFFFFFF"/>
        <bgColor rgb="FFF9F9F9"/>
      </patternFill>
    </fill>
    <fill>
      <patternFill patternType="solid">
        <fgColor rgb="FFFBF8F4"/>
        <bgColor rgb="FFF9F9F9"/>
      </patternFill>
    </fill>
    <fill>
      <patternFill patternType="solid">
        <fgColor rgb="FF2F2236"/>
        <bgColor rgb="FF262128"/>
      </patternFill>
    </fill>
  </fills>
  <borders count="5">
    <border>
      <left/>
      <right/>
      <top/>
      <bottom/>
      <diagonal/>
    </border>
    <border>
      <left style="thin">
        <color rgb="FFC9BEB1"/>
      </left>
      <right style="thin">
        <color rgb="FFC9BEB1"/>
      </right>
      <top style="thin">
        <color rgb="FFC9BEB1"/>
      </top>
      <bottom style="thin">
        <color rgb="FFC9BEB1"/>
      </bottom>
      <diagonal/>
    </border>
    <border>
      <left style="thin">
        <color rgb="FFC9BEB1"/>
      </left>
      <right style="thin">
        <color rgb="FFC9BEB1"/>
      </right>
      <top style="medium">
        <color rgb="FF8C7E6E"/>
      </top>
      <bottom style="thin">
        <color rgb="FFC9BEB1"/>
      </bottom>
      <diagonal/>
    </border>
    <border>
      <left style="thin">
        <color rgb="FFC9BEB1"/>
      </left>
      <right style="thin">
        <color rgb="FFC9BEB1"/>
      </right>
      <top style="thin">
        <color rgb="FFC9BEB1"/>
      </top>
      <bottom/>
      <diagonal/>
    </border>
    <border>
      <left style="thin">
        <color rgb="FFC9BEB1"/>
      </left>
      <right style="thin">
        <color rgb="FFC9BEB1"/>
      </right>
      <top/>
      <bottom style="thin">
        <color rgb="FFC9BEB1"/>
      </bottom>
      <diagonal/>
    </border>
  </borders>
  <cellStyleXfs count="1">
    <xf numFmtId="0" fontId="0" fillId="0" borderId="0"/>
  </cellStyleXfs>
  <cellXfs count="49">
    <xf numFmtId="0" fontId="0" fillId="0" borderId="0" xfId="0"/>
    <xf numFmtId="167" fontId="19" fillId="6" borderId="4" xfId="0" applyNumberFormat="1" applyFont="1" applyFill="1" applyBorder="1" applyAlignment="1">
      <alignment horizontal="left" vertical="center" indent="1"/>
    </xf>
    <xf numFmtId="1" fontId="19" fillId="6" borderId="4" xfId="0" applyNumberFormat="1" applyFont="1" applyFill="1" applyBorder="1" applyAlignment="1">
      <alignment horizontal="left" vertical="center" indent="1"/>
    </xf>
    <xf numFmtId="0" fontId="18" fillId="5" borderId="3" xfId="0" applyFont="1" applyFill="1" applyBorder="1" applyAlignment="1">
      <alignment horizontal="left" vertical="center" indent="1"/>
    </xf>
    <xf numFmtId="0" fontId="17" fillId="8" borderId="2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5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1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6" fillId="5" borderId="2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1" fontId="16" fillId="4" borderId="1" xfId="0" applyNumberFormat="1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166" fontId="16" fillId="4" borderId="1" xfId="0" applyNumberFormat="1" applyFont="1" applyFill="1" applyBorder="1" applyAlignment="1">
      <alignment horizontal="right" vertical="center"/>
    </xf>
    <xf numFmtId="166" fontId="9" fillId="6" borderId="1" xfId="0" applyNumberFormat="1" applyFont="1" applyFill="1" applyBorder="1" applyAlignment="1">
      <alignment horizontal="right" vertical="center"/>
    </xf>
    <xf numFmtId="164" fontId="16" fillId="4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166" fontId="9" fillId="7" borderId="1" xfId="0" applyNumberFormat="1" applyFont="1" applyFill="1" applyBorder="1" applyAlignment="1">
      <alignment horizontal="right" vertical="center"/>
    </xf>
    <xf numFmtId="0" fontId="0" fillId="8" borderId="2" xfId="0" applyFill="1" applyBorder="1"/>
    <xf numFmtId="166" fontId="17" fillId="8" borderId="2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 wrapText="1"/>
    </xf>
    <xf numFmtId="165" fontId="9" fillId="6" borderId="1" xfId="0" applyNumberFormat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horizontal="left" vertical="center" wrapText="1"/>
    </xf>
    <xf numFmtId="165" fontId="9" fillId="7" borderId="1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66" fontId="12" fillId="5" borderId="2" xfId="0" applyNumberFormat="1" applyFont="1" applyFill="1" applyBorder="1" applyAlignment="1">
      <alignment horizontal="right" vertical="center"/>
    </xf>
    <xf numFmtId="165" fontId="12" fillId="5" borderId="2" xfId="0" applyNumberFormat="1" applyFont="1" applyFill="1" applyBorder="1" applyAlignment="1">
      <alignment horizontal="right" vertical="center"/>
    </xf>
    <xf numFmtId="166" fontId="19" fillId="6" borderId="4" xfId="0" applyNumberFormat="1" applyFont="1" applyFill="1" applyBorder="1" applyAlignment="1">
      <alignment horizontal="left" vertical="center" indent="1"/>
    </xf>
    <xf numFmtId="165" fontId="19" fillId="6" borderId="4" xfId="0" applyNumberFormat="1" applyFont="1" applyFill="1" applyBorder="1" applyAlignment="1">
      <alignment horizontal="left" vertical="center" indent="1"/>
    </xf>
    <xf numFmtId="0" fontId="15" fillId="2" borderId="1" xfId="0" applyFont="1" applyFill="1" applyBorder="1" applyAlignment="1">
      <alignment horizontal="center" vertical="center" wrapText="1"/>
    </xf>
    <xf numFmtId="166" fontId="9" fillId="6" borderId="1" xfId="0" applyNumberFormat="1" applyFont="1" applyFill="1" applyBorder="1" applyAlignment="1">
      <alignment horizontal="right" vertical="center"/>
    </xf>
    <xf numFmtId="166" fontId="9" fillId="7" borderId="1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7E6E"/>
      <rgbColor rgb="FF800080"/>
      <rgbColor rgb="FF008080"/>
      <rgbColor rgb="FFC9BEB1"/>
      <rgbColor rgb="FF7A7A7A"/>
      <rgbColor rgb="FF9999FF"/>
      <rgbColor rgb="FF993366"/>
      <rgbColor rgb="FFFBF8F4"/>
      <rgbColor rgb="FFF9F9F9"/>
      <rgbColor rgb="FF660066"/>
      <rgbColor rgb="FFC77B43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1EB"/>
      <rgbColor rgb="FFCCFFCC"/>
      <rgbColor rgb="FFFFFF99"/>
      <rgbColor rgb="FF99CCFF"/>
      <rgbColor rgb="FFFF99CC"/>
      <rgbColor rgb="FFCC99FF"/>
      <rgbColor rgb="FFEFE0D2"/>
      <rgbColor rgb="FF3366FF"/>
      <rgbColor rgb="FF33CCCC"/>
      <rgbColor rgb="FF99CC00"/>
      <rgbColor rgb="FFFFCC00"/>
      <rgbColor rgb="FFFF9900"/>
      <rgbColor rgb="FFFF6600"/>
      <rgbColor rgb="FF6B6B6B"/>
      <rgbColor rgb="FF878787"/>
      <rgbColor rgb="FF003366"/>
      <rgbColor rgb="FF339966"/>
      <rgbColor rgb="FF003300"/>
      <rgbColor rgb="FF262128"/>
      <rgbColor rgb="FF993300"/>
      <rgbColor rgb="FF993366"/>
      <rgbColor rgb="FF46344E"/>
      <rgbColor rgb="FF2F22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Personalkosten je Monat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6344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Auswertung!$B$23:$B$34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Auswertung!$C$23:$C$34</c:f>
              <c:numCache>
                <c:formatCode>#,##0" €";\-#,##0" €";\–</c:formatCode>
                <c:ptCount val="12"/>
                <c:pt idx="0">
                  <c:v>69192.333333333314</c:v>
                </c:pt>
                <c:pt idx="1">
                  <c:v>69192.333333333314</c:v>
                </c:pt>
                <c:pt idx="2">
                  <c:v>74729.533333333326</c:v>
                </c:pt>
                <c:pt idx="3">
                  <c:v>74729.533333333326</c:v>
                </c:pt>
                <c:pt idx="4">
                  <c:v>74729.533333333326</c:v>
                </c:pt>
                <c:pt idx="5">
                  <c:v>74729.533333333326</c:v>
                </c:pt>
                <c:pt idx="6">
                  <c:v>74729.533333333326</c:v>
                </c:pt>
                <c:pt idx="7">
                  <c:v>74729.533333333326</c:v>
                </c:pt>
                <c:pt idx="8">
                  <c:v>74729.533333333326</c:v>
                </c:pt>
                <c:pt idx="9">
                  <c:v>70369.866666666654</c:v>
                </c:pt>
                <c:pt idx="10">
                  <c:v>70369.866666666654</c:v>
                </c:pt>
                <c:pt idx="11">
                  <c:v>70369.866666666654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7-40D3-820F-33E9BA2BD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283816"/>
        <c:axId val="56273318"/>
      </c:barChart>
      <c:catAx>
        <c:axId val="43283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6273318"/>
        <c:crosses val="autoZero"/>
        <c:auto val="1"/>
        <c:lblAlgn val="ctr"/>
        <c:lblOffset val="100"/>
        <c:noMultiLvlLbl val="0"/>
      </c:catAx>
      <c:valAx>
        <c:axId val="56273318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328381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Gesamtkosten nach Abteilung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C77B4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Auswertung!$B$13:$B$18</c:f>
              <c:strCache>
                <c:ptCount val="6"/>
                <c:pt idx="0">
                  <c:v>Geschäftsführung</c:v>
                </c:pt>
                <c:pt idx="1">
                  <c:v>Vertrieb</c:v>
                </c:pt>
                <c:pt idx="2">
                  <c:v>Marketing</c:v>
                </c:pt>
                <c:pt idx="3">
                  <c:v>Verwaltung</c:v>
                </c:pt>
                <c:pt idx="4">
                  <c:v>Produktion</c:v>
                </c:pt>
                <c:pt idx="5">
                  <c:v>IT</c:v>
                </c:pt>
              </c:strCache>
            </c:strRef>
          </c:cat>
          <c:val>
            <c:numRef>
              <c:f>Auswertung!$F$13:$F$18</c:f>
              <c:numCache>
                <c:formatCode>#,##0" €";\-#,##0" €";\–</c:formatCode>
                <c:ptCount val="6"/>
                <c:pt idx="0">
                  <c:v>153945</c:v>
                </c:pt>
                <c:pt idx="1">
                  <c:v>173196</c:v>
                </c:pt>
                <c:pt idx="2">
                  <c:v>131879</c:v>
                </c:pt>
                <c:pt idx="3">
                  <c:v>125060</c:v>
                </c:pt>
                <c:pt idx="4">
                  <c:v>194185</c:v>
                </c:pt>
                <c:pt idx="5">
                  <c:v>94336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C-4B30-825A-DDF80BC8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66415"/>
        <c:axId val="14750019"/>
      </c:barChart>
      <c:catAx>
        <c:axId val="16666415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4750019"/>
        <c:crosses val="autoZero"/>
        <c:auto val="1"/>
        <c:lblAlgn val="ctr"/>
        <c:lblOffset val="100"/>
        <c:noMultiLvlLbl val="0"/>
      </c:catAx>
      <c:valAx>
        <c:axId val="1475001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666641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15</xdr:col>
      <xdr:colOff>368640</xdr:colOff>
      <xdr:row>32</xdr:row>
      <xdr:rowOff>114840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35</xdr:row>
      <xdr:rowOff>0</xdr:rowOff>
    </xdr:from>
    <xdr:to>
      <xdr:col>15</xdr:col>
      <xdr:colOff>368640</xdr:colOff>
      <xdr:row>47</xdr:row>
      <xdr:rowOff>143640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4"/>
  <sheetViews>
    <sheetView showGridLines="0" tabSelected="1" zoomScaleNormal="100" workbookViewId="0">
      <selection activeCell="B1" sqref="B1:G1"/>
    </sheetView>
  </sheetViews>
  <sheetFormatPr baseColWidth="10" defaultColWidth="8.7109375" defaultRowHeight="15" x14ac:dyDescent="0.25"/>
  <cols>
    <col min="1" max="1" width="3" customWidth="1"/>
    <col min="2" max="2" width="34" customWidth="1"/>
    <col min="3" max="4" width="15" customWidth="1"/>
    <col min="5" max="5" width="3" customWidth="1"/>
    <col min="6" max="6" width="34" customWidth="1"/>
    <col min="7" max="7" width="16" customWidth="1"/>
  </cols>
  <sheetData>
    <row r="1" spans="2:7" ht="30" customHeight="1" x14ac:dyDescent="0.25">
      <c r="B1" s="48" t="s">
        <v>0</v>
      </c>
      <c r="C1" s="48"/>
      <c r="D1" s="48"/>
      <c r="E1" s="48"/>
      <c r="F1" s="48"/>
      <c r="G1" s="48"/>
    </row>
    <row r="2" spans="2:7" ht="15.75" customHeight="1" x14ac:dyDescent="0.25">
      <c r="B2" s="13" t="s">
        <v>1</v>
      </c>
      <c r="C2" s="13"/>
      <c r="D2" s="13"/>
      <c r="E2" s="13"/>
      <c r="F2" s="13"/>
      <c r="G2" s="13"/>
    </row>
    <row r="4" spans="2:7" ht="21.75" customHeight="1" x14ac:dyDescent="0.25">
      <c r="B4" s="12" t="s">
        <v>2</v>
      </c>
      <c r="C4" s="12"/>
      <c r="D4" s="12"/>
      <c r="E4" s="12"/>
      <c r="F4" s="12"/>
      <c r="G4" s="12"/>
    </row>
    <row r="5" spans="2:7" ht="15" customHeight="1" x14ac:dyDescent="0.25">
      <c r="B5" s="11" t="s">
        <v>3</v>
      </c>
      <c r="C5" s="11"/>
      <c r="D5" s="11"/>
      <c r="E5" s="11"/>
      <c r="F5" s="11"/>
      <c r="G5" s="14">
        <v>2026</v>
      </c>
    </row>
    <row r="6" spans="2:7" ht="15" customHeight="1" x14ac:dyDescent="0.25">
      <c r="B6" s="11" t="s">
        <v>4</v>
      </c>
      <c r="C6" s="11"/>
      <c r="D6" s="11"/>
      <c r="E6" s="11"/>
      <c r="F6" s="11"/>
      <c r="G6" s="15" t="s">
        <v>5</v>
      </c>
    </row>
    <row r="8" spans="2:7" ht="21.75" customHeight="1" x14ac:dyDescent="0.25">
      <c r="B8" s="12" t="s">
        <v>6</v>
      </c>
      <c r="C8" s="12"/>
      <c r="D8" s="12"/>
      <c r="E8" s="12"/>
      <c r="F8" s="12"/>
      <c r="G8" s="12"/>
    </row>
    <row r="9" spans="2:7" ht="15" customHeight="1" x14ac:dyDescent="0.25">
      <c r="B9" s="11" t="s">
        <v>7</v>
      </c>
      <c r="C9" s="11"/>
      <c r="D9" s="11"/>
      <c r="E9" s="11"/>
      <c r="F9" s="11"/>
      <c r="G9" s="16">
        <v>9.2999999999999999E-2</v>
      </c>
    </row>
    <row r="10" spans="2:7" ht="15" customHeight="1" x14ac:dyDescent="0.25">
      <c r="B10" s="11" t="s">
        <v>8</v>
      </c>
      <c r="C10" s="11"/>
      <c r="D10" s="11"/>
      <c r="E10" s="11"/>
      <c r="F10" s="11"/>
      <c r="G10" s="16">
        <v>1.2999999999999999E-2</v>
      </c>
    </row>
    <row r="11" spans="2:7" ht="15" customHeight="1" x14ac:dyDescent="0.25">
      <c r="B11" s="11" t="s">
        <v>9</v>
      </c>
      <c r="C11" s="11"/>
      <c r="D11" s="11"/>
      <c r="E11" s="11"/>
      <c r="F11" s="11"/>
      <c r="G11" s="16">
        <v>8.7499999999999994E-2</v>
      </c>
    </row>
    <row r="12" spans="2:7" ht="15" customHeight="1" x14ac:dyDescent="0.25">
      <c r="B12" s="11" t="s">
        <v>10</v>
      </c>
      <c r="C12" s="11"/>
      <c r="D12" s="11"/>
      <c r="E12" s="11"/>
      <c r="F12" s="11"/>
      <c r="G12" s="16">
        <v>1.7999999999999999E-2</v>
      </c>
    </row>
    <row r="13" spans="2:7" ht="15" customHeight="1" x14ac:dyDescent="0.25">
      <c r="B13" s="11" t="s">
        <v>11</v>
      </c>
      <c r="C13" s="11"/>
      <c r="D13" s="11"/>
      <c r="E13" s="11"/>
      <c r="F13" s="11"/>
      <c r="G13" s="16">
        <v>1.0999999999999999E-2</v>
      </c>
    </row>
    <row r="14" spans="2:7" ht="15" customHeight="1" x14ac:dyDescent="0.25">
      <c r="B14" s="11" t="s">
        <v>12</v>
      </c>
      <c r="C14" s="11"/>
      <c r="D14" s="11"/>
      <c r="E14" s="11"/>
      <c r="F14" s="11"/>
      <c r="G14" s="16">
        <v>5.0000000000000001E-3</v>
      </c>
    </row>
    <row r="15" spans="2:7" ht="15" customHeight="1" x14ac:dyDescent="0.25">
      <c r="B15" s="11" t="s">
        <v>13</v>
      </c>
      <c r="C15" s="11"/>
      <c r="D15" s="11"/>
      <c r="E15" s="11"/>
      <c r="F15" s="11"/>
      <c r="G15" s="16">
        <v>1.5E-3</v>
      </c>
    </row>
    <row r="16" spans="2:7" ht="15" customHeight="1" x14ac:dyDescent="0.25">
      <c r="B16" s="11" t="s">
        <v>14</v>
      </c>
      <c r="C16" s="11"/>
      <c r="D16" s="11"/>
      <c r="E16" s="11"/>
      <c r="F16" s="11"/>
      <c r="G16" s="16">
        <v>1.2999999999999999E-2</v>
      </c>
    </row>
    <row r="17" spans="2:7" ht="15" customHeight="1" x14ac:dyDescent="0.25">
      <c r="B17" s="10" t="s">
        <v>15</v>
      </c>
      <c r="C17" s="10"/>
      <c r="D17" s="10"/>
      <c r="E17" s="10"/>
      <c r="F17" s="10"/>
      <c r="G17" s="17">
        <f>SUM(G9:G16)</f>
        <v>0.24200000000000002</v>
      </c>
    </row>
    <row r="18" spans="2:7" ht="37.5" customHeight="1" x14ac:dyDescent="0.25">
      <c r="B18" s="9" t="s">
        <v>16</v>
      </c>
      <c r="C18" s="9"/>
      <c r="D18" s="9"/>
      <c r="E18" s="9"/>
      <c r="F18" s="9"/>
      <c r="G18" s="9"/>
    </row>
    <row r="22" spans="2:7" ht="21.75" customHeight="1" x14ac:dyDescent="0.25">
      <c r="B22" s="12" t="s">
        <v>17</v>
      </c>
      <c r="C22" s="12"/>
      <c r="D22" s="12"/>
      <c r="E22" s="12"/>
      <c r="F22" s="12"/>
      <c r="G22" s="12"/>
    </row>
    <row r="23" spans="2:7" ht="15" customHeight="1" x14ac:dyDescent="0.25">
      <c r="B23" s="8" t="s">
        <v>18</v>
      </c>
      <c r="C23" s="8"/>
      <c r="F23" s="8" t="s">
        <v>19</v>
      </c>
      <c r="G23" s="8"/>
    </row>
    <row r="24" spans="2:7" ht="15" customHeight="1" x14ac:dyDescent="0.25">
      <c r="B24" s="7" t="s">
        <v>20</v>
      </c>
      <c r="C24" s="7"/>
      <c r="F24" s="7" t="s">
        <v>21</v>
      </c>
      <c r="G24" s="7"/>
    </row>
    <row r="25" spans="2:7" ht="15" customHeight="1" x14ac:dyDescent="0.25">
      <c r="B25" s="7" t="s">
        <v>22</v>
      </c>
      <c r="C25" s="7"/>
      <c r="F25" s="7" t="s">
        <v>23</v>
      </c>
      <c r="G25" s="7"/>
    </row>
    <row r="26" spans="2:7" ht="15" customHeight="1" x14ac:dyDescent="0.25">
      <c r="B26" s="7" t="s">
        <v>24</v>
      </c>
      <c r="C26" s="7"/>
      <c r="F26" s="7" t="s">
        <v>25</v>
      </c>
      <c r="G26" s="7"/>
    </row>
    <row r="27" spans="2:7" ht="15" customHeight="1" x14ac:dyDescent="0.25">
      <c r="B27" s="7" t="s">
        <v>26</v>
      </c>
      <c r="C27" s="7"/>
      <c r="F27" s="7" t="s">
        <v>27</v>
      </c>
      <c r="G27" s="7"/>
    </row>
    <row r="28" spans="2:7" ht="15" customHeight="1" x14ac:dyDescent="0.25">
      <c r="B28" s="7" t="s">
        <v>28</v>
      </c>
      <c r="C28" s="7"/>
      <c r="F28" s="7" t="s">
        <v>29</v>
      </c>
      <c r="G28" s="7"/>
    </row>
    <row r="29" spans="2:7" ht="15" customHeight="1" x14ac:dyDescent="0.25">
      <c r="B29" s="7" t="s">
        <v>30</v>
      </c>
      <c r="C29" s="7"/>
    </row>
    <row r="31" spans="2:7" ht="21.75" customHeight="1" x14ac:dyDescent="0.25">
      <c r="B31" s="12" t="s">
        <v>31</v>
      </c>
      <c r="C31" s="12"/>
      <c r="D31" s="12"/>
      <c r="E31" s="12"/>
      <c r="F31" s="12"/>
      <c r="G31" s="12"/>
    </row>
    <row r="32" spans="2:7" ht="15" customHeight="1" x14ac:dyDescent="0.25">
      <c r="B32" s="18" t="s">
        <v>32</v>
      </c>
      <c r="C32" s="6" t="s">
        <v>33</v>
      </c>
      <c r="D32" s="6"/>
      <c r="E32" s="6"/>
      <c r="F32" s="6"/>
      <c r="G32" s="6"/>
    </row>
    <row r="33" spans="2:7" ht="15" customHeight="1" x14ac:dyDescent="0.25">
      <c r="B33" s="19" t="s">
        <v>32</v>
      </c>
      <c r="C33" s="6" t="s">
        <v>34</v>
      </c>
      <c r="D33" s="6"/>
      <c r="E33" s="6"/>
      <c r="F33" s="6"/>
      <c r="G33" s="6"/>
    </row>
    <row r="34" spans="2:7" ht="15" customHeight="1" x14ac:dyDescent="0.25">
      <c r="B34" s="20" t="s">
        <v>32</v>
      </c>
      <c r="C34" s="6" t="s">
        <v>35</v>
      </c>
      <c r="D34" s="6"/>
      <c r="E34" s="6"/>
      <c r="F34" s="6"/>
      <c r="G34" s="6"/>
    </row>
  </sheetData>
  <mergeCells count="34">
    <mergeCell ref="C33:G33"/>
    <mergeCell ref="C34:G34"/>
    <mergeCell ref="B28:C28"/>
    <mergeCell ref="F28:G28"/>
    <mergeCell ref="B29:C29"/>
    <mergeCell ref="B31:G31"/>
    <mergeCell ref="C32:G32"/>
    <mergeCell ref="B25:C25"/>
    <mergeCell ref="F25:G25"/>
    <mergeCell ref="B26:C26"/>
    <mergeCell ref="F26:G26"/>
    <mergeCell ref="B27:C27"/>
    <mergeCell ref="F27:G27"/>
    <mergeCell ref="B18:G18"/>
    <mergeCell ref="B22:G22"/>
    <mergeCell ref="B23:C23"/>
    <mergeCell ref="F23:G23"/>
    <mergeCell ref="B24:C24"/>
    <mergeCell ref="F24:G24"/>
    <mergeCell ref="B13:F13"/>
    <mergeCell ref="B14:F14"/>
    <mergeCell ref="B15:F15"/>
    <mergeCell ref="B16:F16"/>
    <mergeCell ref="B17:F17"/>
    <mergeCell ref="B8:G8"/>
    <mergeCell ref="B9:F9"/>
    <mergeCell ref="B10:F10"/>
    <mergeCell ref="B11:F11"/>
    <mergeCell ref="B12:F12"/>
    <mergeCell ref="B1:G1"/>
    <mergeCell ref="B2:G2"/>
    <mergeCell ref="B4:G4"/>
    <mergeCell ref="B5:F5"/>
    <mergeCell ref="B6:F6"/>
  </mergeCells>
  <printOptions horizontalCentered="1"/>
  <pageMargins left="0.4" right="0.4" top="0.5" bottom="0.5" header="0.511811023622047" footer="0.511811023622047"/>
  <pageSetup paperSize="9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9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5" customWidth="1"/>
    <col min="2" max="2" width="20" customWidth="1"/>
    <col min="3" max="3" width="16" customWidth="1"/>
    <col min="4" max="4" width="22" customWidth="1"/>
    <col min="5" max="5" width="12" customWidth="1"/>
    <col min="6" max="6" width="11" customWidth="1"/>
    <col min="7" max="8" width="9" customWidth="1"/>
    <col min="9" max="9" width="8" customWidth="1"/>
    <col min="10" max="11" width="12" customWidth="1"/>
    <col min="12" max="12" width="13" customWidth="1"/>
    <col min="13" max="14" width="12" customWidth="1"/>
    <col min="15" max="15" width="13" customWidth="1"/>
    <col min="16" max="16" width="11" customWidth="1"/>
    <col min="17" max="17" width="13" customWidth="1"/>
    <col min="18" max="18" width="11" customWidth="1"/>
    <col min="19" max="19" width="14" customWidth="1"/>
    <col min="20" max="20" width="12" customWidth="1"/>
  </cols>
  <sheetData>
    <row r="1" spans="1:20" ht="31.5" customHeight="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25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3.75" customHeight="1" x14ac:dyDescent="0.25"/>
    <row r="4" spans="1:20" ht="33.75" customHeight="1" x14ac:dyDescent="0.25">
      <c r="A4" s="21" t="s">
        <v>38</v>
      </c>
      <c r="B4" s="21" t="s">
        <v>39</v>
      </c>
      <c r="C4" s="21" t="s">
        <v>40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45</v>
      </c>
      <c r="I4" s="21" t="s">
        <v>46</v>
      </c>
      <c r="J4" s="21" t="s">
        <v>47</v>
      </c>
      <c r="K4" s="21" t="s">
        <v>48</v>
      </c>
      <c r="L4" s="21" t="s">
        <v>49</v>
      </c>
      <c r="M4" s="21" t="s">
        <v>50</v>
      </c>
      <c r="N4" s="21" t="s">
        <v>51</v>
      </c>
      <c r="O4" s="21" t="s">
        <v>52</v>
      </c>
      <c r="P4" s="21" t="s">
        <v>53</v>
      </c>
      <c r="Q4" s="21" t="s">
        <v>54</v>
      </c>
      <c r="R4" s="21" t="s">
        <v>55</v>
      </c>
      <c r="S4" s="21" t="s">
        <v>56</v>
      </c>
      <c r="T4" s="21" t="s">
        <v>57</v>
      </c>
    </row>
    <row r="5" spans="1:20" ht="18" customHeight="1" x14ac:dyDescent="0.25">
      <c r="A5" s="22">
        <v>1</v>
      </c>
      <c r="B5" s="23" t="s">
        <v>58</v>
      </c>
      <c r="C5" s="23" t="s">
        <v>20</v>
      </c>
      <c r="D5" s="23" t="s">
        <v>59</v>
      </c>
      <c r="E5" s="23" t="s">
        <v>21</v>
      </c>
      <c r="F5" s="24">
        <v>1</v>
      </c>
      <c r="G5" s="25">
        <v>1</v>
      </c>
      <c r="H5" s="25">
        <v>12</v>
      </c>
      <c r="I5" s="26">
        <f t="shared" ref="I5:I18" si="0">IF(AND(G5&lt;&gt;"",H5&lt;&gt;""),H5-G5+1,0)</f>
        <v>12</v>
      </c>
      <c r="J5" s="27">
        <v>8500</v>
      </c>
      <c r="K5" s="28">
        <f t="shared" ref="K5:K18" si="1">ROUND(J5*F5,0)</f>
        <v>8500</v>
      </c>
      <c r="L5" s="28">
        <f t="shared" ref="L5:L18" si="2">ROUND(K5*I5,0)</f>
        <v>102000</v>
      </c>
      <c r="M5" s="27">
        <v>8500</v>
      </c>
      <c r="N5" s="27">
        <v>12000</v>
      </c>
      <c r="O5" s="28">
        <f t="shared" ref="O5:O18" si="3">L5+M5+N5</f>
        <v>122500</v>
      </c>
      <c r="P5" s="29"/>
      <c r="Q5" s="28">
        <f>ROUND(O5*IF(P5="",Parameter!$G$17,P5),0)</f>
        <v>29645</v>
      </c>
      <c r="R5" s="27">
        <v>1800</v>
      </c>
      <c r="S5" s="28">
        <f t="shared" ref="S5:S18" si="4">O5+Q5+R5</f>
        <v>153945</v>
      </c>
      <c r="T5" s="28">
        <f t="shared" ref="T5:T18" si="5">IF(I5=0,0,ROUND(S5/I5,0))</f>
        <v>12829</v>
      </c>
    </row>
    <row r="6" spans="1:20" ht="18" customHeight="1" x14ac:dyDescent="0.25">
      <c r="A6" s="30">
        <v>2</v>
      </c>
      <c r="B6" s="23" t="s">
        <v>60</v>
      </c>
      <c r="C6" s="23" t="s">
        <v>22</v>
      </c>
      <c r="D6" s="23" t="s">
        <v>61</v>
      </c>
      <c r="E6" s="23" t="s">
        <v>21</v>
      </c>
      <c r="F6" s="24">
        <v>1</v>
      </c>
      <c r="G6" s="25">
        <v>1</v>
      </c>
      <c r="H6" s="25">
        <v>12</v>
      </c>
      <c r="I6" s="31">
        <f t="shared" si="0"/>
        <v>12</v>
      </c>
      <c r="J6" s="27">
        <v>6200</v>
      </c>
      <c r="K6" s="32">
        <f t="shared" si="1"/>
        <v>6200</v>
      </c>
      <c r="L6" s="32">
        <f t="shared" si="2"/>
        <v>74400</v>
      </c>
      <c r="M6" s="27">
        <v>3100</v>
      </c>
      <c r="N6" s="27">
        <v>9000</v>
      </c>
      <c r="O6" s="32">
        <f t="shared" si="3"/>
        <v>86500</v>
      </c>
      <c r="P6" s="29"/>
      <c r="Q6" s="32">
        <f>ROUND(O6*IF(P6="",Parameter!$G$17,P6),0)</f>
        <v>20933</v>
      </c>
      <c r="R6" s="27">
        <v>1200</v>
      </c>
      <c r="S6" s="32">
        <f t="shared" si="4"/>
        <v>108633</v>
      </c>
      <c r="T6" s="32">
        <f t="shared" si="5"/>
        <v>9053</v>
      </c>
    </row>
    <row r="7" spans="1:20" ht="18" customHeight="1" x14ac:dyDescent="0.25">
      <c r="A7" s="22">
        <v>3</v>
      </c>
      <c r="B7" s="23" t="s">
        <v>62</v>
      </c>
      <c r="C7" s="23" t="s">
        <v>22</v>
      </c>
      <c r="D7" s="23" t="s">
        <v>63</v>
      </c>
      <c r="E7" s="23" t="s">
        <v>21</v>
      </c>
      <c r="F7" s="24">
        <v>1</v>
      </c>
      <c r="G7" s="25">
        <v>1</v>
      </c>
      <c r="H7" s="25">
        <v>12</v>
      </c>
      <c r="I7" s="26">
        <f t="shared" si="0"/>
        <v>12</v>
      </c>
      <c r="J7" s="27">
        <v>3800</v>
      </c>
      <c r="K7" s="28">
        <f t="shared" si="1"/>
        <v>3800</v>
      </c>
      <c r="L7" s="28">
        <f t="shared" si="2"/>
        <v>45600</v>
      </c>
      <c r="M7" s="27">
        <v>1900</v>
      </c>
      <c r="N7" s="27">
        <v>4000</v>
      </c>
      <c r="O7" s="28">
        <f t="shared" si="3"/>
        <v>51500</v>
      </c>
      <c r="P7" s="29"/>
      <c r="Q7" s="28">
        <f>ROUND(O7*IF(P7="",Parameter!$G$17,P7),0)</f>
        <v>12463</v>
      </c>
      <c r="R7" s="27">
        <v>600</v>
      </c>
      <c r="S7" s="28">
        <f t="shared" si="4"/>
        <v>64563</v>
      </c>
      <c r="T7" s="28">
        <f t="shared" si="5"/>
        <v>5380</v>
      </c>
    </row>
    <row r="8" spans="1:20" ht="18" customHeight="1" x14ac:dyDescent="0.25">
      <c r="A8" s="30">
        <v>4</v>
      </c>
      <c r="B8" s="23" t="s">
        <v>64</v>
      </c>
      <c r="C8" s="23" t="s">
        <v>24</v>
      </c>
      <c r="D8" s="23" t="s">
        <v>65</v>
      </c>
      <c r="E8" s="23" t="s">
        <v>21</v>
      </c>
      <c r="F8" s="24">
        <v>1</v>
      </c>
      <c r="G8" s="25">
        <v>1</v>
      </c>
      <c r="H8" s="25">
        <v>12</v>
      </c>
      <c r="I8" s="31">
        <f t="shared" si="0"/>
        <v>12</v>
      </c>
      <c r="J8" s="27">
        <v>5400</v>
      </c>
      <c r="K8" s="32">
        <f t="shared" si="1"/>
        <v>5400</v>
      </c>
      <c r="L8" s="32">
        <f t="shared" si="2"/>
        <v>64800</v>
      </c>
      <c r="M8" s="27">
        <v>2700</v>
      </c>
      <c r="N8" s="27">
        <v>3000</v>
      </c>
      <c r="O8" s="32">
        <f t="shared" si="3"/>
        <v>70500</v>
      </c>
      <c r="P8" s="29"/>
      <c r="Q8" s="32">
        <f>ROUND(O8*IF(P8="",Parameter!$G$17,P8),0)</f>
        <v>17061</v>
      </c>
      <c r="R8" s="27">
        <v>1500</v>
      </c>
      <c r="S8" s="32">
        <f t="shared" si="4"/>
        <v>89061</v>
      </c>
      <c r="T8" s="32">
        <f t="shared" si="5"/>
        <v>7422</v>
      </c>
    </row>
    <row r="9" spans="1:20" ht="18" customHeight="1" x14ac:dyDescent="0.25">
      <c r="A9" s="22">
        <v>5</v>
      </c>
      <c r="B9" s="23" t="s">
        <v>66</v>
      </c>
      <c r="C9" s="23" t="s">
        <v>24</v>
      </c>
      <c r="D9" s="23" t="s">
        <v>67</v>
      </c>
      <c r="E9" s="23" t="s">
        <v>23</v>
      </c>
      <c r="F9" s="24">
        <v>0.6</v>
      </c>
      <c r="G9" s="25">
        <v>1</v>
      </c>
      <c r="H9" s="25">
        <v>12</v>
      </c>
      <c r="I9" s="26">
        <f t="shared" si="0"/>
        <v>12</v>
      </c>
      <c r="J9" s="27">
        <v>4500</v>
      </c>
      <c r="K9" s="28">
        <f t="shared" si="1"/>
        <v>2700</v>
      </c>
      <c r="L9" s="28">
        <f t="shared" si="2"/>
        <v>32400</v>
      </c>
      <c r="M9" s="27">
        <v>1350</v>
      </c>
      <c r="N9" s="27">
        <v>0</v>
      </c>
      <c r="O9" s="28">
        <f t="shared" si="3"/>
        <v>33750</v>
      </c>
      <c r="P9" s="29"/>
      <c r="Q9" s="28">
        <f>ROUND(O9*IF(P9="",Parameter!$G$17,P9),0)</f>
        <v>8168</v>
      </c>
      <c r="R9" s="27">
        <v>900</v>
      </c>
      <c r="S9" s="28">
        <f t="shared" si="4"/>
        <v>42818</v>
      </c>
      <c r="T9" s="28">
        <f t="shared" si="5"/>
        <v>3568</v>
      </c>
    </row>
    <row r="10" spans="1:20" ht="18" customHeight="1" x14ac:dyDescent="0.25">
      <c r="A10" s="30">
        <v>6</v>
      </c>
      <c r="B10" s="23" t="s">
        <v>68</v>
      </c>
      <c r="C10" s="23" t="s">
        <v>26</v>
      </c>
      <c r="D10" s="23" t="s">
        <v>69</v>
      </c>
      <c r="E10" s="23" t="s">
        <v>21</v>
      </c>
      <c r="F10" s="24">
        <v>1</v>
      </c>
      <c r="G10" s="25">
        <v>1</v>
      </c>
      <c r="H10" s="25">
        <v>12</v>
      </c>
      <c r="I10" s="31">
        <f t="shared" si="0"/>
        <v>12</v>
      </c>
      <c r="J10" s="27">
        <v>3900</v>
      </c>
      <c r="K10" s="32">
        <f t="shared" si="1"/>
        <v>3900</v>
      </c>
      <c r="L10" s="32">
        <f t="shared" si="2"/>
        <v>46800</v>
      </c>
      <c r="M10" s="27">
        <v>1950</v>
      </c>
      <c r="N10" s="27">
        <v>0</v>
      </c>
      <c r="O10" s="32">
        <f t="shared" si="3"/>
        <v>48750</v>
      </c>
      <c r="P10" s="29"/>
      <c r="Q10" s="32">
        <f>ROUND(O10*IF(P10="",Parameter!$G$17,P10),0)</f>
        <v>11798</v>
      </c>
      <c r="R10" s="27">
        <v>400</v>
      </c>
      <c r="S10" s="32">
        <f t="shared" si="4"/>
        <v>60948</v>
      </c>
      <c r="T10" s="32">
        <f t="shared" si="5"/>
        <v>5079</v>
      </c>
    </row>
    <row r="11" spans="1:20" ht="18" customHeight="1" x14ac:dyDescent="0.25">
      <c r="A11" s="22">
        <v>7</v>
      </c>
      <c r="B11" s="23" t="s">
        <v>70</v>
      </c>
      <c r="C11" s="23" t="s">
        <v>26</v>
      </c>
      <c r="D11" s="23" t="s">
        <v>71</v>
      </c>
      <c r="E11" s="23" t="s">
        <v>21</v>
      </c>
      <c r="F11" s="24">
        <v>1</v>
      </c>
      <c r="G11" s="25">
        <v>3</v>
      </c>
      <c r="H11" s="25">
        <v>12</v>
      </c>
      <c r="I11" s="26">
        <f t="shared" si="0"/>
        <v>10</v>
      </c>
      <c r="J11" s="27">
        <v>4200</v>
      </c>
      <c r="K11" s="28">
        <f t="shared" si="1"/>
        <v>4200</v>
      </c>
      <c r="L11" s="28">
        <f t="shared" si="2"/>
        <v>42000</v>
      </c>
      <c r="M11" s="27">
        <v>2100</v>
      </c>
      <c r="N11" s="27">
        <v>0</v>
      </c>
      <c r="O11" s="28">
        <f t="shared" si="3"/>
        <v>44100</v>
      </c>
      <c r="P11" s="29"/>
      <c r="Q11" s="28">
        <f>ROUND(O11*IF(P11="",Parameter!$G$17,P11),0)</f>
        <v>10672</v>
      </c>
      <c r="R11" s="27">
        <v>600</v>
      </c>
      <c r="S11" s="28">
        <f t="shared" si="4"/>
        <v>55372</v>
      </c>
      <c r="T11" s="28">
        <f t="shared" si="5"/>
        <v>5537</v>
      </c>
    </row>
    <row r="12" spans="1:20" ht="18" customHeight="1" x14ac:dyDescent="0.25">
      <c r="A12" s="30">
        <v>8</v>
      </c>
      <c r="B12" s="23" t="s">
        <v>72</v>
      </c>
      <c r="C12" s="23" t="s">
        <v>28</v>
      </c>
      <c r="D12" s="23" t="s">
        <v>73</v>
      </c>
      <c r="E12" s="23" t="s">
        <v>21</v>
      </c>
      <c r="F12" s="24">
        <v>1</v>
      </c>
      <c r="G12" s="25">
        <v>1</v>
      </c>
      <c r="H12" s="25">
        <v>12</v>
      </c>
      <c r="I12" s="31">
        <f t="shared" si="0"/>
        <v>12</v>
      </c>
      <c r="J12" s="27">
        <v>5200</v>
      </c>
      <c r="K12" s="32">
        <f t="shared" si="1"/>
        <v>5200</v>
      </c>
      <c r="L12" s="32">
        <f t="shared" si="2"/>
        <v>62400</v>
      </c>
      <c r="M12" s="27">
        <v>2600</v>
      </c>
      <c r="N12" s="27">
        <v>2500</v>
      </c>
      <c r="O12" s="32">
        <f t="shared" si="3"/>
        <v>67500</v>
      </c>
      <c r="P12" s="29"/>
      <c r="Q12" s="32">
        <f>ROUND(O12*IF(P12="",Parameter!$G$17,P12),0)</f>
        <v>16335</v>
      </c>
      <c r="R12" s="27">
        <v>700</v>
      </c>
      <c r="S12" s="32">
        <f t="shared" si="4"/>
        <v>84535</v>
      </c>
      <c r="T12" s="32">
        <f t="shared" si="5"/>
        <v>7045</v>
      </c>
    </row>
    <row r="13" spans="1:20" ht="18" customHeight="1" x14ac:dyDescent="0.25">
      <c r="A13" s="22">
        <v>9</v>
      </c>
      <c r="B13" s="23" t="s">
        <v>74</v>
      </c>
      <c r="C13" s="23" t="s">
        <v>28</v>
      </c>
      <c r="D13" s="23" t="s">
        <v>75</v>
      </c>
      <c r="E13" s="23" t="s">
        <v>21</v>
      </c>
      <c r="F13" s="24">
        <v>1</v>
      </c>
      <c r="G13" s="25">
        <v>1</v>
      </c>
      <c r="H13" s="25">
        <v>12</v>
      </c>
      <c r="I13" s="26">
        <f t="shared" si="0"/>
        <v>12</v>
      </c>
      <c r="J13" s="27">
        <v>3400</v>
      </c>
      <c r="K13" s="28">
        <f t="shared" si="1"/>
        <v>3400</v>
      </c>
      <c r="L13" s="28">
        <f t="shared" si="2"/>
        <v>40800</v>
      </c>
      <c r="M13" s="27">
        <v>1700</v>
      </c>
      <c r="N13" s="27">
        <v>0</v>
      </c>
      <c r="O13" s="28">
        <f t="shared" si="3"/>
        <v>42500</v>
      </c>
      <c r="P13" s="29"/>
      <c r="Q13" s="28">
        <f>ROUND(O13*IF(P13="",Parameter!$G$17,P13),0)</f>
        <v>10285</v>
      </c>
      <c r="R13" s="27">
        <v>300</v>
      </c>
      <c r="S13" s="28">
        <f t="shared" si="4"/>
        <v>53085</v>
      </c>
      <c r="T13" s="28">
        <f t="shared" si="5"/>
        <v>4424</v>
      </c>
    </row>
    <row r="14" spans="1:20" ht="18" customHeight="1" x14ac:dyDescent="0.25">
      <c r="A14" s="30">
        <v>10</v>
      </c>
      <c r="B14" s="23" t="s">
        <v>76</v>
      </c>
      <c r="C14" s="23" t="s">
        <v>28</v>
      </c>
      <c r="D14" s="23" t="s">
        <v>77</v>
      </c>
      <c r="E14" s="23" t="s">
        <v>21</v>
      </c>
      <c r="F14" s="24">
        <v>1</v>
      </c>
      <c r="G14" s="25">
        <v>1</v>
      </c>
      <c r="H14" s="25">
        <v>9</v>
      </c>
      <c r="I14" s="31">
        <f t="shared" si="0"/>
        <v>9</v>
      </c>
      <c r="J14" s="27">
        <v>3300</v>
      </c>
      <c r="K14" s="32">
        <f t="shared" si="1"/>
        <v>3300</v>
      </c>
      <c r="L14" s="32">
        <f t="shared" si="2"/>
        <v>29700</v>
      </c>
      <c r="M14" s="27">
        <v>1650</v>
      </c>
      <c r="N14" s="27">
        <v>0</v>
      </c>
      <c r="O14" s="32">
        <f t="shared" si="3"/>
        <v>31350</v>
      </c>
      <c r="P14" s="29"/>
      <c r="Q14" s="32">
        <f>ROUND(O14*IF(P14="",Parameter!$G$17,P14),0)</f>
        <v>7587</v>
      </c>
      <c r="R14" s="27">
        <v>300</v>
      </c>
      <c r="S14" s="32">
        <f t="shared" si="4"/>
        <v>39237</v>
      </c>
      <c r="T14" s="32">
        <f t="shared" si="5"/>
        <v>4360</v>
      </c>
    </row>
    <row r="15" spans="1:20" ht="18" customHeight="1" x14ac:dyDescent="0.25">
      <c r="A15" s="22">
        <v>11</v>
      </c>
      <c r="B15" s="23" t="s">
        <v>78</v>
      </c>
      <c r="C15" s="23" t="s">
        <v>30</v>
      </c>
      <c r="D15" s="23" t="s">
        <v>79</v>
      </c>
      <c r="E15" s="23" t="s">
        <v>21</v>
      </c>
      <c r="F15" s="24">
        <v>1</v>
      </c>
      <c r="G15" s="25">
        <v>1</v>
      </c>
      <c r="H15" s="25">
        <v>12</v>
      </c>
      <c r="I15" s="26">
        <f t="shared" si="0"/>
        <v>12</v>
      </c>
      <c r="J15" s="27">
        <v>4800</v>
      </c>
      <c r="K15" s="28">
        <f t="shared" si="1"/>
        <v>4800</v>
      </c>
      <c r="L15" s="28">
        <f t="shared" si="2"/>
        <v>57600</v>
      </c>
      <c r="M15" s="27">
        <v>2400</v>
      </c>
      <c r="N15" s="27">
        <v>1000</v>
      </c>
      <c r="O15" s="28">
        <f t="shared" si="3"/>
        <v>61000</v>
      </c>
      <c r="P15" s="29"/>
      <c r="Q15" s="28">
        <f>ROUND(O15*IF(P15="",Parameter!$G$17,P15),0)</f>
        <v>14762</v>
      </c>
      <c r="R15" s="27">
        <v>1500</v>
      </c>
      <c r="S15" s="28">
        <f t="shared" si="4"/>
        <v>77262</v>
      </c>
      <c r="T15" s="28">
        <f t="shared" si="5"/>
        <v>6439</v>
      </c>
    </row>
    <row r="16" spans="1:20" ht="18" customHeight="1" x14ac:dyDescent="0.25">
      <c r="A16" s="30">
        <v>12</v>
      </c>
      <c r="B16" s="23" t="s">
        <v>80</v>
      </c>
      <c r="C16" s="23" t="s">
        <v>30</v>
      </c>
      <c r="D16" s="23" t="s">
        <v>81</v>
      </c>
      <c r="E16" s="23" t="s">
        <v>27</v>
      </c>
      <c r="F16" s="24">
        <v>0.5</v>
      </c>
      <c r="G16" s="25">
        <v>1</v>
      </c>
      <c r="H16" s="25">
        <v>12</v>
      </c>
      <c r="I16" s="31">
        <f t="shared" si="0"/>
        <v>12</v>
      </c>
      <c r="J16" s="27">
        <v>2600</v>
      </c>
      <c r="K16" s="32">
        <f t="shared" si="1"/>
        <v>1300</v>
      </c>
      <c r="L16" s="32">
        <f t="shared" si="2"/>
        <v>15600</v>
      </c>
      <c r="M16" s="27">
        <v>0</v>
      </c>
      <c r="N16" s="27">
        <v>0</v>
      </c>
      <c r="O16" s="32">
        <f t="shared" si="3"/>
        <v>15600</v>
      </c>
      <c r="P16" s="29">
        <v>9.4500000000000001E-2</v>
      </c>
      <c r="Q16" s="32">
        <f>ROUND(O16*IF(P16="",Parameter!$G$17,P16),0)</f>
        <v>1474</v>
      </c>
      <c r="R16" s="27">
        <v>0</v>
      </c>
      <c r="S16" s="32">
        <f t="shared" si="4"/>
        <v>17074</v>
      </c>
      <c r="T16" s="32">
        <f t="shared" si="5"/>
        <v>1423</v>
      </c>
    </row>
    <row r="17" spans="1:20" ht="18" customHeight="1" x14ac:dyDescent="0.25">
      <c r="A17" s="22">
        <v>13</v>
      </c>
      <c r="B17" s="23" t="s">
        <v>82</v>
      </c>
      <c r="C17" s="23" t="s">
        <v>28</v>
      </c>
      <c r="D17" s="23" t="s">
        <v>83</v>
      </c>
      <c r="E17" s="23" t="s">
        <v>29</v>
      </c>
      <c r="F17" s="24">
        <v>1</v>
      </c>
      <c r="G17" s="25">
        <v>1</v>
      </c>
      <c r="H17" s="25">
        <v>12</v>
      </c>
      <c r="I17" s="26">
        <f t="shared" si="0"/>
        <v>12</v>
      </c>
      <c r="J17" s="27">
        <v>1100</v>
      </c>
      <c r="K17" s="28">
        <f t="shared" si="1"/>
        <v>1100</v>
      </c>
      <c r="L17" s="28">
        <f t="shared" si="2"/>
        <v>13200</v>
      </c>
      <c r="M17" s="27">
        <v>550</v>
      </c>
      <c r="N17" s="27">
        <v>0</v>
      </c>
      <c r="O17" s="28">
        <f t="shared" si="3"/>
        <v>13750</v>
      </c>
      <c r="P17" s="29"/>
      <c r="Q17" s="28">
        <f>ROUND(O17*IF(P17="",Parameter!$G$17,P17),0)</f>
        <v>3328</v>
      </c>
      <c r="R17" s="27">
        <v>250</v>
      </c>
      <c r="S17" s="28">
        <f t="shared" si="4"/>
        <v>17328</v>
      </c>
      <c r="T17" s="28">
        <f t="shared" si="5"/>
        <v>1444</v>
      </c>
    </row>
    <row r="18" spans="1:20" ht="18" customHeight="1" x14ac:dyDescent="0.25">
      <c r="A18" s="30">
        <v>14</v>
      </c>
      <c r="B18" s="23" t="s">
        <v>84</v>
      </c>
      <c r="C18" s="23" t="s">
        <v>26</v>
      </c>
      <c r="D18" s="23" t="s">
        <v>85</v>
      </c>
      <c r="E18" s="23" t="s">
        <v>25</v>
      </c>
      <c r="F18" s="24">
        <v>1</v>
      </c>
      <c r="G18" s="25">
        <v>1</v>
      </c>
      <c r="H18" s="25">
        <v>12</v>
      </c>
      <c r="I18" s="31">
        <f t="shared" si="0"/>
        <v>12</v>
      </c>
      <c r="J18" s="27">
        <v>556</v>
      </c>
      <c r="K18" s="32">
        <f t="shared" si="1"/>
        <v>556</v>
      </c>
      <c r="L18" s="32">
        <f t="shared" si="2"/>
        <v>6672</v>
      </c>
      <c r="M18" s="27">
        <v>0</v>
      </c>
      <c r="N18" s="27">
        <v>0</v>
      </c>
      <c r="O18" s="32">
        <f t="shared" si="3"/>
        <v>6672</v>
      </c>
      <c r="P18" s="29">
        <v>0.31</v>
      </c>
      <c r="Q18" s="32">
        <f>ROUND(O18*IF(P18="",Parameter!$G$17,P18),0)</f>
        <v>2068</v>
      </c>
      <c r="R18" s="27">
        <v>0</v>
      </c>
      <c r="S18" s="32">
        <f t="shared" si="4"/>
        <v>8740</v>
      </c>
      <c r="T18" s="32">
        <f t="shared" si="5"/>
        <v>728</v>
      </c>
    </row>
    <row r="19" spans="1:20" ht="19.5" customHeight="1" x14ac:dyDescent="0.25">
      <c r="A19" s="4" t="s">
        <v>86</v>
      </c>
      <c r="B19" s="4"/>
      <c r="C19" s="4"/>
      <c r="D19" s="4"/>
      <c r="E19" s="4"/>
      <c r="F19" s="33"/>
      <c r="G19" s="33"/>
      <c r="H19" s="33"/>
      <c r="I19" s="33"/>
      <c r="J19" s="33"/>
      <c r="K19" s="33"/>
      <c r="L19" s="34">
        <f>SUM(L5:L18)</f>
        <v>633972</v>
      </c>
      <c r="M19" s="34">
        <f>SUM(M5:M18)</f>
        <v>30500</v>
      </c>
      <c r="N19" s="34">
        <f>SUM(N5:N18)</f>
        <v>31500</v>
      </c>
      <c r="O19" s="34">
        <f>SUM(O5:O18)</f>
        <v>695972</v>
      </c>
      <c r="P19" s="33"/>
      <c r="Q19" s="34">
        <f>SUM(Q5:Q18)</f>
        <v>166579</v>
      </c>
      <c r="R19" s="34">
        <f>SUM(R5:R18)</f>
        <v>10050</v>
      </c>
      <c r="S19" s="34">
        <f>SUM(S5:S18)</f>
        <v>872601</v>
      </c>
      <c r="T19" s="34">
        <f>ROUND(S19/12,0)</f>
        <v>72717</v>
      </c>
    </row>
  </sheetData>
  <mergeCells count="3">
    <mergeCell ref="A1:T1"/>
    <mergeCell ref="A2:T2"/>
    <mergeCell ref="A19:E19"/>
  </mergeCells>
  <dataValidations count="2">
    <dataValidation type="whole" allowBlank="1" errorTitle="Ungültiger Monat" error="Bitte einen Monat von 1 bis 12 eingeben." sqref="G5:H18" xr:uid="{00000000-0002-0000-0100-000002000000}">
      <formula1>1</formula1>
      <formula2>12</formula2>
    </dataValidation>
    <dataValidation type="decimal" allowBlank="1" errorTitle="Ungültiger Grad" error="Bitte einen Wert zwischen 0 % und 100 % eingeben." sqref="F5:F18" xr:uid="{00000000-0002-0000-0100-000003000000}">
      <formula1>0</formula1>
      <formula2>1</formula2>
    </dataValidation>
  </dataValidations>
  <printOptions horizontalCentered="1"/>
  <pageMargins left="0.4" right="0.4" top="0.5" bottom="0.5" header="0.511811023622047" footer="0.511811023622047"/>
  <pageSetup paperSize="9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100-000000000000}">
          <x14:formula1>
            <xm:f>Parameter!$B$24:$B$29</xm:f>
          </x14:formula1>
          <x14:formula2>
            <xm:f>0</xm:f>
          </x14:formula2>
          <xm:sqref>C5:C18</xm:sqref>
        </x14:dataValidation>
        <x14:dataValidation type="list" allowBlank="1" xr:uid="{00000000-0002-0000-0100-000001000000}">
          <x14:formula1>
            <xm:f>Parameter!$F$24:$F$28</xm:f>
          </x14:formula1>
          <x14:formula2>
            <xm:f>0</xm:f>
          </x14:formula2>
          <xm:sqref>E5:E18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6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3" width="13" customWidth="1"/>
    <col min="4" max="6" width="15" customWidth="1"/>
    <col min="7" max="7" width="12" customWidth="1"/>
    <col min="8" max="8" width="3" customWidth="1"/>
    <col min="9" max="9" width="13" customWidth="1"/>
    <col min="10" max="10" width="15" customWidth="1"/>
  </cols>
  <sheetData>
    <row r="1" spans="2:11" ht="31.5" customHeight="1" x14ac:dyDescent="0.25">
      <c r="B1" s="5" t="s">
        <v>87</v>
      </c>
      <c r="C1" s="5"/>
      <c r="D1" s="5"/>
      <c r="E1" s="5"/>
      <c r="F1" s="5"/>
      <c r="G1" s="5"/>
      <c r="H1" s="5"/>
      <c r="I1" s="5"/>
      <c r="J1" s="5"/>
    </row>
    <row r="3" spans="2:11" ht="19.5" customHeight="1" x14ac:dyDescent="0.25">
      <c r="B3" s="12" t="s">
        <v>88</v>
      </c>
      <c r="C3" s="12"/>
      <c r="D3" s="12"/>
      <c r="E3" s="12"/>
      <c r="F3" s="12"/>
      <c r="G3" s="12"/>
      <c r="H3" s="12"/>
      <c r="I3" s="12"/>
      <c r="J3" s="12"/>
    </row>
    <row r="4" spans="2:11" ht="15.75" customHeight="1" x14ac:dyDescent="0.25">
      <c r="B4" s="3" t="s">
        <v>89</v>
      </c>
      <c r="C4" s="3"/>
      <c r="D4" s="3"/>
      <c r="E4" s="3" t="s">
        <v>90</v>
      </c>
      <c r="F4" s="3"/>
      <c r="G4" s="3"/>
      <c r="I4" s="3" t="s">
        <v>91</v>
      </c>
      <c r="J4" s="3"/>
      <c r="K4" s="3"/>
    </row>
    <row r="5" spans="2:11" ht="30" customHeight="1" x14ac:dyDescent="0.25">
      <c r="B5" s="2">
        <f>COUNTA(Personalplanung!B5:B18)</f>
        <v>14</v>
      </c>
      <c r="C5" s="2"/>
      <c r="D5" s="2"/>
      <c r="E5" s="1">
        <f>ROUND(SUM(Personalplanung!F5:F18),1)</f>
        <v>13.1</v>
      </c>
      <c r="F5" s="1"/>
      <c r="G5" s="1"/>
      <c r="I5" s="43">
        <f>Personalplanung!S19</f>
        <v>872601</v>
      </c>
      <c r="J5" s="43"/>
      <c r="K5" s="43"/>
    </row>
    <row r="7" spans="2:11" ht="15.75" customHeight="1" x14ac:dyDescent="0.25">
      <c r="B7" s="3" t="s">
        <v>92</v>
      </c>
      <c r="C7" s="3"/>
      <c r="D7" s="3"/>
      <c r="E7" s="3" t="s">
        <v>93</v>
      </c>
      <c r="F7" s="3"/>
      <c r="G7" s="3"/>
      <c r="I7" s="3" t="s">
        <v>94</v>
      </c>
      <c r="J7" s="3"/>
      <c r="K7" s="3"/>
    </row>
    <row r="8" spans="2:11" ht="30" customHeight="1" x14ac:dyDescent="0.25">
      <c r="B8" s="43">
        <f>ROUND(Personalplanung!S19/COUNTA(Personalplanung!B5:B18),0)</f>
        <v>62329</v>
      </c>
      <c r="C8" s="43"/>
      <c r="D8" s="43"/>
      <c r="E8" s="43">
        <f>Personalplanung!O19</f>
        <v>695972</v>
      </c>
      <c r="F8" s="43"/>
      <c r="G8" s="43"/>
      <c r="I8" s="44">
        <f>Personalplanung!Q19/Personalplanung!O19</f>
        <v>0.2393472725914261</v>
      </c>
      <c r="J8" s="44"/>
      <c r="K8" s="44"/>
    </row>
    <row r="11" spans="2:11" ht="19.5" customHeight="1" x14ac:dyDescent="0.25">
      <c r="B11" s="12" t="s">
        <v>95</v>
      </c>
      <c r="C11" s="12"/>
      <c r="D11" s="12"/>
      <c r="E11" s="12"/>
      <c r="F11" s="12"/>
      <c r="G11" s="12"/>
    </row>
    <row r="12" spans="2:11" ht="18" customHeight="1" x14ac:dyDescent="0.25">
      <c r="B12" s="21" t="s">
        <v>40</v>
      </c>
      <c r="C12" s="21" t="s">
        <v>96</v>
      </c>
      <c r="D12" s="21" t="s">
        <v>97</v>
      </c>
      <c r="E12" s="21" t="s">
        <v>98</v>
      </c>
      <c r="F12" s="21" t="s">
        <v>99</v>
      </c>
      <c r="G12" s="21" t="s">
        <v>100</v>
      </c>
    </row>
    <row r="13" spans="2:11" ht="16.5" customHeight="1" x14ac:dyDescent="0.25">
      <c r="B13" s="35" t="s">
        <v>20</v>
      </c>
      <c r="C13" s="26">
        <f>COUNTIF(Personalplanung!$C$5:$C$18,$B13)</f>
        <v>1</v>
      </c>
      <c r="D13" s="28">
        <f>SUMIF(Personalplanung!$C$5:$C$18,$B13,Personalplanung!$O$5:$O$18)</f>
        <v>122500</v>
      </c>
      <c r="E13" s="28">
        <f>SUMIF(Personalplanung!$C$5:$C$18,$B13,Personalplanung!$Q$5:$Q$18)</f>
        <v>29645</v>
      </c>
      <c r="F13" s="28">
        <f>SUMIF(Personalplanung!$C$5:$C$18,$B13,Personalplanung!$S$5:$S$18)</f>
        <v>153945</v>
      </c>
      <c r="G13" s="36">
        <f t="shared" ref="G13:G18" si="0">IF($F$19=0,0,F13/$F$19)</f>
        <v>0.17642083839005457</v>
      </c>
    </row>
    <row r="14" spans="2:11" ht="16.5" customHeight="1" x14ac:dyDescent="0.25">
      <c r="B14" s="37" t="s">
        <v>22</v>
      </c>
      <c r="C14" s="31">
        <f>COUNTIF(Personalplanung!$C$5:$C$18,$B14)</f>
        <v>2</v>
      </c>
      <c r="D14" s="32">
        <f>SUMIF(Personalplanung!$C$5:$C$18,$B14,Personalplanung!$O$5:$O$18)</f>
        <v>138000</v>
      </c>
      <c r="E14" s="32">
        <f>SUMIF(Personalplanung!$C$5:$C$18,$B14,Personalplanung!$Q$5:$Q$18)</f>
        <v>33396</v>
      </c>
      <c r="F14" s="32">
        <f>SUMIF(Personalplanung!$C$5:$C$18,$B14,Personalplanung!$S$5:$S$18)</f>
        <v>173196</v>
      </c>
      <c r="G14" s="38">
        <f t="shared" si="0"/>
        <v>0.19848246793207891</v>
      </c>
    </row>
    <row r="15" spans="2:11" ht="16.5" customHeight="1" x14ac:dyDescent="0.25">
      <c r="B15" s="35" t="s">
        <v>24</v>
      </c>
      <c r="C15" s="26">
        <f>COUNTIF(Personalplanung!$C$5:$C$18,$B15)</f>
        <v>2</v>
      </c>
      <c r="D15" s="28">
        <f>SUMIF(Personalplanung!$C$5:$C$18,$B15,Personalplanung!$O$5:$O$18)</f>
        <v>104250</v>
      </c>
      <c r="E15" s="28">
        <f>SUMIF(Personalplanung!$C$5:$C$18,$B15,Personalplanung!$Q$5:$Q$18)</f>
        <v>25229</v>
      </c>
      <c r="F15" s="28">
        <f>SUMIF(Personalplanung!$C$5:$C$18,$B15,Personalplanung!$S$5:$S$18)</f>
        <v>131879</v>
      </c>
      <c r="G15" s="36">
        <f t="shared" si="0"/>
        <v>0.15113322125461695</v>
      </c>
    </row>
    <row r="16" spans="2:11" ht="16.5" customHeight="1" x14ac:dyDescent="0.25">
      <c r="B16" s="37" t="s">
        <v>26</v>
      </c>
      <c r="C16" s="31">
        <f>COUNTIF(Personalplanung!$C$5:$C$18,$B16)</f>
        <v>3</v>
      </c>
      <c r="D16" s="32">
        <f>SUMIF(Personalplanung!$C$5:$C$18,$B16,Personalplanung!$O$5:$O$18)</f>
        <v>99522</v>
      </c>
      <c r="E16" s="32">
        <f>SUMIF(Personalplanung!$C$5:$C$18,$B16,Personalplanung!$Q$5:$Q$18)</f>
        <v>24538</v>
      </c>
      <c r="F16" s="32">
        <f>SUMIF(Personalplanung!$C$5:$C$18,$B16,Personalplanung!$S$5:$S$18)</f>
        <v>125060</v>
      </c>
      <c r="G16" s="38">
        <f t="shared" si="0"/>
        <v>0.14331865308428479</v>
      </c>
    </row>
    <row r="17" spans="2:7" ht="16.5" customHeight="1" x14ac:dyDescent="0.25">
      <c r="B17" s="35" t="s">
        <v>28</v>
      </c>
      <c r="C17" s="26">
        <f>COUNTIF(Personalplanung!$C$5:$C$18,$B17)</f>
        <v>4</v>
      </c>
      <c r="D17" s="28">
        <f>SUMIF(Personalplanung!$C$5:$C$18,$B17,Personalplanung!$O$5:$O$18)</f>
        <v>155100</v>
      </c>
      <c r="E17" s="28">
        <f>SUMIF(Personalplanung!$C$5:$C$18,$B17,Personalplanung!$Q$5:$Q$18)</f>
        <v>37535</v>
      </c>
      <c r="F17" s="28">
        <f>SUMIF(Personalplanung!$C$5:$C$18,$B17,Personalplanung!$S$5:$S$18)</f>
        <v>194185</v>
      </c>
      <c r="G17" s="36">
        <f t="shared" si="0"/>
        <v>0.22253584398826037</v>
      </c>
    </row>
    <row r="18" spans="2:7" ht="16.5" customHeight="1" x14ac:dyDescent="0.25">
      <c r="B18" s="37" t="s">
        <v>30</v>
      </c>
      <c r="C18" s="31">
        <f>COUNTIF(Personalplanung!$C$5:$C$18,$B18)</f>
        <v>2</v>
      </c>
      <c r="D18" s="32">
        <f>SUMIF(Personalplanung!$C$5:$C$18,$B18,Personalplanung!$O$5:$O$18)</f>
        <v>76600</v>
      </c>
      <c r="E18" s="32">
        <f>SUMIF(Personalplanung!$C$5:$C$18,$B18,Personalplanung!$Q$5:$Q$18)</f>
        <v>16236</v>
      </c>
      <c r="F18" s="32">
        <f>SUMIF(Personalplanung!$C$5:$C$18,$B18,Personalplanung!$S$5:$S$18)</f>
        <v>94336</v>
      </c>
      <c r="G18" s="38">
        <f t="shared" si="0"/>
        <v>0.10810897535070439</v>
      </c>
    </row>
    <row r="19" spans="2:7" ht="18" customHeight="1" x14ac:dyDescent="0.25">
      <c r="B19" s="39" t="s">
        <v>101</v>
      </c>
      <c r="C19" s="40">
        <f>SUM(C13:C18)</f>
        <v>14</v>
      </c>
      <c r="D19" s="41">
        <f>SUM(D13:D18)</f>
        <v>695972</v>
      </c>
      <c r="E19" s="41">
        <f>SUM(E13:E18)</f>
        <v>166579</v>
      </c>
      <c r="F19" s="41">
        <f>SUM(F13:F18)</f>
        <v>872601</v>
      </c>
      <c r="G19" s="42">
        <f>IF(F19=0,0,F19/F19)</f>
        <v>1</v>
      </c>
    </row>
    <row r="21" spans="2:7" ht="19.5" customHeight="1" x14ac:dyDescent="0.25">
      <c r="B21" s="12" t="s">
        <v>102</v>
      </c>
      <c r="C21" s="12"/>
      <c r="D21" s="12"/>
      <c r="E21" s="12"/>
      <c r="F21" s="12"/>
      <c r="G21" s="12"/>
    </row>
    <row r="22" spans="2:7" ht="18" customHeight="1" x14ac:dyDescent="0.25">
      <c r="B22" s="21" t="s">
        <v>103</v>
      </c>
      <c r="C22" s="45" t="s">
        <v>104</v>
      </c>
      <c r="D22" s="45"/>
      <c r="E22" s="45"/>
    </row>
    <row r="23" spans="2:7" ht="15.75" customHeight="1" x14ac:dyDescent="0.25">
      <c r="B23" s="22" t="s">
        <v>105</v>
      </c>
      <c r="C23" s="46">
        <f>SUMPRODUCT((Personalplanung!$G$5:$G$18&lt;=1)*(Personalplanung!$H$5:$H$18&gt;=1)*(Personalplanung!$S$5:$S$18/Personalplanung!$I$5:$I$18))</f>
        <v>69192.333333333314</v>
      </c>
      <c r="D23" s="46"/>
      <c r="E23" s="46"/>
    </row>
    <row r="24" spans="2:7" ht="15.75" customHeight="1" x14ac:dyDescent="0.25">
      <c r="B24" s="30" t="s">
        <v>106</v>
      </c>
      <c r="C24" s="47">
        <f>SUMPRODUCT((Personalplanung!$G$5:$G$18&lt;=2)*(Personalplanung!$H$5:$H$18&gt;=2)*(Personalplanung!$S$5:$S$18/Personalplanung!$I$5:$I$18))</f>
        <v>69192.333333333314</v>
      </c>
      <c r="D24" s="47"/>
      <c r="E24" s="47"/>
    </row>
    <row r="25" spans="2:7" ht="15.75" customHeight="1" x14ac:dyDescent="0.25">
      <c r="B25" s="22" t="s">
        <v>107</v>
      </c>
      <c r="C25" s="46">
        <f>SUMPRODUCT((Personalplanung!$G$5:$G$18&lt;=3)*(Personalplanung!$H$5:$H$18&gt;=3)*(Personalplanung!$S$5:$S$18/Personalplanung!$I$5:$I$18))</f>
        <v>74729.533333333326</v>
      </c>
      <c r="D25" s="46"/>
      <c r="E25" s="46"/>
    </row>
    <row r="26" spans="2:7" ht="15.75" customHeight="1" x14ac:dyDescent="0.25">
      <c r="B26" s="30" t="s">
        <v>108</v>
      </c>
      <c r="C26" s="47">
        <f>SUMPRODUCT((Personalplanung!$G$5:$G$18&lt;=4)*(Personalplanung!$H$5:$H$18&gt;=4)*(Personalplanung!$S$5:$S$18/Personalplanung!$I$5:$I$18))</f>
        <v>74729.533333333326</v>
      </c>
      <c r="D26" s="47"/>
      <c r="E26" s="47"/>
    </row>
    <row r="27" spans="2:7" ht="15.75" customHeight="1" x14ac:dyDescent="0.25">
      <c r="B27" s="22" t="s">
        <v>109</v>
      </c>
      <c r="C27" s="46">
        <f>SUMPRODUCT((Personalplanung!$G$5:$G$18&lt;=5)*(Personalplanung!$H$5:$H$18&gt;=5)*(Personalplanung!$S$5:$S$18/Personalplanung!$I$5:$I$18))</f>
        <v>74729.533333333326</v>
      </c>
      <c r="D27" s="46"/>
      <c r="E27" s="46"/>
    </row>
    <row r="28" spans="2:7" ht="15.75" customHeight="1" x14ac:dyDescent="0.25">
      <c r="B28" s="30" t="s">
        <v>110</v>
      </c>
      <c r="C28" s="47">
        <f>SUMPRODUCT((Personalplanung!$G$5:$G$18&lt;=6)*(Personalplanung!$H$5:$H$18&gt;=6)*(Personalplanung!$S$5:$S$18/Personalplanung!$I$5:$I$18))</f>
        <v>74729.533333333326</v>
      </c>
      <c r="D28" s="47"/>
      <c r="E28" s="47"/>
    </row>
    <row r="29" spans="2:7" ht="15.75" customHeight="1" x14ac:dyDescent="0.25">
      <c r="B29" s="22" t="s">
        <v>111</v>
      </c>
      <c r="C29" s="46">
        <f>SUMPRODUCT((Personalplanung!$G$5:$G$18&lt;=7)*(Personalplanung!$H$5:$H$18&gt;=7)*(Personalplanung!$S$5:$S$18/Personalplanung!$I$5:$I$18))</f>
        <v>74729.533333333326</v>
      </c>
      <c r="D29" s="46"/>
      <c r="E29" s="46"/>
    </row>
    <row r="30" spans="2:7" ht="15.75" customHeight="1" x14ac:dyDescent="0.25">
      <c r="B30" s="30" t="s">
        <v>112</v>
      </c>
      <c r="C30" s="47">
        <f>SUMPRODUCT((Personalplanung!$G$5:$G$18&lt;=8)*(Personalplanung!$H$5:$H$18&gt;=8)*(Personalplanung!$S$5:$S$18/Personalplanung!$I$5:$I$18))</f>
        <v>74729.533333333326</v>
      </c>
      <c r="D30" s="47"/>
      <c r="E30" s="47"/>
    </row>
    <row r="31" spans="2:7" ht="15.75" customHeight="1" x14ac:dyDescent="0.25">
      <c r="B31" s="22" t="s">
        <v>113</v>
      </c>
      <c r="C31" s="46">
        <f>SUMPRODUCT((Personalplanung!$G$5:$G$18&lt;=9)*(Personalplanung!$H$5:$H$18&gt;=9)*(Personalplanung!$S$5:$S$18/Personalplanung!$I$5:$I$18))</f>
        <v>74729.533333333326</v>
      </c>
      <c r="D31" s="46"/>
      <c r="E31" s="46"/>
    </row>
    <row r="32" spans="2:7" ht="15.75" customHeight="1" x14ac:dyDescent="0.25">
      <c r="B32" s="30" t="s">
        <v>114</v>
      </c>
      <c r="C32" s="47">
        <f>SUMPRODUCT((Personalplanung!$G$5:$G$18&lt;=10)*(Personalplanung!$H$5:$H$18&gt;=10)*(Personalplanung!$S$5:$S$18/Personalplanung!$I$5:$I$18))</f>
        <v>70369.866666666654</v>
      </c>
      <c r="D32" s="47"/>
      <c r="E32" s="47"/>
    </row>
    <row r="33" spans="2:7" ht="15.75" customHeight="1" x14ac:dyDescent="0.25">
      <c r="B33" s="22" t="s">
        <v>115</v>
      </c>
      <c r="C33" s="46">
        <f>SUMPRODUCT((Personalplanung!$G$5:$G$18&lt;=11)*(Personalplanung!$H$5:$H$18&gt;=11)*(Personalplanung!$S$5:$S$18/Personalplanung!$I$5:$I$18))</f>
        <v>70369.866666666654</v>
      </c>
      <c r="D33" s="46"/>
      <c r="E33" s="46"/>
    </row>
    <row r="34" spans="2:7" ht="15.75" customHeight="1" x14ac:dyDescent="0.25">
      <c r="B34" s="30" t="s">
        <v>116</v>
      </c>
      <c r="C34" s="47">
        <f>SUMPRODUCT((Personalplanung!$G$5:$G$18&lt;=12)*(Personalplanung!$H$5:$H$18&gt;=12)*(Personalplanung!$S$5:$S$18/Personalplanung!$I$5:$I$18))</f>
        <v>70369.866666666654</v>
      </c>
      <c r="D34" s="47"/>
      <c r="E34" s="47"/>
    </row>
    <row r="36" spans="2:7" ht="27.75" customHeight="1" x14ac:dyDescent="0.25">
      <c r="B36" s="9" t="s">
        <v>117</v>
      </c>
      <c r="C36" s="9"/>
      <c r="D36" s="9"/>
      <c r="E36" s="9"/>
      <c r="F36" s="9"/>
      <c r="G36" s="9"/>
    </row>
  </sheetData>
  <mergeCells count="30">
    <mergeCell ref="C32:E32"/>
    <mergeCell ref="C33:E33"/>
    <mergeCell ref="C34:E34"/>
    <mergeCell ref="B36:G36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B8:D8"/>
    <mergeCell ref="E8:G8"/>
    <mergeCell ref="I8:K8"/>
    <mergeCell ref="B11:G11"/>
    <mergeCell ref="B21:G21"/>
    <mergeCell ref="B5:D5"/>
    <mergeCell ref="E5:G5"/>
    <mergeCell ref="I5:K5"/>
    <mergeCell ref="B7:D7"/>
    <mergeCell ref="E7:G7"/>
    <mergeCell ref="I7:K7"/>
    <mergeCell ref="B1:J1"/>
    <mergeCell ref="B3:J3"/>
    <mergeCell ref="B4:D4"/>
    <mergeCell ref="E4:G4"/>
    <mergeCell ref="I4:K4"/>
  </mergeCells>
  <printOptions horizontalCentered="1"/>
  <pageMargins left="0.4" right="0.4" top="0.5" bottom="0.5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Parameter</vt:lpstr>
      <vt:lpstr>Personalplanung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Personalkostenplanung 2026 – Vorlage</dc:title>
  <dc:subject/>
  <dc:creator>Vorlage</dc:creator>
  <dc:description/>
  <cp:lastModifiedBy>Sergio Jiménez Canales</cp:lastModifiedBy>
  <cp:revision>1</cp:revision>
  <dcterms:created xsi:type="dcterms:W3CDTF">2026-06-30T10:23:40Z</dcterms:created>
  <dcterms:modified xsi:type="dcterms:W3CDTF">2026-06-30T14:27:24Z</dcterms:modified>
  <dc:language>en-US</dc:language>
</cp:coreProperties>
</file>