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82A736AC-C7C8-43A9-BE05-2F392C0CF8BE}" xr6:coauthVersionLast="47" xr6:coauthVersionMax="47" xr10:uidLastSave="{00000000-0000-0000-0000-000000000000}"/>
  <bookViews>
    <workbookView xWindow="1380" yWindow="1380" windowWidth="25500" windowHeight="13500" tabRatio="500" xr2:uid="{00000000-000D-0000-FFFF-FFFF00000000}"/>
  </bookViews>
  <sheets>
    <sheet name="Übersicht" sheetId="1" r:id="rId1"/>
    <sheet name="Mitarbeiterstamm" sheetId="2" r:id="rId2"/>
    <sheet name="Einsatzplan" sheetId="3" r:id="rId3"/>
    <sheet name="Legende" sheetId="4" r:id="rId4"/>
  </sheets>
  <definedNames>
    <definedName name="Abteilungen">Mitarbeiterstamm!$C$23:$C$26</definedName>
    <definedName name="CodeListe">Legende!$B$6:$B$16</definedName>
    <definedName name="_xlnm.Print_Titles" localSheetId="2">Einsatzplan!$6:$7,Einsatzplan!$A:$D</definedName>
    <definedName name="Feiertage">Legende!$B$20:$B$28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Q22" i="3" l="1"/>
  <c r="AP22" i="3"/>
  <c r="AO22" i="3"/>
  <c r="AN22" i="3"/>
  <c r="AJ22" i="3"/>
  <c r="AK22" i="3" s="1"/>
  <c r="D22" i="3"/>
  <c r="AL22" i="3" s="1"/>
  <c r="C22" i="3"/>
  <c r="B22" i="3"/>
  <c r="A22" i="3"/>
  <c r="AQ21" i="3"/>
  <c r="AP21" i="3"/>
  <c r="AO21" i="3"/>
  <c r="AN21" i="3"/>
  <c r="AJ21" i="3"/>
  <c r="AK21" i="3" s="1"/>
  <c r="D21" i="3"/>
  <c r="AL21" i="3" s="1"/>
  <c r="C21" i="3"/>
  <c r="B21" i="3"/>
  <c r="A21" i="3"/>
  <c r="AQ20" i="3"/>
  <c r="AP20" i="3"/>
  <c r="AO20" i="3"/>
  <c r="AN20" i="3"/>
  <c r="AJ20" i="3"/>
  <c r="AK20" i="3" s="1"/>
  <c r="D20" i="3"/>
  <c r="AL20" i="3" s="1"/>
  <c r="C20" i="3"/>
  <c r="B20" i="3"/>
  <c r="A20" i="3"/>
  <c r="AQ19" i="3"/>
  <c r="AP19" i="3"/>
  <c r="AO19" i="3"/>
  <c r="AN19" i="3"/>
  <c r="AL19" i="3"/>
  <c r="AJ19" i="3"/>
  <c r="AK19" i="3" s="1"/>
  <c r="AM19" i="3" s="1"/>
  <c r="D19" i="3"/>
  <c r="C19" i="3"/>
  <c r="B19" i="3"/>
  <c r="A19" i="3"/>
  <c r="AQ18" i="3"/>
  <c r="AP18" i="3"/>
  <c r="AO18" i="3"/>
  <c r="AN18" i="3"/>
  <c r="AK18" i="3"/>
  <c r="AJ18" i="3"/>
  <c r="D18" i="3"/>
  <c r="AL18" i="3" s="1"/>
  <c r="C18" i="3"/>
  <c r="B18" i="3"/>
  <c r="A18" i="3"/>
  <c r="AQ17" i="3"/>
  <c r="AP17" i="3"/>
  <c r="AO17" i="3"/>
  <c r="AN17" i="3"/>
  <c r="AJ17" i="3"/>
  <c r="AK17" i="3" s="1"/>
  <c r="D17" i="3"/>
  <c r="AL17" i="3" s="1"/>
  <c r="D19" i="1" s="1"/>
  <c r="C17" i="3"/>
  <c r="B17" i="3"/>
  <c r="A17" i="3"/>
  <c r="AQ16" i="3"/>
  <c r="AP16" i="3"/>
  <c r="AO16" i="3"/>
  <c r="AN16" i="3"/>
  <c r="AJ16" i="3"/>
  <c r="AK16" i="3" s="1"/>
  <c r="D16" i="3"/>
  <c r="AL16" i="3" s="1"/>
  <c r="C16" i="3"/>
  <c r="B16" i="3"/>
  <c r="A16" i="3"/>
  <c r="AQ15" i="3"/>
  <c r="AP15" i="3"/>
  <c r="AO15" i="3"/>
  <c r="AN15" i="3"/>
  <c r="AL15" i="3"/>
  <c r="AJ15" i="3"/>
  <c r="AK15" i="3" s="1"/>
  <c r="AM15" i="3" s="1"/>
  <c r="D15" i="3"/>
  <c r="C15" i="3"/>
  <c r="B15" i="3"/>
  <c r="A15" i="3"/>
  <c r="AQ14" i="3"/>
  <c r="AP14" i="3"/>
  <c r="AO14" i="3"/>
  <c r="AN14" i="3"/>
  <c r="AL14" i="3"/>
  <c r="AJ14" i="3"/>
  <c r="AK14" i="3" s="1"/>
  <c r="AM14" i="3" s="1"/>
  <c r="D14" i="3"/>
  <c r="C14" i="3"/>
  <c r="B14" i="3"/>
  <c r="A14" i="3"/>
  <c r="AQ13" i="3"/>
  <c r="AP13" i="3"/>
  <c r="AO13" i="3"/>
  <c r="AN13" i="3"/>
  <c r="AK13" i="3"/>
  <c r="AJ13" i="3"/>
  <c r="D13" i="3"/>
  <c r="AL13" i="3" s="1"/>
  <c r="C13" i="3"/>
  <c r="B13" i="3"/>
  <c r="A13" i="3"/>
  <c r="AQ12" i="3"/>
  <c r="AP12" i="3"/>
  <c r="AO12" i="3"/>
  <c r="AN12" i="3"/>
  <c r="AJ12" i="3"/>
  <c r="AK12" i="3" s="1"/>
  <c r="AM12" i="3" s="1"/>
  <c r="D12" i="3"/>
  <c r="AL12" i="3" s="1"/>
  <c r="C12" i="3"/>
  <c r="B12" i="3"/>
  <c r="A12" i="3"/>
  <c r="AQ11" i="3"/>
  <c r="AP11" i="3"/>
  <c r="AO11" i="3"/>
  <c r="AN11" i="3"/>
  <c r="AJ11" i="3"/>
  <c r="AK11" i="3" s="1"/>
  <c r="D11" i="3"/>
  <c r="AL11" i="3" s="1"/>
  <c r="C11" i="3"/>
  <c r="E19" i="1" s="1"/>
  <c r="B11" i="3"/>
  <c r="A11" i="3"/>
  <c r="AQ10" i="3"/>
  <c r="AP10" i="3"/>
  <c r="AO10" i="3"/>
  <c r="AN10" i="3"/>
  <c r="AL10" i="3"/>
  <c r="AJ10" i="3"/>
  <c r="AK10" i="3" s="1"/>
  <c r="AM10" i="3" s="1"/>
  <c r="D10" i="3"/>
  <c r="C10" i="3"/>
  <c r="B10" i="3"/>
  <c r="A10" i="3"/>
  <c r="AQ9" i="3"/>
  <c r="AP9" i="3"/>
  <c r="AO9" i="3"/>
  <c r="AN9" i="3"/>
  <c r="AL9" i="3"/>
  <c r="AJ9" i="3"/>
  <c r="AK9" i="3" s="1"/>
  <c r="D9" i="3"/>
  <c r="C9" i="3"/>
  <c r="B9" i="3"/>
  <c r="A9" i="3"/>
  <c r="AQ8" i="3"/>
  <c r="AP8" i="3"/>
  <c r="AO8" i="3"/>
  <c r="AN8" i="3"/>
  <c r="AK8" i="3"/>
  <c r="AJ8" i="3"/>
  <c r="D8" i="3"/>
  <c r="AL8" i="3" s="1"/>
  <c r="C8" i="3"/>
  <c r="B8" i="3"/>
  <c r="A8" i="3"/>
  <c r="AH7" i="3"/>
  <c r="N7" i="3"/>
  <c r="F7" i="3"/>
  <c r="AI6" i="3"/>
  <c r="AI25" i="3" s="1"/>
  <c r="AH6" i="3"/>
  <c r="AH25" i="3" s="1"/>
  <c r="AG6" i="3"/>
  <c r="AG25" i="3" s="1"/>
  <c r="AF6" i="3"/>
  <c r="AF25" i="3" s="1"/>
  <c r="AE6" i="3"/>
  <c r="AE25" i="3" s="1"/>
  <c r="AD6" i="3"/>
  <c r="AD25" i="3" s="1"/>
  <c r="AC6" i="3"/>
  <c r="AC25" i="3" s="1"/>
  <c r="AB6" i="3"/>
  <c r="AB25" i="3" s="1"/>
  <c r="AA6" i="3"/>
  <c r="AA25" i="3" s="1"/>
  <c r="Z6" i="3"/>
  <c r="Z24" i="3" s="1"/>
  <c r="Y6" i="3"/>
  <c r="Y24" i="3" s="1"/>
  <c r="X6" i="3"/>
  <c r="X24" i="3" s="1"/>
  <c r="W6" i="3"/>
  <c r="W24" i="3" s="1"/>
  <c r="V6" i="3"/>
  <c r="V24" i="3" s="1"/>
  <c r="U6" i="3"/>
  <c r="U24" i="3" s="1"/>
  <c r="T6" i="3"/>
  <c r="T24" i="3" s="1"/>
  <c r="S6" i="3"/>
  <c r="S24" i="3" s="1"/>
  <c r="R6" i="3"/>
  <c r="R24" i="3" s="1"/>
  <c r="Q6" i="3"/>
  <c r="Q7" i="3" s="1"/>
  <c r="P6" i="3"/>
  <c r="P7" i="3" s="1"/>
  <c r="O6" i="3"/>
  <c r="O25" i="3" s="1"/>
  <c r="N6" i="3"/>
  <c r="N25" i="3" s="1"/>
  <c r="M6" i="3"/>
  <c r="M25" i="3" s="1"/>
  <c r="L6" i="3"/>
  <c r="L25" i="3" s="1"/>
  <c r="K6" i="3"/>
  <c r="K25" i="3" s="1"/>
  <c r="J6" i="3"/>
  <c r="J25" i="3" s="1"/>
  <c r="I6" i="3"/>
  <c r="I25" i="3" s="1"/>
  <c r="H6" i="3"/>
  <c r="H25" i="3" s="1"/>
  <c r="G6" i="3"/>
  <c r="G25" i="3" s="1"/>
  <c r="F6" i="3"/>
  <c r="F24" i="3" s="1"/>
  <c r="E6" i="3"/>
  <c r="E24" i="3" s="1"/>
  <c r="U3" i="3"/>
  <c r="B26" i="2"/>
  <c r="B25" i="2"/>
  <c r="B24" i="2"/>
  <c r="B23" i="2"/>
  <c r="I19" i="1"/>
  <c r="I18" i="1"/>
  <c r="I17" i="1"/>
  <c r="I16" i="1"/>
  <c r="H10" i="1"/>
  <c r="F10" i="1"/>
  <c r="D10" i="1"/>
  <c r="B10" i="1"/>
  <c r="B5" i="1"/>
  <c r="A2" i="1"/>
  <c r="AM21" i="3" l="1"/>
  <c r="AM17" i="3"/>
  <c r="AM13" i="3"/>
  <c r="AM9" i="3"/>
  <c r="H5" i="1"/>
  <c r="D5" i="1"/>
  <c r="E16" i="1"/>
  <c r="AM11" i="3"/>
  <c r="AM8" i="3"/>
  <c r="AM22" i="3"/>
  <c r="F5" i="1"/>
  <c r="D16" i="1"/>
  <c r="AM20" i="3"/>
  <c r="AM18" i="3"/>
  <c r="AM16" i="3"/>
  <c r="R7" i="3"/>
  <c r="G24" i="3"/>
  <c r="AA24" i="3"/>
  <c r="P25" i="3"/>
  <c r="S7" i="3"/>
  <c r="H24" i="3"/>
  <c r="AB24" i="3"/>
  <c r="Q25" i="3"/>
  <c r="T7" i="3"/>
  <c r="I24" i="3"/>
  <c r="AC24" i="3"/>
  <c r="R25" i="3"/>
  <c r="D17" i="1"/>
  <c r="E17" i="1"/>
  <c r="U7" i="3"/>
  <c r="J24" i="3"/>
  <c r="AD24" i="3"/>
  <c r="S25" i="3"/>
  <c r="V7" i="3"/>
  <c r="K24" i="3"/>
  <c r="AE24" i="3"/>
  <c r="T25" i="3"/>
  <c r="W7" i="3"/>
  <c r="L24" i="3"/>
  <c r="AF24" i="3"/>
  <c r="U25" i="3"/>
  <c r="D18" i="1"/>
  <c r="E18" i="1"/>
  <c r="X7" i="3"/>
  <c r="M24" i="3"/>
  <c r="AG24" i="3"/>
  <c r="V25" i="3"/>
  <c r="E7" i="3"/>
  <c r="Y7" i="3"/>
  <c r="N24" i="3"/>
  <c r="AH24" i="3"/>
  <c r="W25" i="3"/>
  <c r="O24" i="3"/>
  <c r="AI24" i="3"/>
  <c r="X25" i="3"/>
  <c r="G7" i="3"/>
  <c r="AA7" i="3"/>
  <c r="P24" i="3"/>
  <c r="E25" i="3"/>
  <c r="Y25" i="3"/>
  <c r="H7" i="3"/>
  <c r="AB7" i="3"/>
  <c r="Q24" i="3"/>
  <c r="F25" i="3"/>
  <c r="Z25" i="3"/>
  <c r="Z7" i="3"/>
  <c r="I7" i="3"/>
  <c r="AC7" i="3"/>
  <c r="J7" i="3"/>
  <c r="AD7" i="3"/>
  <c r="K7" i="3"/>
  <c r="AE7" i="3"/>
  <c r="L7" i="3"/>
  <c r="AF7" i="3"/>
  <c r="M7" i="3"/>
  <c r="AG7" i="3"/>
  <c r="O7" i="3"/>
  <c r="AI7" i="3"/>
</calcChain>
</file>

<file path=xl/sharedStrings.xml><?xml version="1.0" encoding="utf-8"?>
<sst xmlns="http://schemas.openxmlformats.org/spreadsheetml/2006/main" count="673" uniqueCount="141">
  <si>
    <t>Mitarbeitende (aktiv)</t>
  </si>
  <si>
    <t>Geplante Stunden (Monat)</t>
  </si>
  <si>
    <t>Sollstunden (Monat)</t>
  </si>
  <si>
    <t>Auslastung</t>
  </si>
  <si>
    <t>Urlaubstage (geplant)</t>
  </si>
  <si>
    <t>Krankheitstage</t>
  </si>
  <si>
    <t>Offene Schichten</t>
  </si>
  <si>
    <t>Planungszeitraum</t>
  </si>
  <si>
    <t>Auswertung nach Abteilung &amp; Abwesenheitsart</t>
  </si>
  <si>
    <t>Abteilung</t>
  </si>
  <si>
    <t>Sollstd.</t>
  </si>
  <si>
    <t>Geplant</t>
  </si>
  <si>
    <t>Abwesenheitsart</t>
  </si>
  <si>
    <t>Tage</t>
  </si>
  <si>
    <t>Verkauf</t>
  </si>
  <si>
    <t>Urlaub</t>
  </si>
  <si>
    <t>Logistik</t>
  </si>
  <si>
    <t>Krankheit</t>
  </si>
  <si>
    <t>Kundenservice</t>
  </si>
  <si>
    <t>Home-Office</t>
  </si>
  <si>
    <t>Verwaltung</t>
  </si>
  <si>
    <t>Schulung</t>
  </si>
  <si>
    <t>MITARBEITERSTAMM</t>
  </si>
  <si>
    <t>Lindenberg Service GmbH  •  Stammdaten aller Mitarbeitenden – Grundlage für Einsatzplan und Übersicht</t>
  </si>
  <si>
    <t>Pers.-Nr.</t>
  </si>
  <si>
    <t>Name</t>
  </si>
  <si>
    <t>Position</t>
  </si>
  <si>
    <t>Beschäftigung</t>
  </si>
  <si>
    <t>Wochenstd.
(Soll)</t>
  </si>
  <si>
    <t>Urlaubs-
anspruch/Jahr</t>
  </si>
  <si>
    <t>Resturlaub
Vorjahr</t>
  </si>
  <si>
    <t>Eintritts-
datum</t>
  </si>
  <si>
    <t>Status</t>
  </si>
  <si>
    <t>P-101</t>
  </si>
  <si>
    <t>Lea Hoffmann</t>
  </si>
  <si>
    <t>Verkäuferin</t>
  </si>
  <si>
    <t>Vollzeit</t>
  </si>
  <si>
    <t>Aktiv</t>
  </si>
  <si>
    <t>P-102</t>
  </si>
  <si>
    <t>Jonas Vogel</t>
  </si>
  <si>
    <t>Verkäufer</t>
  </si>
  <si>
    <t>P-103</t>
  </si>
  <si>
    <t>Mara Seidel</t>
  </si>
  <si>
    <t>Teilzeit</t>
  </si>
  <si>
    <t>P-104</t>
  </si>
  <si>
    <t>Tobias Krüger</t>
  </si>
  <si>
    <t>Lagerist</t>
  </si>
  <si>
    <t>P-105</t>
  </si>
  <si>
    <t>Sven Brandt</t>
  </si>
  <si>
    <t>P-106</t>
  </si>
  <si>
    <t>Nina Albrecht</t>
  </si>
  <si>
    <t>Lagerhelferin</t>
  </si>
  <si>
    <t>P-107</t>
  </si>
  <si>
    <t>Paul Reuter</t>
  </si>
  <si>
    <t>Kundenberater</t>
  </si>
  <si>
    <t>P-108</t>
  </si>
  <si>
    <t>Hannah Wolters</t>
  </si>
  <si>
    <t>Kundenberaterin</t>
  </si>
  <si>
    <t>P-109</t>
  </si>
  <si>
    <t>Felix Brandner</t>
  </si>
  <si>
    <t>P-110</t>
  </si>
  <si>
    <t>Sophie Lehmann</t>
  </si>
  <si>
    <t>Sachbearbeiterin</t>
  </si>
  <si>
    <t>P-111</t>
  </si>
  <si>
    <t>David Naumann</t>
  </si>
  <si>
    <t>Sachbearbeiter</t>
  </si>
  <si>
    <t>P-112</t>
  </si>
  <si>
    <t>Carla Ostermann</t>
  </si>
  <si>
    <t>Teamleiterin Verkauf</t>
  </si>
  <si>
    <t>P-113</t>
  </si>
  <si>
    <t>Erik Thalheim</t>
  </si>
  <si>
    <t>Teamleiter Logistik</t>
  </si>
  <si>
    <t>P-114</t>
  </si>
  <si>
    <t>Julia Pernsteiner</t>
  </si>
  <si>
    <t>P-115</t>
  </si>
  <si>
    <t>Maximilian Greve</t>
  </si>
  <si>
    <t>Mitarbeitende je Abteilung (aktiv)</t>
  </si>
  <si>
    <t>PERSONALEINSATZPLANUNG</t>
  </si>
  <si>
    <t>Lindenberg Service GmbH  •  Monatlicher Schicht- und Einsatzplan</t>
  </si>
  <si>
    <t>Monat (1–12):</t>
  </si>
  <si>
    <t>Jahr:</t>
  </si>
  <si>
    <t>Standort:</t>
  </si>
  <si>
    <t>Hamburg-Zentrum</t>
  </si>
  <si>
    <t>Zeitraum:</t>
  </si>
  <si>
    <t>Tipp: Tageszelle anklicken und Code per Dropdown wählen (Erläuterung siehe Tabellenblatt 'Legende'). Goldene Zellen sind Eingabefelder, weiße/graue Zellen werden automatisch berechnet.</t>
  </si>
  <si>
    <t>Std./
Tag</t>
  </si>
  <si>
    <t>Arbeits-
tage</t>
  </si>
  <si>
    <t>Geplante
Std.</t>
  </si>
  <si>
    <t>Soll-
stunden</t>
  </si>
  <si>
    <t>Differenz
(Std.)</t>
  </si>
  <si>
    <t>Urlaubs-
tage</t>
  </si>
  <si>
    <t>Krankheits-
tage</t>
  </si>
  <si>
    <t>Home-
Office</t>
  </si>
  <si>
    <t>Schulungs-
tage</t>
  </si>
  <si>
    <t>FT</t>
  </si>
  <si>
    <t>X</t>
  </si>
  <si>
    <t>F</t>
  </si>
  <si>
    <t>S</t>
  </si>
  <si>
    <t>U</t>
  </si>
  <si>
    <t>K</t>
  </si>
  <si>
    <t>N</t>
  </si>
  <si>
    <t>?</t>
  </si>
  <si>
    <t>T</t>
  </si>
  <si>
    <t>HO</t>
  </si>
  <si>
    <t>SC</t>
  </si>
  <si>
    <t>Personal im Einsatz (Anzahl)</t>
  </si>
  <si>
    <t>Abwesend (Urlaub / Krankheit)</t>
  </si>
  <si>
    <t>LEGENDE &amp; EINSTELLUNGEN</t>
  </si>
  <si>
    <t>Schicht- und Abwesenheitscodes, gesetzliche Feiertage sowie Hinweise zur Nutzung dieser Vorlage.</t>
  </si>
  <si>
    <t>Schicht- und Abwesenheitscodes</t>
  </si>
  <si>
    <t>Code</t>
  </si>
  <si>
    <t>Bezeichnung</t>
  </si>
  <si>
    <t>Richtwert</t>
  </si>
  <si>
    <t>Frühschicht</t>
  </si>
  <si>
    <t>8 Std. (Richtwert)</t>
  </si>
  <si>
    <t>Spätschicht</t>
  </si>
  <si>
    <t>Nachtschicht</t>
  </si>
  <si>
    <t>Tagschicht / Normaldienst</t>
  </si>
  <si>
    <t>Schulung / Fortbildung</t>
  </si>
  <si>
    <t>ganztägig</t>
  </si>
  <si>
    <t>Feiertag</t>
  </si>
  <si>
    <t>Frei / dienstfrei</t>
  </si>
  <si>
    <t>Offen / noch zu planen</t>
  </si>
  <si>
    <t>zu klären</t>
  </si>
  <si>
    <t>Gesetzliche Feiertage 2026 (bundeseinheitlich)</t>
  </si>
  <si>
    <t>Datum</t>
  </si>
  <si>
    <t>Neujahr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</si>
  <si>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</si>
  <si>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</si>
  <si>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</si>
  <si>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</si>
  <si>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</si>
  <si>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</si>
  <si>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1. Weihnachtsfeiertag</t>
  </si>
  <si>
    <t>2. Weihnachtsfeiertag</t>
  </si>
  <si>
    <t>Hinweis: Regionale Feiertage einzelner Bundesländer sind hier nicht enthalten und sollten bei Bedarf ergänzt werden.</t>
  </si>
  <si>
    <t>Hinweise zur Nutzung</t>
  </si>
  <si>
    <t>Goldene Zellen = Eingabefelder (z. B. Monat, Jahr, Stammdaten, Tageskürzel).</t>
  </si>
  <si>
    <t>Weiße/graue Zellen = automatisch berechnete Felder (bitte nicht überschreiben).</t>
  </si>
  <si>
    <t>Hinweis zum Arbeitszeitgesetz (ArbZG): Die werktägliche Arbeitszeit darf 8 Std. in der Regel nicht überschreiten (Verlängerung auf bis zu 10 Std. nur mit Ausgleich möglich), zwischen zwei Arbeitstagen sind mind. 11 Std. Ruhezeit einzuhalten. Diese Vorlage ersetzt keine Rechtsberatung – bitte unternehmensspezifische Regelungen prüfen.</t>
  </si>
  <si>
    <t>PERSONALEINSATZPLANUNG  - ÜBERSICHT &amp; KENNZAHLEN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</si>
</sst>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&quot; Std.&quot;"/>
    <numFmt numFmtId="165" formatCode="dd\.mm\.yyyy"/>
    <numFmt numFmtId="166" formatCode="d"/>
    <numFmt numFmtId="167" formatCode="0.0"/>
    <numFmt numFmtId="168" formatCode="0.0&quot; Std.&quot;"/>
    <numFmt numFmtId="169" formatCode="\+0.0&quot; Std.&quot;;\-0.0&quot; Std.&quot;;0.0&quot; Std.&quot;"/>
  </numFmts>
  <fonts count="20" x14ac:knownFonts="1">
    <font>
      <sz val="11"/>
      <color theme="1"/>
      <name val="Calibri"/>
      <family val="2"/>
      <charset val="1"/>
    </font>
    <font>
      <b/>
      <sz val="16"/>
      <color rgb="FFFFFFFF"/>
      <name val="Calibri"/>
      <charset val="1"/>
    </font>
    <font>
      <i/>
      <sz val="10"/>
      <color rgb="FF6B7785"/>
      <name val="Calibri"/>
      <charset val="1"/>
    </font>
    <font>
      <b/>
      <sz val="9"/>
      <color rgb="FFFFFFFF"/>
      <name val="Calibri"/>
      <charset val="1"/>
    </font>
    <font>
      <b/>
      <sz val="20"/>
      <color rgb="FF1F3B4D"/>
      <name val="Calibri"/>
      <charset val="1"/>
    </font>
    <font>
      <b/>
      <sz val="13"/>
      <color rgb="FF1F3B4D"/>
      <name val="Calibri"/>
      <charset val="1"/>
    </font>
    <font>
      <b/>
      <sz val="12"/>
      <color rgb="FFFFFFFF"/>
      <name val="Calibri"/>
      <charset val="1"/>
    </font>
    <font>
      <sz val="9"/>
      <color rgb="FF23303B"/>
      <name val="Calibri"/>
      <charset val="1"/>
    </font>
    <font>
      <b/>
      <sz val="10"/>
      <color rgb="FFFFFFFF"/>
      <name val="Calibri"/>
      <charset val="1"/>
    </font>
    <font>
      <sz val="10"/>
      <color rgb="FF23303B"/>
      <name val="Calibri"/>
      <charset val="1"/>
    </font>
    <font>
      <b/>
      <sz val="10"/>
      <color rgb="FF1F3B4D"/>
      <name val="Calibri"/>
      <charset val="1"/>
    </font>
    <font>
      <b/>
      <sz val="11"/>
      <color rgb="FF1F3B4D"/>
      <name val="Calibri"/>
      <charset val="1"/>
    </font>
    <font>
      <i/>
      <sz val="9"/>
      <color rgb="FF6B7785"/>
      <name val="Calibri"/>
      <charset val="1"/>
    </font>
    <font>
      <sz val="8"/>
      <color rgb="FFFFFFFF"/>
      <name val="Calibri"/>
      <charset val="1"/>
    </font>
    <font>
      <b/>
      <sz val="9"/>
      <color rgb="FF23303B"/>
      <name val="Calibri"/>
      <charset val="1"/>
    </font>
    <font>
      <sz val="9"/>
      <color rgb="FF1F3B4D"/>
      <name val="Calibri"/>
      <charset val="1"/>
    </font>
    <font>
      <sz val="9"/>
      <color rgb="FFFFFFFF"/>
      <name val="Calibri"/>
      <charset val="1"/>
    </font>
    <font>
      <b/>
      <sz val="11"/>
      <color rgb="FF23303B"/>
      <name val="Calibri"/>
      <charset val="1"/>
    </font>
    <font>
      <sz val="9"/>
      <color rgb="FF6B7785"/>
      <name val="Calibri"/>
      <charset val="1"/>
    </font>
    <font>
      <b/>
      <sz val="21"/>
      <color rgb="FFFFFFFF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1F3B4D"/>
        <bgColor rgb="FF23303B"/>
      </patternFill>
    </fill>
    <fill>
      <patternFill patternType="solid">
        <fgColor rgb="FF2E7D6E"/>
        <bgColor rgb="FF008080"/>
      </patternFill>
    </fill>
    <fill>
      <patternFill patternType="solid">
        <fgColor rgb="FFFFFFFF"/>
        <bgColor rgb="FFF9F9F9"/>
      </patternFill>
    </fill>
    <fill>
      <patternFill patternType="solid">
        <fgColor rgb="FFF4F5F7"/>
        <bgColor rgb="FFF1F2F3"/>
      </patternFill>
    </fill>
    <fill>
      <patternFill patternType="solid">
        <fgColor rgb="FFFBEED2"/>
        <bgColor rgb="FFF1F2F3"/>
      </patternFill>
    </fill>
    <fill>
      <patternFill patternType="solid">
        <fgColor rgb="FFD8D2E0"/>
        <bgColor rgb="FFD9D9D9"/>
      </patternFill>
    </fill>
    <fill>
      <patternFill patternType="solid">
        <fgColor rgb="FFF1F2F3"/>
        <bgColor rgb="FFF4F5F7"/>
      </patternFill>
    </fill>
    <fill>
      <patternFill patternType="solid">
        <fgColor rgb="FFC7DCEE"/>
        <bgColor rgb="FFBFE6DF"/>
      </patternFill>
    </fill>
    <fill>
      <patternFill patternType="solid">
        <fgColor rgb="FFF3DCAE"/>
        <bgColor rgb="FFEDE4A6"/>
      </patternFill>
    </fill>
    <fill>
      <patternFill patternType="solid">
        <fgColor rgb="FFFBE07A"/>
        <bgColor rgb="FFEDE4A6"/>
      </patternFill>
    </fill>
    <fill>
      <patternFill patternType="solid">
        <fgColor rgb="FFF2B6AE"/>
        <bgColor rgb="FFF3DCAE"/>
      </patternFill>
    </fill>
    <fill>
      <patternFill patternType="solid">
        <fgColor rgb="FFCFC8E8"/>
        <bgColor rgb="FFD8D2E0"/>
      </patternFill>
    </fill>
    <fill>
      <patternFill patternType="solid">
        <fgColor rgb="FFF3A35C"/>
        <bgColor rgb="FFC9952F"/>
      </patternFill>
    </fill>
    <fill>
      <patternFill patternType="solid">
        <fgColor rgb="FFCFE3C9"/>
        <bgColor rgb="FFD9D9D9"/>
      </patternFill>
    </fill>
    <fill>
      <patternFill patternType="solid">
        <fgColor rgb="FFBFE6DF"/>
        <bgColor rgb="FFC7DCEE"/>
      </patternFill>
    </fill>
    <fill>
      <patternFill patternType="solid">
        <fgColor rgb="FFEDE4A6"/>
        <bgColor rgb="FFF3DCAE"/>
      </patternFill>
    </fill>
    <fill>
      <patternFill patternType="solid">
        <fgColor rgb="FF8C97A3"/>
        <bgColor rgb="FF9AA5B1"/>
      </patternFill>
    </fill>
  </fills>
  <borders count="6">
    <border>
      <left/>
      <right/>
      <top/>
      <bottom/>
      <diagonal/>
    </border>
    <border>
      <left style="thin">
        <color rgb="FFD9DCE1"/>
      </left>
      <right/>
      <top style="thin">
        <color rgb="FFD9DCE1"/>
      </top>
      <bottom style="thin">
        <color rgb="FFD9DCE1"/>
      </bottom>
      <diagonal/>
    </border>
    <border>
      <left style="thin">
        <color rgb="FFD9DCE1"/>
      </left>
      <right/>
      <top style="thin">
        <color rgb="FFD9DCE1"/>
      </top>
      <bottom/>
      <diagonal/>
    </border>
    <border>
      <left style="thin">
        <color rgb="FFD9DCE1"/>
      </left>
      <right style="thin">
        <color rgb="FFD9DCE1"/>
      </right>
      <top style="thin">
        <color rgb="FFD9DCE1"/>
      </top>
      <bottom style="thin">
        <color rgb="FFD9DCE1"/>
      </bottom>
      <diagonal/>
    </border>
    <border>
      <left style="thin">
        <color rgb="FFC9952F"/>
      </left>
      <right style="thin">
        <color rgb="FFC9952F"/>
      </right>
      <top style="thin">
        <color rgb="FFC9952F"/>
      </top>
      <bottom style="thin">
        <color rgb="FFC9952F"/>
      </bottom>
      <diagonal/>
    </border>
    <border>
      <left style="thin">
        <color rgb="FFC9952F"/>
      </left>
      <right/>
      <top style="thin">
        <color rgb="FFC9952F"/>
      </top>
      <bottom style="thin">
        <color rgb="FFC9952F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1" fillId="6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8" fillId="3" borderId="0" xfId="0" applyFont="1" applyFill="1"/>
    <xf numFmtId="0" fontId="7" fillId="5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3" borderId="0" xfId="0" applyFont="1" applyFill="1"/>
    <xf numFmtId="49" fontId="5" fillId="4" borderId="2" xfId="0" applyNumberFormat="1" applyFont="1" applyFill="1" applyBorder="1" applyAlignment="1">
      <alignment horizontal="center" vertical="center"/>
    </xf>
    <xf numFmtId="9" fontId="4" fillId="4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0" xfId="0" applyFont="1" applyFill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>
      <alignment horizontal="center" vertical="center"/>
    </xf>
    <xf numFmtId="1" fontId="7" fillId="5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/>
    </xf>
    <xf numFmtId="1" fontId="9" fillId="4" borderId="3" xfId="0" applyNumberFormat="1" applyFont="1" applyFill="1" applyBorder="1" applyAlignment="1">
      <alignment horizontal="center" vertical="center"/>
    </xf>
    <xf numFmtId="165" fontId="9" fillId="4" borderId="3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left" vertical="center"/>
    </xf>
    <xf numFmtId="1" fontId="9" fillId="5" borderId="3" xfId="0" applyNumberFormat="1" applyFont="1" applyFill="1" applyBorder="1" applyAlignment="1">
      <alignment horizontal="center" vertical="center"/>
    </xf>
    <xf numFmtId="165" fontId="9" fillId="5" borderId="3" xfId="0" applyNumberFormat="1" applyFont="1" applyFill="1" applyBorder="1" applyAlignment="1">
      <alignment horizontal="center" vertical="center"/>
    </xf>
    <xf numFmtId="0" fontId="9" fillId="6" borderId="3" xfId="0" applyFont="1" applyFill="1" applyBorder="1"/>
    <xf numFmtId="0" fontId="10" fillId="4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166" fontId="3" fillId="2" borderId="3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167" fontId="7" fillId="4" borderId="3" xfId="0" applyNumberFormat="1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168" fontId="15" fillId="4" borderId="3" xfId="0" applyNumberFormat="1" applyFont="1" applyFill="1" applyBorder="1" applyAlignment="1">
      <alignment horizontal="center" vertical="center"/>
    </xf>
    <xf numFmtId="169" fontId="7" fillId="4" borderId="3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/>
    </xf>
    <xf numFmtId="167" fontId="7" fillId="5" borderId="3" xfId="0" applyNumberFormat="1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/>
    </xf>
    <xf numFmtId="168" fontId="15" fillId="5" borderId="3" xfId="0" applyNumberFormat="1" applyFont="1" applyFill="1" applyBorder="1" applyAlignment="1">
      <alignment horizontal="center" vertical="center"/>
    </xf>
    <xf numFmtId="169" fontId="7" fillId="5" borderId="3" xfId="0" applyNumberFormat="1" applyFont="1" applyFill="1" applyBorder="1" applyAlignment="1">
      <alignment horizontal="center" vertical="center"/>
    </xf>
    <xf numFmtId="0" fontId="14" fillId="12" borderId="3" xfId="0" applyFont="1" applyFill="1" applyBorder="1" applyAlignment="1">
      <alignment horizontal="center" vertical="center"/>
    </xf>
    <xf numFmtId="0" fontId="14" fillId="13" borderId="3" xfId="0" applyFont="1" applyFill="1" applyBorder="1" applyAlignment="1">
      <alignment horizontal="center" vertical="center"/>
    </xf>
    <xf numFmtId="0" fontId="14" fillId="14" borderId="3" xfId="0" applyFont="1" applyFill="1" applyBorder="1" applyAlignment="1">
      <alignment horizontal="center" vertical="center"/>
    </xf>
    <xf numFmtId="0" fontId="14" fillId="15" borderId="3" xfId="0" applyFon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center" vertical="center"/>
    </xf>
    <xf numFmtId="0" fontId="14" fillId="17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3" borderId="3" xfId="0" applyFill="1" applyBorder="1"/>
    <xf numFmtId="0" fontId="16" fillId="18" borderId="3" xfId="0" applyFont="1" applyFill="1" applyBorder="1" applyAlignment="1">
      <alignment horizontal="center" vertical="center"/>
    </xf>
    <xf numFmtId="0" fontId="0" fillId="18" borderId="3" xfId="0" applyFill="1" applyBorder="1"/>
    <xf numFmtId="0" fontId="8" fillId="2" borderId="3" xfId="0" applyFont="1" applyFill="1" applyBorder="1" applyAlignment="1">
      <alignment horizontal="center" vertical="center"/>
    </xf>
    <xf numFmtId="0" fontId="0" fillId="9" borderId="3" xfId="0" applyFill="1" applyBorder="1"/>
    <xf numFmtId="0" fontId="17" fillId="4" borderId="3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0" fillId="10" borderId="3" xfId="0" applyFill="1" applyBorder="1"/>
    <xf numFmtId="0" fontId="17" fillId="5" borderId="3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0" fillId="13" borderId="3" xfId="0" applyFill="1" applyBorder="1"/>
    <xf numFmtId="0" fontId="0" fillId="15" borderId="3" xfId="0" applyFill="1" applyBorder="1"/>
    <xf numFmtId="0" fontId="0" fillId="16" borderId="3" xfId="0" applyFill="1" applyBorder="1"/>
    <xf numFmtId="0" fontId="0" fillId="17" borderId="3" xfId="0" applyFill="1" applyBorder="1"/>
    <xf numFmtId="0" fontId="0" fillId="11" borderId="3" xfId="0" applyFill="1" applyBorder="1"/>
    <xf numFmtId="0" fontId="0" fillId="12" borderId="3" xfId="0" applyFill="1" applyBorder="1"/>
    <xf numFmtId="0" fontId="0" fillId="7" borderId="3" xfId="0" applyFill="1" applyBorder="1"/>
    <xf numFmtId="0" fontId="0" fillId="8" borderId="3" xfId="0" applyFill="1" applyBorder="1"/>
    <xf numFmtId="0" fontId="0" fillId="14" borderId="3" xfId="0" applyFill="1" applyBorder="1"/>
    <xf numFmtId="0" fontId="9" fillId="4" borderId="3" xfId="0" applyFont="1" applyFill="1" applyBorder="1"/>
    <xf numFmtId="0" fontId="9" fillId="5" borderId="3" xfId="0" applyFont="1" applyFill="1" applyBorder="1"/>
    <xf numFmtId="0" fontId="0" fillId="6" borderId="3" xfId="0" applyFill="1" applyBorder="1"/>
    <xf numFmtId="0" fontId="0" fillId="5" borderId="3" xfId="0" applyFill="1" applyBorder="1"/>
    <xf numFmtId="0" fontId="6" fillId="2" borderId="0" xfId="0" applyFont="1" applyFill="1" applyAlignment="1">
      <alignment horizontal="center" vertical="center"/>
    </xf>
    <xf numFmtId="0" fontId="1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8" fillId="18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</cellXfs>
  <cellStyles count="1">
    <cellStyle name="Standard" xfId="0" builtinId="0"/>
  </cellStyles>
  <dxfs count="15">
    <dxf>
      <fill>
        <patternFill>
          <bgColor rgb="FFE7E9EC"/>
        </patternFill>
      </fill>
    </dxf>
    <dxf>
      <fill>
        <patternFill>
          <bgColor rgb="FFEDE7F3"/>
        </patternFill>
      </fill>
    </dxf>
    <dxf>
      <fill>
        <patternFill>
          <bgColor rgb="FFF3A35C"/>
        </patternFill>
      </fill>
    </dxf>
    <dxf>
      <fill>
        <patternFill>
          <bgColor rgb="FFF1F2F3"/>
        </patternFill>
      </fill>
    </dxf>
    <dxf>
      <fill>
        <patternFill>
          <bgColor rgb="FFD8D2E0"/>
        </patternFill>
      </fill>
    </dxf>
    <dxf>
      <fill>
        <patternFill>
          <bgColor rgb="FFF2B6AE"/>
        </patternFill>
      </fill>
    </dxf>
    <dxf>
      <fill>
        <patternFill>
          <bgColor rgb="FFFBE07A"/>
        </patternFill>
      </fill>
    </dxf>
    <dxf>
      <fill>
        <patternFill>
          <bgColor rgb="FFEDE4A6"/>
        </patternFill>
      </fill>
    </dxf>
    <dxf>
      <fill>
        <patternFill>
          <bgColor rgb="FFBFE6DF"/>
        </patternFill>
      </fill>
    </dxf>
    <dxf>
      <fill>
        <patternFill>
          <bgColor rgb="FFCFE3C9"/>
        </patternFill>
      </fill>
    </dxf>
    <dxf>
      <fill>
        <patternFill>
          <bgColor rgb="FFCFC8E8"/>
        </patternFill>
      </fill>
    </dxf>
    <dxf>
      <fill>
        <patternFill>
          <bgColor rgb="FFF3DCAE"/>
        </patternFill>
      </fill>
    </dxf>
    <dxf>
      <fill>
        <patternFill>
          <bgColor rgb="FFC7DCEE"/>
        </patternFill>
      </fill>
    </dxf>
    <dxf>
      <font>
        <b/>
        <color rgb="FF23303B"/>
        <name val="Calibri"/>
        <charset val="1"/>
      </font>
      <fill>
        <patternFill>
          <bgColor rgb="FFE7E9EC"/>
        </patternFill>
      </fill>
    </dxf>
    <dxf>
      <font>
        <b/>
        <color rgb="FF23303B"/>
        <name val="Calibri"/>
        <charset val="1"/>
      </font>
      <fill>
        <patternFill>
          <bgColor rgb="FFEDE7F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CFE3C9"/>
      <rgbColor rgb="FFFF00FF"/>
      <rgbColor rgb="FFF9F9F9"/>
      <rgbColor rgb="FF800000"/>
      <rgbColor rgb="FF008000"/>
      <rgbColor rgb="FF000080"/>
      <rgbColor rgb="FF808000"/>
      <rgbColor rgb="FF800080"/>
      <rgbColor rgb="FF008080"/>
      <rgbColor rgb="FFD8D2E0"/>
      <rgbColor rgb="FF878787"/>
      <rgbColor rgb="FF9AA5B1"/>
      <rgbColor rgb="FF993366"/>
      <rgbColor rgb="FFFBEED2"/>
      <rgbColor rgb="FFF1F2F3"/>
      <rgbColor rgb="FF660066"/>
      <rgbColor rgb="FFF3A35C"/>
      <rgbColor rgb="FF0066CC"/>
      <rgbColor rgb="FFCFC8E8"/>
      <rgbColor rgb="FF000080"/>
      <rgbColor rgb="FFFF00FF"/>
      <rgbColor rgb="FFD9DCE1"/>
      <rgbColor rgb="FF00FFFF"/>
      <rgbColor rgb="FF800080"/>
      <rgbColor rgb="FF800000"/>
      <rgbColor rgb="FF008080"/>
      <rgbColor rgb="FF0000FF"/>
      <rgbColor rgb="FF00CCFF"/>
      <rgbColor rgb="FFE7E9EC"/>
      <rgbColor rgb="FFBFE6DF"/>
      <rgbColor rgb="FFEDE4A6"/>
      <rgbColor rgb="FFC7DCEE"/>
      <rgbColor rgb="FFF2B6AE"/>
      <rgbColor rgb="FFD9D9D9"/>
      <rgbColor rgb="FFF3DCAE"/>
      <rgbColor rgb="FF4F81BD"/>
      <rgbColor rgb="FFF4F5F7"/>
      <rgbColor rgb="FFEDE7F3"/>
      <rgbColor rgb="FFFBE07A"/>
      <rgbColor rgb="FFC9952F"/>
      <rgbColor rgb="FFFF6600"/>
      <rgbColor rgb="FF6B7785"/>
      <rgbColor rgb="FF8C97A3"/>
      <rgbColor rgb="FF1F3B4D"/>
      <rgbColor rgb="FF2E7D6E"/>
      <rgbColor rgb="FF003300"/>
      <rgbColor rgb="FF333300"/>
      <rgbColor rgb="FF993300"/>
      <rgbColor rgb="FF993366"/>
      <rgbColor rgb="FF333399"/>
      <rgbColor rgb="FF2330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Stunden je Abteilung: Soll vs. Geplant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Übersicht!$D$15</c:f>
              <c:strCache>
                <c:ptCount val="1"/>
                <c:pt idx="0">
                  <c:v>Sollstd.</c:v>
                </c:pt>
              </c:strCache>
            </c:strRef>
          </c:tx>
          <c:spPr>
            <a:solidFill>
              <a:srgbClr val="9AA5B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Übersicht!$B$16:$C$19</c:f>
              <c:strCache>
                <c:ptCount val="4"/>
                <c:pt idx="0">
                  <c:v>Verkauf</c:v>
                </c:pt>
                <c:pt idx="1">
                  <c:v>Logistik</c:v>
                </c:pt>
                <c:pt idx="2">
                  <c:v>Kundenservice</c:v>
                </c:pt>
                <c:pt idx="3">
                  <c:v>Verwaltung</c:v>
                </c:pt>
              </c:strCache>
            </c:strRef>
          </c:cat>
          <c:val>
            <c:numRef>
              <c:f>Übersicht!$D$16:$D$19</c:f>
              <c:numCache>
                <c:formatCode>0</c:formatCode>
                <c:ptCount val="4"/>
                <c:pt idx="0">
                  <c:v>496.79999999999995</c:v>
                </c:pt>
                <c:pt idx="1">
                  <c:v>482.4</c:v>
                </c:pt>
                <c:pt idx="2">
                  <c:v>435.59999999999997</c:v>
                </c:pt>
                <c:pt idx="3">
                  <c:v>359.99999999999994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54-42D3-9659-66EA047CA041}"/>
            </c:ext>
          </c:extLst>
        </c:ser>
        <c:ser>
          <c:idx val="1"/>
          <c:order val="1"/>
          <c:tx>
            <c:strRef>
              <c:f>Übersicht!$E$15</c:f>
              <c:strCache>
                <c:ptCount val="1"/>
                <c:pt idx="0">
                  <c:v>Geplant</c:v>
                </c:pt>
              </c:strCache>
            </c:strRef>
          </c:tx>
          <c:spPr>
            <a:solidFill>
              <a:srgbClr val="C9952F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Übersicht!$B$16:$C$19</c:f>
              <c:strCache>
                <c:ptCount val="4"/>
                <c:pt idx="0">
                  <c:v>Verkauf</c:v>
                </c:pt>
                <c:pt idx="1">
                  <c:v>Logistik</c:v>
                </c:pt>
                <c:pt idx="2">
                  <c:v>Kundenservice</c:v>
                </c:pt>
                <c:pt idx="3">
                  <c:v>Verwaltung</c:v>
                </c:pt>
              </c:strCache>
            </c:strRef>
          </c:cat>
          <c:val>
            <c:numRef>
              <c:f>Übersicht!$E$16:$E$19</c:f>
              <c:numCache>
                <c:formatCode>0</c:formatCode>
                <c:ptCount val="4"/>
                <c:pt idx="0">
                  <c:v>463.20000000000005</c:v>
                </c:pt>
                <c:pt idx="1">
                  <c:v>454.4</c:v>
                </c:pt>
                <c:pt idx="2">
                  <c:v>372.59999999999997</c:v>
                </c:pt>
                <c:pt idx="3">
                  <c:v>291.2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54-42D3-9659-66EA047CA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62548"/>
        <c:axId val="58677743"/>
      </c:barChart>
      <c:catAx>
        <c:axId val="920625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58677743"/>
        <c:crosses val="autoZero"/>
        <c:auto val="1"/>
        <c:lblAlgn val="ctr"/>
        <c:lblOffset val="100"/>
        <c:noMultiLvlLbl val="0"/>
      </c:catAx>
      <c:valAx>
        <c:axId val="5867774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Stunden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92062548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bg1">
        <a:lumMod val="95000"/>
      </a:schemeClr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Verteilung Abwesenheiten (Tage)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Übersicht!$I$15</c:f>
              <c:strCache>
                <c:ptCount val="1"/>
                <c:pt idx="0">
                  <c:v>Tage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FBE07A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A51B-4169-BE6A-A822A7D5235F}"/>
              </c:ext>
            </c:extLst>
          </c:dPt>
          <c:dPt>
            <c:idx val="1"/>
            <c:bubble3D val="0"/>
            <c:spPr>
              <a:solidFill>
                <a:srgbClr val="F2B6A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A51B-4169-BE6A-A822A7D5235F}"/>
              </c:ext>
            </c:extLst>
          </c:dPt>
          <c:dPt>
            <c:idx val="2"/>
            <c:bubble3D val="0"/>
            <c:spPr>
              <a:solidFill>
                <a:srgbClr val="BFE6D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A51B-4169-BE6A-A822A7D5235F}"/>
              </c:ext>
            </c:extLst>
          </c:dPt>
          <c:dPt>
            <c:idx val="3"/>
            <c:bubble3D val="0"/>
            <c:spPr>
              <a:solidFill>
                <a:srgbClr val="EDE4A6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A51B-4169-BE6A-A822A7D5235F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1-A51B-4169-BE6A-A822A7D5235F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3-A51B-4169-BE6A-A822A7D5235F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5-A51B-4169-BE6A-A822A7D5235F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7-A51B-4169-BE6A-A822A7D523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1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Übersicht!$G$16:$H$19</c:f>
              <c:strCache>
                <c:ptCount val="4"/>
                <c:pt idx="0">
                  <c:v>Urlaub</c:v>
                </c:pt>
                <c:pt idx="1">
                  <c:v>Krankheit</c:v>
                </c:pt>
                <c:pt idx="2">
                  <c:v>Home-Office</c:v>
                </c:pt>
                <c:pt idx="3">
                  <c:v>Schulung</c:v>
                </c:pt>
              </c:strCache>
            </c:strRef>
          </c:cat>
          <c:val>
            <c:numRef>
              <c:f>Übersicht!$I$16:$I$19</c:f>
              <c:numCache>
                <c:formatCode>0</c:formatCode>
                <c:ptCount val="4"/>
                <c:pt idx="0">
                  <c:v>9</c:v>
                </c:pt>
                <c:pt idx="1">
                  <c:v>3</c:v>
                </c:pt>
                <c:pt idx="2">
                  <c:v>25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B-4169-BE6A-A822A7D52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bg1">
        <a:lumMod val="95000"/>
      </a:schemeClr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6</xdr:col>
      <xdr:colOff>567360</xdr:colOff>
      <xdr:row>33</xdr:row>
      <xdr:rowOff>151200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20</xdr:row>
      <xdr:rowOff>0</xdr:rowOff>
    </xdr:from>
    <xdr:to>
      <xdr:col>13</xdr:col>
      <xdr:colOff>534240</xdr:colOff>
      <xdr:row>33</xdr:row>
      <xdr:rowOff>151200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B4D"/>
    <pageSetUpPr fitToPage="1"/>
  </sheetPr>
  <dimension ref="A1:I19"/>
  <sheetViews>
    <sheetView showGridLines="0" tabSelected="1" zoomScaleNormal="100" workbookViewId="0">
      <pane ySplit="3" topLeftCell="A4" activePane="bottomLeft" state="frozen"/>
      <selection pane="bottomLeft" activeCell="Q39" sqref="Q39"/>
    </sheetView>
  </sheetViews>
  <sheetFormatPr baseColWidth="10" defaultColWidth="8.7109375" defaultRowHeight="15" x14ac:dyDescent="0.25"/>
  <cols>
    <col min="1" max="1" width="3" customWidth="1"/>
    <col min="2" max="2" width="14" customWidth="1"/>
    <col min="3" max="6" width="13" customWidth="1"/>
    <col min="7" max="7" width="16" customWidth="1"/>
    <col min="8" max="8" width="11" customWidth="1"/>
    <col min="9" max="9" width="8" customWidth="1"/>
  </cols>
  <sheetData>
    <row r="1" spans="1:9" ht="30" customHeight="1" x14ac:dyDescent="0.25">
      <c r="A1" s="84" t="s">
        <v>140</v>
      </c>
      <c r="B1" s="84"/>
      <c r="C1" s="84"/>
      <c r="D1" s="84"/>
      <c r="E1" s="84"/>
      <c r="F1" s="84"/>
      <c r="G1" s="84"/>
      <c r="H1" s="84"/>
      <c r="I1" s="84"/>
    </row>
    <row r="2" spans="1:9" ht="18" customHeight="1" x14ac:dyDescent="0.25">
      <c r="A2" s="13" t="str">
        <f>"Lindenberg Service GmbH  •  Planungszeitraum: "&amp;Einsatzplan!U3</f>
        <v>Lindenberg Service GmbH  •  Planungszeitraum: Mai 2026</v>
      </c>
      <c r="B2" s="13"/>
      <c r="C2" s="13"/>
      <c r="D2" s="13"/>
      <c r="E2" s="13"/>
      <c r="F2" s="13"/>
      <c r="G2" s="13"/>
      <c r="H2" s="13"/>
      <c r="I2" s="13"/>
    </row>
    <row r="3" spans="1:9" ht="7.5" customHeight="1" x14ac:dyDescent="0.25"/>
    <row r="4" spans="1:9" ht="25.5" customHeight="1" x14ac:dyDescent="0.25">
      <c r="B4" s="12" t="s">
        <v>0</v>
      </c>
      <c r="C4" s="12"/>
      <c r="D4" s="12" t="s">
        <v>1</v>
      </c>
      <c r="E4" s="12"/>
      <c r="F4" s="12" t="s">
        <v>2</v>
      </c>
      <c r="G4" s="12"/>
      <c r="H4" s="12" t="s">
        <v>3</v>
      </c>
      <c r="I4" s="12"/>
    </row>
    <row r="5" spans="1:9" ht="18" customHeight="1" x14ac:dyDescent="0.25">
      <c r="B5" s="11">
        <f>COUNTIF(Mitarbeiterstamm!$J$5:$J$19,"Aktiv")</f>
        <v>15</v>
      </c>
      <c r="C5" s="11"/>
      <c r="D5" s="10">
        <f>SUM(Einsatzplan!$AK$8:$AK$22)</f>
        <v>1581.4</v>
      </c>
      <c r="E5" s="10"/>
      <c r="F5" s="10">
        <f>SUM(Einsatzplan!$AL$8:$AL$22)</f>
        <v>1774.7999999999997</v>
      </c>
      <c r="G5" s="10"/>
      <c r="H5" s="9">
        <f>SUM(Einsatzplan!$AK$8:$AK$22)/SUM(Einsatzplan!$AL$8:$AL$22)</f>
        <v>0.89102997520847438</v>
      </c>
      <c r="I5" s="9"/>
    </row>
    <row r="6" spans="1:9" ht="18" customHeight="1" x14ac:dyDescent="0.25">
      <c r="B6" s="11"/>
      <c r="C6" s="11"/>
      <c r="D6" s="10"/>
      <c r="E6" s="10"/>
      <c r="F6" s="10"/>
      <c r="G6" s="10"/>
      <c r="H6" s="9"/>
      <c r="I6" s="9"/>
    </row>
    <row r="7" spans="1:9" ht="7.5" customHeight="1" x14ac:dyDescent="0.25"/>
    <row r="9" spans="1:9" ht="25.5" customHeight="1" x14ac:dyDescent="0.25">
      <c r="B9" s="12" t="s">
        <v>4</v>
      </c>
      <c r="C9" s="12"/>
      <c r="D9" s="12" t="s">
        <v>5</v>
      </c>
      <c r="E9" s="12"/>
      <c r="F9" s="12" t="s">
        <v>6</v>
      </c>
      <c r="G9" s="12"/>
      <c r="H9" s="12" t="s">
        <v>7</v>
      </c>
      <c r="I9" s="12"/>
    </row>
    <row r="10" spans="1:9" ht="18" customHeight="1" x14ac:dyDescent="0.25">
      <c r="B10" s="11">
        <f>SUM(Einsatzplan!$AN$8:$AN$22)</f>
        <v>9</v>
      </c>
      <c r="C10" s="11"/>
      <c r="D10" s="11">
        <f>SUM(Einsatzplan!$AO$8:$AO$22)</f>
        <v>3</v>
      </c>
      <c r="E10" s="11"/>
      <c r="F10" s="11">
        <f>SUMPRODUCT(COUNTIF(Einsatzplan!$E$8:$AI$22,"~?"))</f>
        <v>2</v>
      </c>
      <c r="G10" s="11"/>
      <c r="H10" s="8" t="str">
        <f>Einsatzplan!U3</f>
        <v>Mai 2026</v>
      </c>
      <c r="I10" s="8"/>
    </row>
    <row r="11" spans="1:9" ht="18" customHeight="1" x14ac:dyDescent="0.25">
      <c r="B11" s="11"/>
      <c r="C11" s="11"/>
      <c r="D11" s="11"/>
      <c r="E11" s="11"/>
      <c r="F11" s="11"/>
      <c r="G11" s="11"/>
      <c r="H11" s="8"/>
      <c r="I11" s="8"/>
    </row>
    <row r="12" spans="1:9" ht="7.5" customHeight="1" x14ac:dyDescent="0.25"/>
    <row r="14" spans="1:9" ht="21.75" customHeight="1" x14ac:dyDescent="0.25">
      <c r="B14" s="7" t="s">
        <v>8</v>
      </c>
      <c r="C14" s="7"/>
      <c r="D14" s="7"/>
      <c r="E14" s="7"/>
      <c r="F14" s="7"/>
      <c r="G14" s="7"/>
      <c r="H14" s="7"/>
      <c r="I14" s="7"/>
    </row>
    <row r="15" spans="1:9" ht="18" customHeight="1" x14ac:dyDescent="0.25">
      <c r="B15" s="6" t="s">
        <v>9</v>
      </c>
      <c r="C15" s="6"/>
      <c r="D15" s="15" t="s">
        <v>10</v>
      </c>
      <c r="E15" s="15" t="s">
        <v>11</v>
      </c>
      <c r="G15" s="6" t="s">
        <v>12</v>
      </c>
      <c r="H15" s="6"/>
      <c r="I15" s="15" t="s">
        <v>13</v>
      </c>
    </row>
    <row r="16" spans="1:9" x14ac:dyDescent="0.25">
      <c r="B16" s="5" t="s">
        <v>14</v>
      </c>
      <c r="C16" s="5"/>
      <c r="D16" s="16">
        <f>SUMIF(Einsatzplan!$C$8:$C$22,B16,Einsatzplan!$AL$8:$AL$22)</f>
        <v>496.79999999999995</v>
      </c>
      <c r="E16" s="16">
        <f>SUMIF(Einsatzplan!$C$8:$C$22,B16,Einsatzplan!$AK$8:$AK$22)</f>
        <v>463.20000000000005</v>
      </c>
      <c r="G16" s="5" t="s">
        <v>15</v>
      </c>
      <c r="H16" s="5"/>
      <c r="I16" s="16">
        <f>SUM(Einsatzplan!$AN$8:$AN$22)</f>
        <v>9</v>
      </c>
    </row>
    <row r="17" spans="2:9" x14ac:dyDescent="0.25">
      <c r="B17" s="4" t="s">
        <v>16</v>
      </c>
      <c r="C17" s="4"/>
      <c r="D17" s="17">
        <f>SUMIF(Einsatzplan!$C$8:$C$22,B17,Einsatzplan!$AL$8:$AL$22)</f>
        <v>482.4</v>
      </c>
      <c r="E17" s="17">
        <f>SUMIF(Einsatzplan!$C$8:$C$22,B17,Einsatzplan!$AK$8:$AK$22)</f>
        <v>454.4</v>
      </c>
      <c r="G17" s="4" t="s">
        <v>17</v>
      </c>
      <c r="H17" s="4"/>
      <c r="I17" s="17">
        <f>SUM(Einsatzplan!$AO$8:$AO$22)</f>
        <v>3</v>
      </c>
    </row>
    <row r="18" spans="2:9" x14ac:dyDescent="0.25">
      <c r="B18" s="5" t="s">
        <v>18</v>
      </c>
      <c r="C18" s="5"/>
      <c r="D18" s="16">
        <f>SUMIF(Einsatzplan!$C$8:$C$22,B18,Einsatzplan!$AL$8:$AL$22)</f>
        <v>435.59999999999997</v>
      </c>
      <c r="E18" s="16">
        <f>SUMIF(Einsatzplan!$C$8:$C$22,B18,Einsatzplan!$AK$8:$AK$22)</f>
        <v>372.59999999999997</v>
      </c>
      <c r="G18" s="5" t="s">
        <v>19</v>
      </c>
      <c r="H18" s="5"/>
      <c r="I18" s="16">
        <f>SUM(Einsatzplan!$AP$8:$AP$22)</f>
        <v>25</v>
      </c>
    </row>
    <row r="19" spans="2:9" x14ac:dyDescent="0.25">
      <c r="B19" s="4" t="s">
        <v>20</v>
      </c>
      <c r="C19" s="4"/>
      <c r="D19" s="17">
        <f>SUMIF(Einsatzplan!$C$8:$C$22,B19,Einsatzplan!$AL$8:$AL$22)</f>
        <v>359.99999999999994</v>
      </c>
      <c r="E19" s="17">
        <f>SUMIF(Einsatzplan!$C$8:$C$22,B19,Einsatzplan!$AK$8:$AK$22)</f>
        <v>291.2</v>
      </c>
      <c r="G19" s="4" t="s">
        <v>21</v>
      </c>
      <c r="H19" s="4"/>
      <c r="I19" s="17">
        <f>SUM(Einsatzplan!$AQ$8:$AQ$22)</f>
        <v>3</v>
      </c>
    </row>
  </sheetData>
  <mergeCells count="29">
    <mergeCell ref="B18:C18"/>
    <mergeCell ref="G18:H18"/>
    <mergeCell ref="B19:C19"/>
    <mergeCell ref="G19:H19"/>
    <mergeCell ref="B15:C15"/>
    <mergeCell ref="G15:H15"/>
    <mergeCell ref="B16:C16"/>
    <mergeCell ref="G16:H16"/>
    <mergeCell ref="B17:C17"/>
    <mergeCell ref="G17:H17"/>
    <mergeCell ref="B10:C11"/>
    <mergeCell ref="D10:E11"/>
    <mergeCell ref="F10:G11"/>
    <mergeCell ref="H10:I11"/>
    <mergeCell ref="B14:I14"/>
    <mergeCell ref="B5:C6"/>
    <mergeCell ref="D5:E6"/>
    <mergeCell ref="F5:G6"/>
    <mergeCell ref="H5:I6"/>
    <mergeCell ref="B9:C9"/>
    <mergeCell ref="D9:E9"/>
    <mergeCell ref="F9:G9"/>
    <mergeCell ref="H9:I9"/>
    <mergeCell ref="A1:I1"/>
    <mergeCell ref="A2:I2"/>
    <mergeCell ref="B4:C4"/>
    <mergeCell ref="D4:E4"/>
    <mergeCell ref="F4:G4"/>
    <mergeCell ref="H4:I4"/>
  </mergeCells>
  <pageMargins left="0.75" right="0.75" top="1" bottom="1" header="0.511811023622047" footer="0.511811023622047"/>
  <pageSetup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D6E"/>
    <pageSetUpPr fitToPage="1"/>
  </sheetPr>
  <dimension ref="A1:J26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8.7109375" defaultRowHeight="15" x14ac:dyDescent="0.25"/>
  <cols>
    <col min="1" max="1" width="11" customWidth="1"/>
    <col min="2" max="2" width="22" customWidth="1"/>
    <col min="3" max="3" width="15" customWidth="1"/>
    <col min="4" max="4" width="24" customWidth="1"/>
    <col min="5" max="5" width="15" customWidth="1"/>
    <col min="6" max="8" width="13" customWidth="1"/>
    <col min="9" max="9" width="14" customWidth="1"/>
    <col min="10" max="10" width="11" customWidth="1"/>
  </cols>
  <sheetData>
    <row r="1" spans="1:10" ht="30" customHeight="1" x14ac:dyDescent="0.25">
      <c r="A1" s="14" t="s">
        <v>22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8" customHeight="1" x14ac:dyDescent="0.25">
      <c r="A2" s="13" t="s">
        <v>23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7.5" customHeight="1" x14ac:dyDescent="0.25"/>
    <row r="4" spans="1:10" ht="31.5" customHeight="1" x14ac:dyDescent="0.25">
      <c r="A4" s="18" t="s">
        <v>24</v>
      </c>
      <c r="B4" s="18" t="s">
        <v>25</v>
      </c>
      <c r="C4" s="18" t="s">
        <v>9</v>
      </c>
      <c r="D4" s="18" t="s">
        <v>26</v>
      </c>
      <c r="E4" s="18" t="s">
        <v>27</v>
      </c>
      <c r="F4" s="18" t="s">
        <v>28</v>
      </c>
      <c r="G4" s="18" t="s">
        <v>29</v>
      </c>
      <c r="H4" s="18" t="s">
        <v>30</v>
      </c>
      <c r="I4" s="18" t="s">
        <v>31</v>
      </c>
      <c r="J4" s="18" t="s">
        <v>32</v>
      </c>
    </row>
    <row r="5" spans="1:10" ht="15.75" customHeight="1" x14ac:dyDescent="0.25">
      <c r="A5" s="19" t="s">
        <v>33</v>
      </c>
      <c r="B5" s="20" t="s">
        <v>34</v>
      </c>
      <c r="C5" s="19" t="s">
        <v>14</v>
      </c>
      <c r="D5" s="20" t="s">
        <v>35</v>
      </c>
      <c r="E5" s="19" t="s">
        <v>36</v>
      </c>
      <c r="F5" s="21">
        <v>38</v>
      </c>
      <c r="G5" s="21">
        <v>28</v>
      </c>
      <c r="H5" s="21">
        <v>3</v>
      </c>
      <c r="I5" s="22">
        <v>44256</v>
      </c>
      <c r="J5" s="19" t="s">
        <v>37</v>
      </c>
    </row>
    <row r="6" spans="1:10" ht="15.75" customHeight="1" x14ac:dyDescent="0.25">
      <c r="A6" s="23" t="s">
        <v>38</v>
      </c>
      <c r="B6" s="24" t="s">
        <v>39</v>
      </c>
      <c r="C6" s="23" t="s">
        <v>14</v>
      </c>
      <c r="D6" s="24" t="s">
        <v>40</v>
      </c>
      <c r="E6" s="23" t="s">
        <v>36</v>
      </c>
      <c r="F6" s="25">
        <v>38</v>
      </c>
      <c r="G6" s="25">
        <v>28</v>
      </c>
      <c r="H6" s="25">
        <v>0</v>
      </c>
      <c r="I6" s="26">
        <v>43631</v>
      </c>
      <c r="J6" s="23" t="s">
        <v>37</v>
      </c>
    </row>
    <row r="7" spans="1:10" ht="15.75" customHeight="1" x14ac:dyDescent="0.25">
      <c r="A7" s="19" t="s">
        <v>41</v>
      </c>
      <c r="B7" s="20" t="s">
        <v>42</v>
      </c>
      <c r="C7" s="19" t="s">
        <v>14</v>
      </c>
      <c r="D7" s="20" t="s">
        <v>35</v>
      </c>
      <c r="E7" s="19" t="s">
        <v>43</v>
      </c>
      <c r="F7" s="21">
        <v>24</v>
      </c>
      <c r="G7" s="21">
        <v>28</v>
      </c>
      <c r="H7" s="21">
        <v>5</v>
      </c>
      <c r="I7" s="22">
        <v>44805</v>
      </c>
      <c r="J7" s="19" t="s">
        <v>37</v>
      </c>
    </row>
    <row r="8" spans="1:10" ht="15.75" customHeight="1" x14ac:dyDescent="0.25">
      <c r="A8" s="23" t="s">
        <v>44</v>
      </c>
      <c r="B8" s="24" t="s">
        <v>45</v>
      </c>
      <c r="C8" s="23" t="s">
        <v>16</v>
      </c>
      <c r="D8" s="24" t="s">
        <v>46</v>
      </c>
      <c r="E8" s="23" t="s">
        <v>36</v>
      </c>
      <c r="F8" s="25">
        <v>38</v>
      </c>
      <c r="G8" s="25">
        <v>28</v>
      </c>
      <c r="H8" s="25">
        <v>2</v>
      </c>
      <c r="I8" s="26">
        <v>43871</v>
      </c>
      <c r="J8" s="23" t="s">
        <v>37</v>
      </c>
    </row>
    <row r="9" spans="1:10" ht="15.75" customHeight="1" x14ac:dyDescent="0.25">
      <c r="A9" s="19" t="s">
        <v>47</v>
      </c>
      <c r="B9" s="20" t="s">
        <v>48</v>
      </c>
      <c r="C9" s="19" t="s">
        <v>16</v>
      </c>
      <c r="D9" s="20" t="s">
        <v>46</v>
      </c>
      <c r="E9" s="19" t="s">
        <v>36</v>
      </c>
      <c r="F9" s="21">
        <v>38</v>
      </c>
      <c r="G9" s="21">
        <v>28</v>
      </c>
      <c r="H9" s="21">
        <v>0</v>
      </c>
      <c r="I9" s="22">
        <v>45019</v>
      </c>
      <c r="J9" s="19" t="s">
        <v>37</v>
      </c>
    </row>
    <row r="10" spans="1:10" ht="15.75" customHeight="1" x14ac:dyDescent="0.25">
      <c r="A10" s="23" t="s">
        <v>49</v>
      </c>
      <c r="B10" s="24" t="s">
        <v>50</v>
      </c>
      <c r="C10" s="23" t="s">
        <v>16</v>
      </c>
      <c r="D10" s="24" t="s">
        <v>51</v>
      </c>
      <c r="E10" s="23" t="s">
        <v>43</v>
      </c>
      <c r="F10" s="25">
        <v>20</v>
      </c>
      <c r="G10" s="25">
        <v>28</v>
      </c>
      <c r="H10" s="25">
        <v>1</v>
      </c>
      <c r="I10" s="26">
        <v>45306</v>
      </c>
      <c r="J10" s="23" t="s">
        <v>37</v>
      </c>
    </row>
    <row r="11" spans="1:10" ht="15.75" customHeight="1" x14ac:dyDescent="0.25">
      <c r="A11" s="19" t="s">
        <v>52</v>
      </c>
      <c r="B11" s="20" t="s">
        <v>53</v>
      </c>
      <c r="C11" s="19" t="s">
        <v>18</v>
      </c>
      <c r="D11" s="20" t="s">
        <v>54</v>
      </c>
      <c r="E11" s="19" t="s">
        <v>36</v>
      </c>
      <c r="F11" s="21">
        <v>38</v>
      </c>
      <c r="G11" s="21">
        <v>28</v>
      </c>
      <c r="H11" s="21">
        <v>4</v>
      </c>
      <c r="I11" s="22">
        <v>43405</v>
      </c>
      <c r="J11" s="19" t="s">
        <v>37</v>
      </c>
    </row>
    <row r="12" spans="1:10" ht="15.75" customHeight="1" x14ac:dyDescent="0.25">
      <c r="A12" s="23" t="s">
        <v>55</v>
      </c>
      <c r="B12" s="24" t="s">
        <v>56</v>
      </c>
      <c r="C12" s="23" t="s">
        <v>18</v>
      </c>
      <c r="D12" s="24" t="s">
        <v>57</v>
      </c>
      <c r="E12" s="23" t="s">
        <v>36</v>
      </c>
      <c r="F12" s="25">
        <v>38</v>
      </c>
      <c r="G12" s="25">
        <v>28</v>
      </c>
      <c r="H12" s="25">
        <v>0</v>
      </c>
      <c r="I12" s="26">
        <v>44378</v>
      </c>
      <c r="J12" s="23" t="s">
        <v>37</v>
      </c>
    </row>
    <row r="13" spans="1:10" ht="15.75" customHeight="1" x14ac:dyDescent="0.25">
      <c r="A13" s="19" t="s">
        <v>58</v>
      </c>
      <c r="B13" s="20" t="s">
        <v>59</v>
      </c>
      <c r="C13" s="19" t="s">
        <v>18</v>
      </c>
      <c r="D13" s="20" t="s">
        <v>54</v>
      </c>
      <c r="E13" s="19" t="s">
        <v>43</v>
      </c>
      <c r="F13" s="21">
        <v>25</v>
      </c>
      <c r="G13" s="21">
        <v>28</v>
      </c>
      <c r="H13" s="21">
        <v>2</v>
      </c>
      <c r="I13" s="22">
        <v>45200</v>
      </c>
      <c r="J13" s="19" t="s">
        <v>37</v>
      </c>
    </row>
    <row r="14" spans="1:10" ht="15.75" customHeight="1" x14ac:dyDescent="0.25">
      <c r="A14" s="23" t="s">
        <v>60</v>
      </c>
      <c r="B14" s="24" t="s">
        <v>61</v>
      </c>
      <c r="C14" s="23" t="s">
        <v>20</v>
      </c>
      <c r="D14" s="24" t="s">
        <v>62</v>
      </c>
      <c r="E14" s="23" t="s">
        <v>36</v>
      </c>
      <c r="F14" s="25">
        <v>38</v>
      </c>
      <c r="G14" s="25">
        <v>28</v>
      </c>
      <c r="H14" s="25">
        <v>6</v>
      </c>
      <c r="I14" s="26">
        <v>42856</v>
      </c>
      <c r="J14" s="23" t="s">
        <v>37</v>
      </c>
    </row>
    <row r="15" spans="1:10" ht="15.75" customHeight="1" x14ac:dyDescent="0.25">
      <c r="A15" s="19" t="s">
        <v>63</v>
      </c>
      <c r="B15" s="20" t="s">
        <v>64</v>
      </c>
      <c r="C15" s="19" t="s">
        <v>20</v>
      </c>
      <c r="D15" s="20" t="s">
        <v>65</v>
      </c>
      <c r="E15" s="19" t="s">
        <v>36</v>
      </c>
      <c r="F15" s="21">
        <v>38</v>
      </c>
      <c r="G15" s="21">
        <v>28</v>
      </c>
      <c r="H15" s="21">
        <v>1</v>
      </c>
      <c r="I15" s="22">
        <v>44058</v>
      </c>
      <c r="J15" s="19" t="s">
        <v>37</v>
      </c>
    </row>
    <row r="16" spans="1:10" ht="15.75" customHeight="1" x14ac:dyDescent="0.25">
      <c r="A16" s="23" t="s">
        <v>66</v>
      </c>
      <c r="B16" s="24" t="s">
        <v>67</v>
      </c>
      <c r="C16" s="23" t="s">
        <v>14</v>
      </c>
      <c r="D16" s="24" t="s">
        <v>68</v>
      </c>
      <c r="E16" s="23" t="s">
        <v>36</v>
      </c>
      <c r="F16" s="25">
        <v>38</v>
      </c>
      <c r="G16" s="25">
        <v>30</v>
      </c>
      <c r="H16" s="25">
        <v>3</v>
      </c>
      <c r="I16" s="26">
        <v>42381</v>
      </c>
      <c r="J16" s="23" t="s">
        <v>37</v>
      </c>
    </row>
    <row r="17" spans="1:10" ht="15.75" customHeight="1" x14ac:dyDescent="0.25">
      <c r="A17" s="19" t="s">
        <v>69</v>
      </c>
      <c r="B17" s="20" t="s">
        <v>70</v>
      </c>
      <c r="C17" s="19" t="s">
        <v>16</v>
      </c>
      <c r="D17" s="20" t="s">
        <v>71</v>
      </c>
      <c r="E17" s="19" t="s">
        <v>36</v>
      </c>
      <c r="F17" s="21">
        <v>38</v>
      </c>
      <c r="G17" s="21">
        <v>30</v>
      </c>
      <c r="H17" s="21">
        <v>0</v>
      </c>
      <c r="I17" s="22">
        <v>42248</v>
      </c>
      <c r="J17" s="19" t="s">
        <v>37</v>
      </c>
    </row>
    <row r="18" spans="1:10" ht="15.75" customHeight="1" x14ac:dyDescent="0.25">
      <c r="A18" s="23" t="s">
        <v>72</v>
      </c>
      <c r="B18" s="24" t="s">
        <v>73</v>
      </c>
      <c r="C18" s="23" t="s">
        <v>18</v>
      </c>
      <c r="D18" s="24" t="s">
        <v>57</v>
      </c>
      <c r="E18" s="23" t="s">
        <v>43</v>
      </c>
      <c r="F18" s="25">
        <v>20</v>
      </c>
      <c r="G18" s="25">
        <v>28</v>
      </c>
      <c r="H18" s="25">
        <v>2</v>
      </c>
      <c r="I18" s="26">
        <v>45383</v>
      </c>
      <c r="J18" s="23" t="s">
        <v>37</v>
      </c>
    </row>
    <row r="19" spans="1:10" ht="15.75" customHeight="1" x14ac:dyDescent="0.25">
      <c r="A19" s="19" t="s">
        <v>74</v>
      </c>
      <c r="B19" s="20" t="s">
        <v>75</v>
      </c>
      <c r="C19" s="19" t="s">
        <v>20</v>
      </c>
      <c r="D19" s="20" t="s">
        <v>65</v>
      </c>
      <c r="E19" s="19" t="s">
        <v>43</v>
      </c>
      <c r="F19" s="21">
        <v>24</v>
      </c>
      <c r="G19" s="21">
        <v>28</v>
      </c>
      <c r="H19" s="21">
        <v>0</v>
      </c>
      <c r="I19" s="22">
        <v>44867</v>
      </c>
      <c r="J19" s="19" t="s">
        <v>37</v>
      </c>
    </row>
    <row r="22" spans="1:10" ht="18" customHeight="1" x14ac:dyDescent="0.25">
      <c r="A22" s="3" t="s">
        <v>76</v>
      </c>
      <c r="B22" s="3"/>
    </row>
    <row r="23" spans="1:10" x14ac:dyDescent="0.25">
      <c r="A23" s="27" t="s">
        <v>14</v>
      </c>
      <c r="B23" s="28">
        <f>COUNTIFS($C$5:$C$19,A23,$J$5:$J$19,"Aktiv")</f>
        <v>4</v>
      </c>
    </row>
    <row r="24" spans="1:10" x14ac:dyDescent="0.25">
      <c r="A24" s="27" t="s">
        <v>16</v>
      </c>
      <c r="B24" s="28">
        <f>COUNTIFS($C$5:$C$19,A24,$J$5:$J$19,"Aktiv")</f>
        <v>4</v>
      </c>
    </row>
    <row r="25" spans="1:10" x14ac:dyDescent="0.25">
      <c r="A25" s="27" t="s">
        <v>18</v>
      </c>
      <c r="B25" s="28">
        <f>COUNTIFS($C$5:$C$19,A25,$J$5:$J$19,"Aktiv")</f>
        <v>4</v>
      </c>
    </row>
    <row r="26" spans="1:10" x14ac:dyDescent="0.25">
      <c r="A26" s="27" t="s">
        <v>20</v>
      </c>
      <c r="B26" s="28">
        <f>COUNTIFS($C$5:$C$19,A26,$J$5:$J$19,"Aktiv")</f>
        <v>3</v>
      </c>
    </row>
  </sheetData>
  <mergeCells count="3">
    <mergeCell ref="A1:J1"/>
    <mergeCell ref="A2:J2"/>
    <mergeCell ref="A22:B22"/>
  </mergeCells>
  <dataValidations count="2">
    <dataValidation type="list" sqref="E5:E19" xr:uid="{00000000-0002-0000-0100-000000000000}">
      <formula1>"Vollzeit,Teilzeit"</formula1>
      <formula2>0</formula2>
    </dataValidation>
    <dataValidation type="list" sqref="J5:J19" xr:uid="{00000000-0002-0000-0100-000001000000}">
      <formula1>"Aktiv,Inaktiv"</formula1>
      <formula2>0</formula2>
    </dataValidation>
  </dataValidations>
  <pageMargins left="0.75" right="0.75" top="1" bottom="1" header="0.511811023622047" footer="0.511811023622047"/>
  <pageSetup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9952F"/>
    <pageSetUpPr fitToPage="1"/>
  </sheetPr>
  <dimension ref="A1:AQ25"/>
  <sheetViews>
    <sheetView showGridLines="0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baseColWidth="10" defaultColWidth="8.7109375" defaultRowHeight="15" x14ac:dyDescent="0.25"/>
  <cols>
    <col min="1" max="1" width="8.42578125" customWidth="1"/>
    <col min="2" max="2" width="19" customWidth="1"/>
    <col min="3" max="3" width="14" customWidth="1"/>
    <col min="4" max="4" width="8" customWidth="1"/>
    <col min="5" max="35" width="3.28515625" customWidth="1"/>
    <col min="36" max="39" width="10" customWidth="1"/>
    <col min="40" max="43" width="9" customWidth="1"/>
  </cols>
  <sheetData>
    <row r="1" spans="1:43" ht="30" customHeight="1" x14ac:dyDescent="0.25">
      <c r="A1" s="14" t="s">
        <v>77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</row>
    <row r="2" spans="1:43" ht="18" customHeight="1" x14ac:dyDescent="0.25">
      <c r="A2" s="13" t="s">
        <v>78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</row>
    <row r="3" spans="1:43" ht="19.5" customHeight="1" x14ac:dyDescent="0.25">
      <c r="A3" s="2" t="s">
        <v>79</v>
      </c>
      <c r="B3" s="2"/>
      <c r="C3" s="29">
        <v>5</v>
      </c>
      <c r="D3" s="2" t="s">
        <v>80</v>
      </c>
      <c r="E3" s="2"/>
      <c r="F3" s="1">
        <v>2026</v>
      </c>
      <c r="G3" s="1"/>
      <c r="H3" s="1"/>
      <c r="I3" s="1"/>
      <c r="J3" s="2" t="s">
        <v>81</v>
      </c>
      <c r="K3" s="2"/>
      <c r="L3" s="2"/>
      <c r="M3" s="1" t="s">
        <v>82</v>
      </c>
      <c r="N3" s="1"/>
      <c r="O3" s="1"/>
      <c r="P3" s="1"/>
      <c r="Q3" s="1"/>
      <c r="R3" s="2" t="s">
        <v>83</v>
      </c>
      <c r="S3" s="2"/>
      <c r="T3" s="2"/>
      <c r="U3" s="77" t="str">
        <f>CHOOSE($C$3,"Januar","Februar","März","April","Mai","Juni","Juli","August","September","Oktober","November","Dezember")&amp;" "&amp;$F$3</f>
        <v>Mai 2026</v>
      </c>
      <c r="V3" s="77"/>
      <c r="W3" s="77"/>
      <c r="X3" s="77"/>
      <c r="Y3" s="77"/>
    </row>
    <row r="4" spans="1:43" ht="6" customHeight="1" x14ac:dyDescent="0.25"/>
    <row r="5" spans="1:43" ht="15.75" customHeight="1" x14ac:dyDescent="0.25">
      <c r="A5" s="78" t="s">
        <v>84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</row>
    <row r="6" spans="1:43" ht="27.75" customHeight="1" x14ac:dyDescent="0.25">
      <c r="A6" s="79" t="s">
        <v>24</v>
      </c>
      <c r="B6" s="79" t="s">
        <v>25</v>
      </c>
      <c r="C6" s="79" t="s">
        <v>9</v>
      </c>
      <c r="D6" s="79" t="s">
        <v>85</v>
      </c>
      <c r="E6" s="30">
        <f>IF(1&lt;=DAY(EOMONTH(DATE($F$3,$C$3,1),0)),DATE($F$3,$C$3,1)+1-1,"")</f>
        <v>46143</v>
      </c>
      <c r="F6" s="30">
        <f>IF(2&lt;=DAY(EOMONTH(DATE($F$3,$C$3,1),0)),DATE($F$3,$C$3,1)+2-1,"")</f>
        <v>46144</v>
      </c>
      <c r="G6" s="30">
        <f>IF(3&lt;=DAY(EOMONTH(DATE($F$3,$C$3,1),0)),DATE($F$3,$C$3,1)+3-1,"")</f>
        <v>46145</v>
      </c>
      <c r="H6" s="30">
        <f>IF(4&lt;=DAY(EOMONTH(DATE($F$3,$C$3,1),0)),DATE($F$3,$C$3,1)+4-1,"")</f>
        <v>46146</v>
      </c>
      <c r="I6" s="30">
        <f>IF(5&lt;=DAY(EOMONTH(DATE($F$3,$C$3,1),0)),DATE($F$3,$C$3,1)+5-1,"")</f>
        <v>46147</v>
      </c>
      <c r="J6" s="30">
        <f>IF(6&lt;=DAY(EOMONTH(DATE($F$3,$C$3,1),0)),DATE($F$3,$C$3,1)+6-1,"")</f>
        <v>46148</v>
      </c>
      <c r="K6" s="30">
        <f>IF(7&lt;=DAY(EOMONTH(DATE($F$3,$C$3,1),0)),DATE($F$3,$C$3,1)+7-1,"")</f>
        <v>46149</v>
      </c>
      <c r="L6" s="30">
        <f>IF(8&lt;=DAY(EOMONTH(DATE($F$3,$C$3,1),0)),DATE($F$3,$C$3,1)+8-1,"")</f>
        <v>46150</v>
      </c>
      <c r="M6" s="30">
        <f>IF(9&lt;=DAY(EOMONTH(DATE($F$3,$C$3,1),0)),DATE($F$3,$C$3,1)+9-1,"")</f>
        <v>46151</v>
      </c>
      <c r="N6" s="30">
        <f>IF(10&lt;=DAY(EOMONTH(DATE($F$3,$C$3,1),0)),DATE($F$3,$C$3,1)+10-1,"")</f>
        <v>46152</v>
      </c>
      <c r="O6" s="30">
        <f>IF(11&lt;=DAY(EOMONTH(DATE($F$3,$C$3,1),0)),DATE($F$3,$C$3,1)+11-1,"")</f>
        <v>46153</v>
      </c>
      <c r="P6" s="30">
        <f>IF(12&lt;=DAY(EOMONTH(DATE($F$3,$C$3,1),0)),DATE($F$3,$C$3,1)+12-1,"")</f>
        <v>46154</v>
      </c>
      <c r="Q6" s="30">
        <f>IF(13&lt;=DAY(EOMONTH(DATE($F$3,$C$3,1),0)),DATE($F$3,$C$3,1)+13-1,"")</f>
        <v>46155</v>
      </c>
      <c r="R6" s="30">
        <f>IF(14&lt;=DAY(EOMONTH(DATE($F$3,$C$3,1),0)),DATE($F$3,$C$3,1)+14-1,"")</f>
        <v>46156</v>
      </c>
      <c r="S6" s="30">
        <f>IF(15&lt;=DAY(EOMONTH(DATE($F$3,$C$3,1),0)),DATE($F$3,$C$3,1)+15-1,"")</f>
        <v>46157</v>
      </c>
      <c r="T6" s="30">
        <f>IF(16&lt;=DAY(EOMONTH(DATE($F$3,$C$3,1),0)),DATE($F$3,$C$3,1)+16-1,"")</f>
        <v>46158</v>
      </c>
      <c r="U6" s="30">
        <f>IF(17&lt;=DAY(EOMONTH(DATE($F$3,$C$3,1),0)),DATE($F$3,$C$3,1)+17-1,"")</f>
        <v>46159</v>
      </c>
      <c r="V6" s="30">
        <f>IF(18&lt;=DAY(EOMONTH(DATE($F$3,$C$3,1),0)),DATE($F$3,$C$3,1)+18-1,"")</f>
        <v>46160</v>
      </c>
      <c r="W6" s="30">
        <f>IF(19&lt;=DAY(EOMONTH(DATE($F$3,$C$3,1),0)),DATE($F$3,$C$3,1)+19-1,"")</f>
        <v>46161</v>
      </c>
      <c r="X6" s="30">
        <f>IF(20&lt;=DAY(EOMONTH(DATE($F$3,$C$3,1),0)),DATE($F$3,$C$3,1)+20-1,"")</f>
        <v>46162</v>
      </c>
      <c r="Y6" s="30">
        <f>IF(21&lt;=DAY(EOMONTH(DATE($F$3,$C$3,1),0)),DATE($F$3,$C$3,1)+21-1,"")</f>
        <v>46163</v>
      </c>
      <c r="Z6" s="30">
        <f>IF(22&lt;=DAY(EOMONTH(DATE($F$3,$C$3,1),0)),DATE($F$3,$C$3,1)+22-1,"")</f>
        <v>46164</v>
      </c>
      <c r="AA6" s="30">
        <f>IF(23&lt;=DAY(EOMONTH(DATE($F$3,$C$3,1),0)),DATE($F$3,$C$3,1)+23-1,"")</f>
        <v>46165</v>
      </c>
      <c r="AB6" s="30">
        <f>IF(24&lt;=DAY(EOMONTH(DATE($F$3,$C$3,1),0)),DATE($F$3,$C$3,1)+24-1,"")</f>
        <v>46166</v>
      </c>
      <c r="AC6" s="30">
        <f>IF(25&lt;=DAY(EOMONTH(DATE($F$3,$C$3,1),0)),DATE($F$3,$C$3,1)+25-1,"")</f>
        <v>46167</v>
      </c>
      <c r="AD6" s="30">
        <f>IF(26&lt;=DAY(EOMONTH(DATE($F$3,$C$3,1),0)),DATE($F$3,$C$3,1)+26-1,"")</f>
        <v>46168</v>
      </c>
      <c r="AE6" s="30">
        <f>IF(27&lt;=DAY(EOMONTH(DATE($F$3,$C$3,1),0)),DATE($F$3,$C$3,1)+27-1,"")</f>
        <v>46169</v>
      </c>
      <c r="AF6" s="30">
        <f>IF(28&lt;=DAY(EOMONTH(DATE($F$3,$C$3,1),0)),DATE($F$3,$C$3,1)+28-1,"")</f>
        <v>46170</v>
      </c>
      <c r="AG6" s="30">
        <f>IF(29&lt;=DAY(EOMONTH(DATE($F$3,$C$3,1),0)),DATE($F$3,$C$3,1)+29-1,"")</f>
        <v>46171</v>
      </c>
      <c r="AH6" s="30">
        <f>IF(30&lt;=DAY(EOMONTH(DATE($F$3,$C$3,1),0)),DATE($F$3,$C$3,1)+30-1,"")</f>
        <v>46172</v>
      </c>
      <c r="AI6" s="30">
        <f>IF(31&lt;=DAY(EOMONTH(DATE($F$3,$C$3,1),0)),DATE($F$3,$C$3,1)+31-1,"")</f>
        <v>46173</v>
      </c>
      <c r="AJ6" s="79" t="s">
        <v>86</v>
      </c>
      <c r="AK6" s="79" t="s">
        <v>87</v>
      </c>
      <c r="AL6" s="79" t="s">
        <v>88</v>
      </c>
      <c r="AM6" s="79" t="s">
        <v>89</v>
      </c>
      <c r="AN6" s="79" t="s">
        <v>90</v>
      </c>
      <c r="AO6" s="79" t="s">
        <v>91</v>
      </c>
      <c r="AP6" s="79" t="s">
        <v>92</v>
      </c>
      <c r="AQ6" s="79" t="s">
        <v>93</v>
      </c>
    </row>
    <row r="7" spans="1:43" ht="13.5" customHeight="1" x14ac:dyDescent="0.25">
      <c r="A7" s="79"/>
      <c r="B7" s="79"/>
      <c r="C7" s="79"/>
      <c r="D7" s="79"/>
      <c r="E7" s="31" t="str">
        <f t="shared" ref="E7:AI7" si="0">IF(E6="","",CHOOSE(WEEKDAY(E6,2),"Mo","Di","Mi","Do","Fr","Sa","So"))</f>
        <v>Fr</v>
      </c>
      <c r="F7" s="31" t="str">
        <f t="shared" si="0"/>
        <v>Sa</v>
      </c>
      <c r="G7" s="31" t="str">
        <f t="shared" si="0"/>
        <v>So</v>
      </c>
      <c r="H7" s="31" t="str">
        <f t="shared" si="0"/>
        <v>Mo</v>
      </c>
      <c r="I7" s="31" t="str">
        <f t="shared" si="0"/>
        <v>Di</v>
      </c>
      <c r="J7" s="31" t="str">
        <f t="shared" si="0"/>
        <v>Mi</v>
      </c>
      <c r="K7" s="31" t="str">
        <f t="shared" si="0"/>
        <v>Do</v>
      </c>
      <c r="L7" s="31" t="str">
        <f t="shared" si="0"/>
        <v>Fr</v>
      </c>
      <c r="M7" s="31" t="str">
        <f t="shared" si="0"/>
        <v>Sa</v>
      </c>
      <c r="N7" s="31" t="str">
        <f t="shared" si="0"/>
        <v>So</v>
      </c>
      <c r="O7" s="31" t="str">
        <f t="shared" si="0"/>
        <v>Mo</v>
      </c>
      <c r="P7" s="31" t="str">
        <f t="shared" si="0"/>
        <v>Di</v>
      </c>
      <c r="Q7" s="31" t="str">
        <f t="shared" si="0"/>
        <v>Mi</v>
      </c>
      <c r="R7" s="31" t="str">
        <f t="shared" si="0"/>
        <v>Do</v>
      </c>
      <c r="S7" s="31" t="str">
        <f t="shared" si="0"/>
        <v>Fr</v>
      </c>
      <c r="T7" s="31" t="str">
        <f t="shared" si="0"/>
        <v>Sa</v>
      </c>
      <c r="U7" s="31" t="str">
        <f t="shared" si="0"/>
        <v>So</v>
      </c>
      <c r="V7" s="31" t="str">
        <f t="shared" si="0"/>
        <v>Mo</v>
      </c>
      <c r="W7" s="31" t="str">
        <f t="shared" si="0"/>
        <v>Di</v>
      </c>
      <c r="X7" s="31" t="str">
        <f t="shared" si="0"/>
        <v>Mi</v>
      </c>
      <c r="Y7" s="31" t="str">
        <f t="shared" si="0"/>
        <v>Do</v>
      </c>
      <c r="Z7" s="31" t="str">
        <f t="shared" si="0"/>
        <v>Fr</v>
      </c>
      <c r="AA7" s="31" t="str">
        <f t="shared" si="0"/>
        <v>Sa</v>
      </c>
      <c r="AB7" s="31" t="str">
        <f t="shared" si="0"/>
        <v>So</v>
      </c>
      <c r="AC7" s="31" t="str">
        <f t="shared" si="0"/>
        <v>Mo</v>
      </c>
      <c r="AD7" s="31" t="str">
        <f t="shared" si="0"/>
        <v>Di</v>
      </c>
      <c r="AE7" s="31" t="str">
        <f t="shared" si="0"/>
        <v>Mi</v>
      </c>
      <c r="AF7" s="31" t="str">
        <f t="shared" si="0"/>
        <v>Do</v>
      </c>
      <c r="AG7" s="31" t="str">
        <f t="shared" si="0"/>
        <v>Fr</v>
      </c>
      <c r="AH7" s="31" t="str">
        <f t="shared" si="0"/>
        <v>Sa</v>
      </c>
      <c r="AI7" s="31" t="str">
        <f t="shared" si="0"/>
        <v>So</v>
      </c>
      <c r="AJ7" s="79"/>
      <c r="AK7" s="79"/>
      <c r="AL7" s="79"/>
      <c r="AM7" s="79"/>
      <c r="AN7" s="79"/>
      <c r="AO7" s="79"/>
      <c r="AP7" s="79"/>
      <c r="AQ7" s="79"/>
    </row>
    <row r="8" spans="1:43" ht="15" customHeight="1" x14ac:dyDescent="0.25">
      <c r="A8" s="32" t="str">
        <f>Mitarbeiterstamm!A5</f>
        <v>P-101</v>
      </c>
      <c r="B8" s="33" t="str">
        <f>Mitarbeiterstamm!B5</f>
        <v>Lea Hoffmann</v>
      </c>
      <c r="C8" s="32" t="str">
        <f>Mitarbeiterstamm!C5</f>
        <v>Verkauf</v>
      </c>
      <c r="D8" s="34">
        <f>Mitarbeiterstamm!F5/5</f>
        <v>7.6</v>
      </c>
      <c r="E8" s="35" t="s">
        <v>94</v>
      </c>
      <c r="F8" s="36" t="s">
        <v>95</v>
      </c>
      <c r="G8" s="36" t="s">
        <v>95</v>
      </c>
      <c r="H8" s="37" t="s">
        <v>96</v>
      </c>
      <c r="I8" s="38" t="s">
        <v>97</v>
      </c>
      <c r="J8" s="37" t="s">
        <v>96</v>
      </c>
      <c r="K8" s="38" t="s">
        <v>97</v>
      </c>
      <c r="L8" s="37" t="s">
        <v>96</v>
      </c>
      <c r="M8" s="38" t="s">
        <v>97</v>
      </c>
      <c r="N8" s="36" t="s">
        <v>95</v>
      </c>
      <c r="O8" s="37" t="s">
        <v>96</v>
      </c>
      <c r="P8" s="38" t="s">
        <v>97</v>
      </c>
      <c r="Q8" s="37" t="s">
        <v>96</v>
      </c>
      <c r="R8" s="35" t="s">
        <v>94</v>
      </c>
      <c r="S8" s="37" t="s">
        <v>96</v>
      </c>
      <c r="T8" s="36" t="s">
        <v>95</v>
      </c>
      <c r="U8" s="36" t="s">
        <v>95</v>
      </c>
      <c r="V8" s="37" t="s">
        <v>96</v>
      </c>
      <c r="W8" s="38" t="s">
        <v>97</v>
      </c>
      <c r="X8" s="37" t="s">
        <v>96</v>
      </c>
      <c r="Y8" s="38" t="s">
        <v>97</v>
      </c>
      <c r="Z8" s="37" t="s">
        <v>96</v>
      </c>
      <c r="AA8" s="36" t="s">
        <v>95</v>
      </c>
      <c r="AB8" s="36" t="s">
        <v>95</v>
      </c>
      <c r="AC8" s="35" t="s">
        <v>94</v>
      </c>
      <c r="AD8" s="38" t="s">
        <v>97</v>
      </c>
      <c r="AE8" s="37" t="s">
        <v>96</v>
      </c>
      <c r="AF8" s="38" t="s">
        <v>97</v>
      </c>
      <c r="AG8" s="37" t="s">
        <v>96</v>
      </c>
      <c r="AH8" s="37" t="s">
        <v>96</v>
      </c>
      <c r="AI8" s="36" t="s">
        <v>95</v>
      </c>
      <c r="AJ8" s="16">
        <f>SUMPRODUCT(COUNTIF(E8:AI8,{"F","S","N","T","HO","SC"}))</f>
        <v>20</v>
      </c>
      <c r="AK8" s="39">
        <f t="shared" ref="AK8:AK22" si="1">AJ8*D8</f>
        <v>152</v>
      </c>
      <c r="AL8" s="39">
        <f t="shared" ref="AL8:AL22" si="2">NETWORKDAYS(DATE($F$3,$C$3,1),EOMONTH(DATE($F$3,$C$3,1),0),Feiertage)*D8</f>
        <v>136.79999999999998</v>
      </c>
      <c r="AM8" s="40">
        <f t="shared" ref="AM8:AM22" si="3">AK8-AL8</f>
        <v>15.200000000000017</v>
      </c>
      <c r="AN8" s="16">
        <f t="shared" ref="AN8:AN22" si="4">COUNTIF(E8:AI8,"U")</f>
        <v>0</v>
      </c>
      <c r="AO8" s="16">
        <f t="shared" ref="AO8:AO22" si="5">COUNTIF(E8:AI8,"K")</f>
        <v>0</v>
      </c>
      <c r="AP8" s="16">
        <f t="shared" ref="AP8:AP22" si="6">COUNTIF(E8:AI8,"HO")</f>
        <v>0</v>
      </c>
      <c r="AQ8" s="16">
        <f t="shared" ref="AQ8:AQ22" si="7">COUNTIF(E8:AI8,"SC")</f>
        <v>0</v>
      </c>
    </row>
    <row r="9" spans="1:43" ht="15" customHeight="1" x14ac:dyDescent="0.25">
      <c r="A9" s="41" t="str">
        <f>Mitarbeiterstamm!A6</f>
        <v>P-102</v>
      </c>
      <c r="B9" s="42" t="str">
        <f>Mitarbeiterstamm!B6</f>
        <v>Jonas Vogel</v>
      </c>
      <c r="C9" s="41" t="str">
        <f>Mitarbeiterstamm!C6</f>
        <v>Verkauf</v>
      </c>
      <c r="D9" s="43">
        <f>Mitarbeiterstamm!F6/5</f>
        <v>7.6</v>
      </c>
      <c r="E9" s="35" t="s">
        <v>94</v>
      </c>
      <c r="F9" s="38" t="s">
        <v>97</v>
      </c>
      <c r="G9" s="36" t="s">
        <v>95</v>
      </c>
      <c r="H9" s="38" t="s">
        <v>97</v>
      </c>
      <c r="I9" s="37" t="s">
        <v>96</v>
      </c>
      <c r="J9" s="38" t="s">
        <v>97</v>
      </c>
      <c r="K9" s="37" t="s">
        <v>96</v>
      </c>
      <c r="L9" s="38" t="s">
        <v>97</v>
      </c>
      <c r="M9" s="36" t="s">
        <v>95</v>
      </c>
      <c r="N9" s="36" t="s">
        <v>95</v>
      </c>
      <c r="O9" s="38" t="s">
        <v>97</v>
      </c>
      <c r="P9" s="37" t="s">
        <v>96</v>
      </c>
      <c r="Q9" s="38" t="s">
        <v>97</v>
      </c>
      <c r="R9" s="35" t="s">
        <v>94</v>
      </c>
      <c r="S9" s="38" t="s">
        <v>97</v>
      </c>
      <c r="T9" s="36" t="s">
        <v>95</v>
      </c>
      <c r="U9" s="36" t="s">
        <v>95</v>
      </c>
      <c r="V9" s="44" t="s">
        <v>98</v>
      </c>
      <c r="W9" s="44" t="s">
        <v>98</v>
      </c>
      <c r="X9" s="44" t="s">
        <v>98</v>
      </c>
      <c r="Y9" s="44" t="s">
        <v>98</v>
      </c>
      <c r="Z9" s="44" t="s">
        <v>98</v>
      </c>
      <c r="AA9" s="37" t="s">
        <v>96</v>
      </c>
      <c r="AB9" s="36" t="s">
        <v>95</v>
      </c>
      <c r="AC9" s="35" t="s">
        <v>94</v>
      </c>
      <c r="AD9" s="37" t="s">
        <v>96</v>
      </c>
      <c r="AE9" s="38" t="s">
        <v>97</v>
      </c>
      <c r="AF9" s="37" t="s">
        <v>96</v>
      </c>
      <c r="AG9" s="38" t="s">
        <v>97</v>
      </c>
      <c r="AH9" s="36" t="s">
        <v>95</v>
      </c>
      <c r="AI9" s="36" t="s">
        <v>95</v>
      </c>
      <c r="AJ9" s="17">
        <f>SUMPRODUCT(COUNTIF(E9:AI9,{"F","S","N","T","HO","SC"}))</f>
        <v>15</v>
      </c>
      <c r="AK9" s="45">
        <f t="shared" si="1"/>
        <v>114</v>
      </c>
      <c r="AL9" s="45">
        <f t="shared" si="2"/>
        <v>136.79999999999998</v>
      </c>
      <c r="AM9" s="46">
        <f t="shared" si="3"/>
        <v>-22.799999999999983</v>
      </c>
      <c r="AN9" s="17">
        <f t="shared" si="4"/>
        <v>5</v>
      </c>
      <c r="AO9" s="17">
        <f t="shared" si="5"/>
        <v>0</v>
      </c>
      <c r="AP9" s="17">
        <f t="shared" si="6"/>
        <v>0</v>
      </c>
      <c r="AQ9" s="17">
        <f t="shared" si="7"/>
        <v>0</v>
      </c>
    </row>
    <row r="10" spans="1:43" ht="15" customHeight="1" x14ac:dyDescent="0.25">
      <c r="A10" s="32" t="str">
        <f>Mitarbeiterstamm!A7</f>
        <v>P-103</v>
      </c>
      <c r="B10" s="33" t="str">
        <f>Mitarbeiterstamm!B7</f>
        <v>Mara Seidel</v>
      </c>
      <c r="C10" s="32" t="str">
        <f>Mitarbeiterstamm!C7</f>
        <v>Verkauf</v>
      </c>
      <c r="D10" s="34">
        <f>Mitarbeiterstamm!F7/5</f>
        <v>4.8</v>
      </c>
      <c r="E10" s="35" t="s">
        <v>94</v>
      </c>
      <c r="F10" s="36" t="s">
        <v>95</v>
      </c>
      <c r="G10" s="36" t="s">
        <v>95</v>
      </c>
      <c r="H10" s="37" t="s">
        <v>96</v>
      </c>
      <c r="I10" s="36" t="s">
        <v>95</v>
      </c>
      <c r="J10" s="37" t="s">
        <v>96</v>
      </c>
      <c r="K10" s="36" t="s">
        <v>95</v>
      </c>
      <c r="L10" s="37" t="s">
        <v>96</v>
      </c>
      <c r="M10" s="36" t="s">
        <v>95</v>
      </c>
      <c r="N10" s="36" t="s">
        <v>95</v>
      </c>
      <c r="O10" s="37" t="s">
        <v>96</v>
      </c>
      <c r="P10" s="36" t="s">
        <v>95</v>
      </c>
      <c r="Q10" s="37" t="s">
        <v>96</v>
      </c>
      <c r="R10" s="35" t="s">
        <v>94</v>
      </c>
      <c r="S10" s="37" t="s">
        <v>96</v>
      </c>
      <c r="T10" s="36" t="s">
        <v>95</v>
      </c>
      <c r="U10" s="36" t="s">
        <v>95</v>
      </c>
      <c r="V10" s="37" t="s">
        <v>96</v>
      </c>
      <c r="W10" s="36" t="s">
        <v>95</v>
      </c>
      <c r="X10" s="37" t="s">
        <v>96</v>
      </c>
      <c r="Y10" s="36" t="s">
        <v>95</v>
      </c>
      <c r="Z10" s="37" t="s">
        <v>96</v>
      </c>
      <c r="AA10" s="36" t="s">
        <v>95</v>
      </c>
      <c r="AB10" s="36" t="s">
        <v>95</v>
      </c>
      <c r="AC10" s="35" t="s">
        <v>94</v>
      </c>
      <c r="AD10" s="36" t="s">
        <v>95</v>
      </c>
      <c r="AE10" s="37" t="s">
        <v>96</v>
      </c>
      <c r="AF10" s="36" t="s">
        <v>95</v>
      </c>
      <c r="AG10" s="37" t="s">
        <v>96</v>
      </c>
      <c r="AH10" s="36" t="s">
        <v>95</v>
      </c>
      <c r="AI10" s="36" t="s">
        <v>95</v>
      </c>
      <c r="AJ10" s="16">
        <f>SUMPRODUCT(COUNTIF(E10:AI10,{"F","S","N","T","HO","SC"}))</f>
        <v>11</v>
      </c>
      <c r="AK10" s="39">
        <f t="shared" si="1"/>
        <v>52.8</v>
      </c>
      <c r="AL10" s="39">
        <f t="shared" si="2"/>
        <v>86.399999999999991</v>
      </c>
      <c r="AM10" s="40">
        <f t="shared" si="3"/>
        <v>-33.599999999999994</v>
      </c>
      <c r="AN10" s="16">
        <f t="shared" si="4"/>
        <v>0</v>
      </c>
      <c r="AO10" s="16">
        <f t="shared" si="5"/>
        <v>0</v>
      </c>
      <c r="AP10" s="16">
        <f t="shared" si="6"/>
        <v>0</v>
      </c>
      <c r="AQ10" s="16">
        <f t="shared" si="7"/>
        <v>0</v>
      </c>
    </row>
    <row r="11" spans="1:43" ht="15" customHeight="1" x14ac:dyDescent="0.25">
      <c r="A11" s="41" t="str">
        <f>Mitarbeiterstamm!A8</f>
        <v>P-104</v>
      </c>
      <c r="B11" s="42" t="str">
        <f>Mitarbeiterstamm!B8</f>
        <v>Tobias Krüger</v>
      </c>
      <c r="C11" s="41" t="str">
        <f>Mitarbeiterstamm!C8</f>
        <v>Logistik</v>
      </c>
      <c r="D11" s="43">
        <f>Mitarbeiterstamm!F8/5</f>
        <v>7.6</v>
      </c>
      <c r="E11" s="35" t="s">
        <v>94</v>
      </c>
      <c r="F11" s="36" t="s">
        <v>95</v>
      </c>
      <c r="G11" s="36" t="s">
        <v>95</v>
      </c>
      <c r="H11" s="37" t="s">
        <v>96</v>
      </c>
      <c r="I11" s="38" t="s">
        <v>97</v>
      </c>
      <c r="J11" s="47" t="s">
        <v>99</v>
      </c>
      <c r="K11" s="47" t="s">
        <v>99</v>
      </c>
      <c r="L11" s="47" t="s">
        <v>99</v>
      </c>
      <c r="M11" s="36" t="s">
        <v>95</v>
      </c>
      <c r="N11" s="36" t="s">
        <v>95</v>
      </c>
      <c r="O11" s="37" t="s">
        <v>96</v>
      </c>
      <c r="P11" s="38" t="s">
        <v>97</v>
      </c>
      <c r="Q11" s="48" t="s">
        <v>100</v>
      </c>
      <c r="R11" s="35" t="s">
        <v>94</v>
      </c>
      <c r="S11" s="38" t="s">
        <v>97</v>
      </c>
      <c r="T11" s="38" t="s">
        <v>97</v>
      </c>
      <c r="U11" s="36" t="s">
        <v>95</v>
      </c>
      <c r="V11" s="37" t="s">
        <v>96</v>
      </c>
      <c r="W11" s="38" t="s">
        <v>97</v>
      </c>
      <c r="X11" s="48" t="s">
        <v>100</v>
      </c>
      <c r="Y11" s="37" t="s">
        <v>96</v>
      </c>
      <c r="Z11" s="38" t="s">
        <v>97</v>
      </c>
      <c r="AA11" s="36" t="s">
        <v>95</v>
      </c>
      <c r="AB11" s="36" t="s">
        <v>95</v>
      </c>
      <c r="AC11" s="35" t="s">
        <v>94</v>
      </c>
      <c r="AD11" s="38" t="s">
        <v>97</v>
      </c>
      <c r="AE11" s="48" t="s">
        <v>100</v>
      </c>
      <c r="AF11" s="37" t="s">
        <v>96</v>
      </c>
      <c r="AG11" s="38" t="s">
        <v>97</v>
      </c>
      <c r="AH11" s="36" t="s">
        <v>95</v>
      </c>
      <c r="AI11" s="36" t="s">
        <v>95</v>
      </c>
      <c r="AJ11" s="17">
        <f>SUMPRODUCT(COUNTIF(E11:AI11,{"F","S","N","T","HO","SC"}))</f>
        <v>16</v>
      </c>
      <c r="AK11" s="45">
        <f t="shared" si="1"/>
        <v>121.6</v>
      </c>
      <c r="AL11" s="45">
        <f t="shared" si="2"/>
        <v>136.79999999999998</v>
      </c>
      <c r="AM11" s="46">
        <f t="shared" si="3"/>
        <v>-15.199999999999989</v>
      </c>
      <c r="AN11" s="17">
        <f t="shared" si="4"/>
        <v>0</v>
      </c>
      <c r="AO11" s="17">
        <f t="shared" si="5"/>
        <v>3</v>
      </c>
      <c r="AP11" s="17">
        <f t="shared" si="6"/>
        <v>0</v>
      </c>
      <c r="AQ11" s="17">
        <f t="shared" si="7"/>
        <v>0</v>
      </c>
    </row>
    <row r="12" spans="1:43" ht="15" customHeight="1" x14ac:dyDescent="0.25">
      <c r="A12" s="32" t="str">
        <f>Mitarbeiterstamm!A9</f>
        <v>P-105</v>
      </c>
      <c r="B12" s="33" t="str">
        <f>Mitarbeiterstamm!B9</f>
        <v>Sven Brandt</v>
      </c>
      <c r="C12" s="32" t="str">
        <f>Mitarbeiterstamm!C9</f>
        <v>Logistik</v>
      </c>
      <c r="D12" s="34">
        <f>Mitarbeiterstamm!F9/5</f>
        <v>7.6</v>
      </c>
      <c r="E12" s="35" t="s">
        <v>94</v>
      </c>
      <c r="F12" s="36" t="s">
        <v>95</v>
      </c>
      <c r="G12" s="36" t="s">
        <v>95</v>
      </c>
      <c r="H12" s="38" t="s">
        <v>97</v>
      </c>
      <c r="I12" s="48" t="s">
        <v>100</v>
      </c>
      <c r="J12" s="37" t="s">
        <v>96</v>
      </c>
      <c r="K12" s="38" t="s">
        <v>97</v>
      </c>
      <c r="L12" s="48" t="s">
        <v>100</v>
      </c>
      <c r="M12" s="49" t="s">
        <v>101</v>
      </c>
      <c r="N12" s="36" t="s">
        <v>95</v>
      </c>
      <c r="O12" s="38" t="s">
        <v>97</v>
      </c>
      <c r="P12" s="48" t="s">
        <v>100</v>
      </c>
      <c r="Q12" s="37" t="s">
        <v>96</v>
      </c>
      <c r="R12" s="35" t="s">
        <v>94</v>
      </c>
      <c r="S12" s="48" t="s">
        <v>100</v>
      </c>
      <c r="T12" s="36" t="s">
        <v>95</v>
      </c>
      <c r="U12" s="36" t="s">
        <v>95</v>
      </c>
      <c r="V12" s="38" t="s">
        <v>97</v>
      </c>
      <c r="W12" s="48" t="s">
        <v>100</v>
      </c>
      <c r="X12" s="37" t="s">
        <v>96</v>
      </c>
      <c r="Y12" s="38" t="s">
        <v>97</v>
      </c>
      <c r="Z12" s="48" t="s">
        <v>100</v>
      </c>
      <c r="AA12" s="36" t="s">
        <v>95</v>
      </c>
      <c r="AB12" s="36" t="s">
        <v>95</v>
      </c>
      <c r="AC12" s="35" t="s">
        <v>94</v>
      </c>
      <c r="AD12" s="48" t="s">
        <v>100</v>
      </c>
      <c r="AE12" s="37" t="s">
        <v>96</v>
      </c>
      <c r="AF12" s="38" t="s">
        <v>97</v>
      </c>
      <c r="AG12" s="48" t="s">
        <v>100</v>
      </c>
      <c r="AH12" s="38" t="s">
        <v>97</v>
      </c>
      <c r="AI12" s="36" t="s">
        <v>95</v>
      </c>
      <c r="AJ12" s="16">
        <f>SUMPRODUCT(COUNTIF(E12:AI12,{"F","S","N","T","HO","SC"}))</f>
        <v>19</v>
      </c>
      <c r="AK12" s="39">
        <f t="shared" si="1"/>
        <v>144.4</v>
      </c>
      <c r="AL12" s="39">
        <f t="shared" si="2"/>
        <v>136.79999999999998</v>
      </c>
      <c r="AM12" s="40">
        <f t="shared" si="3"/>
        <v>7.6000000000000227</v>
      </c>
      <c r="AN12" s="16">
        <f t="shared" si="4"/>
        <v>0</v>
      </c>
      <c r="AO12" s="16">
        <f t="shared" si="5"/>
        <v>0</v>
      </c>
      <c r="AP12" s="16">
        <f t="shared" si="6"/>
        <v>0</v>
      </c>
      <c r="AQ12" s="16">
        <f t="shared" si="7"/>
        <v>0</v>
      </c>
    </row>
    <row r="13" spans="1:43" ht="15" customHeight="1" x14ac:dyDescent="0.25">
      <c r="A13" s="41" t="str">
        <f>Mitarbeiterstamm!A10</f>
        <v>P-106</v>
      </c>
      <c r="B13" s="42" t="str">
        <f>Mitarbeiterstamm!B10</f>
        <v>Nina Albrecht</v>
      </c>
      <c r="C13" s="41" t="str">
        <f>Mitarbeiterstamm!C10</f>
        <v>Logistik</v>
      </c>
      <c r="D13" s="43">
        <f>Mitarbeiterstamm!F10/5</f>
        <v>4</v>
      </c>
      <c r="E13" s="35" t="s">
        <v>94</v>
      </c>
      <c r="F13" s="36" t="s">
        <v>95</v>
      </c>
      <c r="G13" s="36" t="s">
        <v>95</v>
      </c>
      <c r="H13" s="37" t="s">
        <v>96</v>
      </c>
      <c r="I13" s="36" t="s">
        <v>95</v>
      </c>
      <c r="J13" s="37" t="s">
        <v>96</v>
      </c>
      <c r="K13" s="36" t="s">
        <v>95</v>
      </c>
      <c r="L13" s="37" t="s">
        <v>96</v>
      </c>
      <c r="M13" s="36" t="s">
        <v>95</v>
      </c>
      <c r="N13" s="36" t="s">
        <v>95</v>
      </c>
      <c r="O13" s="37" t="s">
        <v>96</v>
      </c>
      <c r="P13" s="36" t="s">
        <v>95</v>
      </c>
      <c r="Q13" s="37" t="s">
        <v>96</v>
      </c>
      <c r="R13" s="35" t="s">
        <v>94</v>
      </c>
      <c r="S13" s="37" t="s">
        <v>96</v>
      </c>
      <c r="T13" s="36" t="s">
        <v>95</v>
      </c>
      <c r="U13" s="36" t="s">
        <v>95</v>
      </c>
      <c r="V13" s="37" t="s">
        <v>96</v>
      </c>
      <c r="W13" s="36" t="s">
        <v>95</v>
      </c>
      <c r="X13" s="37" t="s">
        <v>96</v>
      </c>
      <c r="Y13" s="36" t="s">
        <v>95</v>
      </c>
      <c r="Z13" s="37" t="s">
        <v>96</v>
      </c>
      <c r="AA13" s="36" t="s">
        <v>95</v>
      </c>
      <c r="AB13" s="36" t="s">
        <v>95</v>
      </c>
      <c r="AC13" s="35" t="s">
        <v>94</v>
      </c>
      <c r="AD13" s="36" t="s">
        <v>95</v>
      </c>
      <c r="AE13" s="37" t="s">
        <v>96</v>
      </c>
      <c r="AF13" s="36" t="s">
        <v>95</v>
      </c>
      <c r="AG13" s="37" t="s">
        <v>96</v>
      </c>
      <c r="AH13" s="36" t="s">
        <v>95</v>
      </c>
      <c r="AI13" s="36" t="s">
        <v>95</v>
      </c>
      <c r="AJ13" s="17">
        <f>SUMPRODUCT(COUNTIF(E13:AI13,{"F","S","N","T","HO","SC"}))</f>
        <v>11</v>
      </c>
      <c r="AK13" s="45">
        <f t="shared" si="1"/>
        <v>44</v>
      </c>
      <c r="AL13" s="45">
        <f t="shared" si="2"/>
        <v>72</v>
      </c>
      <c r="AM13" s="46">
        <f t="shared" si="3"/>
        <v>-28</v>
      </c>
      <c r="AN13" s="17">
        <f t="shared" si="4"/>
        <v>0</v>
      </c>
      <c r="AO13" s="17">
        <f t="shared" si="5"/>
        <v>0</v>
      </c>
      <c r="AP13" s="17">
        <f t="shared" si="6"/>
        <v>0</v>
      </c>
      <c r="AQ13" s="17">
        <f t="shared" si="7"/>
        <v>0</v>
      </c>
    </row>
    <row r="14" spans="1:43" ht="15" customHeight="1" x14ac:dyDescent="0.25">
      <c r="A14" s="32" t="str">
        <f>Mitarbeiterstamm!A11</f>
        <v>P-107</v>
      </c>
      <c r="B14" s="33" t="str">
        <f>Mitarbeiterstamm!B11</f>
        <v>Paul Reuter</v>
      </c>
      <c r="C14" s="32" t="str">
        <f>Mitarbeiterstamm!C11</f>
        <v>Kundenservice</v>
      </c>
      <c r="D14" s="34">
        <f>Mitarbeiterstamm!F11/5</f>
        <v>7.6</v>
      </c>
      <c r="E14" s="35" t="s">
        <v>94</v>
      </c>
      <c r="F14" s="36" t="s">
        <v>95</v>
      </c>
      <c r="G14" s="36" t="s">
        <v>95</v>
      </c>
      <c r="H14" s="50" t="s">
        <v>102</v>
      </c>
      <c r="I14" s="51" t="s">
        <v>103</v>
      </c>
      <c r="J14" s="50" t="s">
        <v>102</v>
      </c>
      <c r="K14" s="51" t="s">
        <v>103</v>
      </c>
      <c r="L14" s="50" t="s">
        <v>102</v>
      </c>
      <c r="M14" s="36" t="s">
        <v>95</v>
      </c>
      <c r="N14" s="36" t="s">
        <v>95</v>
      </c>
      <c r="O14" s="50" t="s">
        <v>102</v>
      </c>
      <c r="P14" s="51" t="s">
        <v>103</v>
      </c>
      <c r="Q14" s="50" t="s">
        <v>102</v>
      </c>
      <c r="R14" s="35" t="s">
        <v>94</v>
      </c>
      <c r="S14" s="50" t="s">
        <v>102</v>
      </c>
      <c r="T14" s="36" t="s">
        <v>95</v>
      </c>
      <c r="U14" s="36" t="s">
        <v>95</v>
      </c>
      <c r="V14" s="50" t="s">
        <v>102</v>
      </c>
      <c r="W14" s="51" t="s">
        <v>103</v>
      </c>
      <c r="X14" s="50" t="s">
        <v>102</v>
      </c>
      <c r="Y14" s="51" t="s">
        <v>103</v>
      </c>
      <c r="Z14" s="50" t="s">
        <v>102</v>
      </c>
      <c r="AA14" s="36" t="s">
        <v>95</v>
      </c>
      <c r="AB14" s="36" t="s">
        <v>95</v>
      </c>
      <c r="AC14" s="35" t="s">
        <v>94</v>
      </c>
      <c r="AD14" s="51" t="s">
        <v>103</v>
      </c>
      <c r="AE14" s="50" t="s">
        <v>102</v>
      </c>
      <c r="AF14" s="51" t="s">
        <v>103</v>
      </c>
      <c r="AG14" s="50" t="s">
        <v>102</v>
      </c>
      <c r="AH14" s="36" t="s">
        <v>95</v>
      </c>
      <c r="AI14" s="36" t="s">
        <v>95</v>
      </c>
      <c r="AJ14" s="16">
        <f>SUMPRODUCT(COUNTIF(E14:AI14,{"F","S","N","T","HO","SC"}))</f>
        <v>18</v>
      </c>
      <c r="AK14" s="39">
        <f t="shared" si="1"/>
        <v>136.79999999999998</v>
      </c>
      <c r="AL14" s="39">
        <f t="shared" si="2"/>
        <v>136.79999999999998</v>
      </c>
      <c r="AM14" s="40">
        <f t="shared" si="3"/>
        <v>0</v>
      </c>
      <c r="AN14" s="16">
        <f t="shared" si="4"/>
        <v>0</v>
      </c>
      <c r="AO14" s="16">
        <f t="shared" si="5"/>
        <v>0</v>
      </c>
      <c r="AP14" s="16">
        <f t="shared" si="6"/>
        <v>7</v>
      </c>
      <c r="AQ14" s="16">
        <f t="shared" si="7"/>
        <v>0</v>
      </c>
    </row>
    <row r="15" spans="1:43" ht="15" customHeight="1" x14ac:dyDescent="0.25">
      <c r="A15" s="41" t="str">
        <f>Mitarbeiterstamm!A12</f>
        <v>P-108</v>
      </c>
      <c r="B15" s="42" t="str">
        <f>Mitarbeiterstamm!B12</f>
        <v>Hannah Wolters</v>
      </c>
      <c r="C15" s="41" t="str">
        <f>Mitarbeiterstamm!C12</f>
        <v>Kundenservice</v>
      </c>
      <c r="D15" s="43">
        <f>Mitarbeiterstamm!F12/5</f>
        <v>7.6</v>
      </c>
      <c r="E15" s="35" t="s">
        <v>94</v>
      </c>
      <c r="F15" s="36" t="s">
        <v>95</v>
      </c>
      <c r="G15" s="36" t="s">
        <v>95</v>
      </c>
      <c r="H15" s="50" t="s">
        <v>102</v>
      </c>
      <c r="I15" s="51" t="s">
        <v>103</v>
      </c>
      <c r="J15" s="50" t="s">
        <v>102</v>
      </c>
      <c r="K15" s="51" t="s">
        <v>103</v>
      </c>
      <c r="L15" s="50" t="s">
        <v>102</v>
      </c>
      <c r="M15" s="36" t="s">
        <v>95</v>
      </c>
      <c r="N15" s="36" t="s">
        <v>95</v>
      </c>
      <c r="O15" s="50" t="s">
        <v>102</v>
      </c>
      <c r="P15" s="51" t="s">
        <v>103</v>
      </c>
      <c r="Q15" s="50" t="s">
        <v>102</v>
      </c>
      <c r="R15" s="35" t="s">
        <v>94</v>
      </c>
      <c r="S15" s="50" t="s">
        <v>102</v>
      </c>
      <c r="T15" s="36" t="s">
        <v>95</v>
      </c>
      <c r="U15" s="36" t="s">
        <v>95</v>
      </c>
      <c r="V15" s="50" t="s">
        <v>102</v>
      </c>
      <c r="W15" s="52" t="s">
        <v>104</v>
      </c>
      <c r="X15" s="50" t="s">
        <v>102</v>
      </c>
      <c r="Y15" s="51" t="s">
        <v>103</v>
      </c>
      <c r="Z15" s="50" t="s">
        <v>102</v>
      </c>
      <c r="AA15" s="36" t="s">
        <v>95</v>
      </c>
      <c r="AB15" s="36" t="s">
        <v>95</v>
      </c>
      <c r="AC15" s="35" t="s">
        <v>94</v>
      </c>
      <c r="AD15" s="51" t="s">
        <v>103</v>
      </c>
      <c r="AE15" s="50" t="s">
        <v>102</v>
      </c>
      <c r="AF15" s="51" t="s">
        <v>103</v>
      </c>
      <c r="AG15" s="50" t="s">
        <v>102</v>
      </c>
      <c r="AH15" s="36" t="s">
        <v>95</v>
      </c>
      <c r="AI15" s="36" t="s">
        <v>95</v>
      </c>
      <c r="AJ15" s="17">
        <f>SUMPRODUCT(COUNTIF(E15:AI15,{"F","S","N","T","HO","SC"}))</f>
        <v>18</v>
      </c>
      <c r="AK15" s="45">
        <f t="shared" si="1"/>
        <v>136.79999999999998</v>
      </c>
      <c r="AL15" s="45">
        <f t="shared" si="2"/>
        <v>136.79999999999998</v>
      </c>
      <c r="AM15" s="46">
        <f t="shared" si="3"/>
        <v>0</v>
      </c>
      <c r="AN15" s="17">
        <f t="shared" si="4"/>
        <v>0</v>
      </c>
      <c r="AO15" s="17">
        <f t="shared" si="5"/>
        <v>0</v>
      </c>
      <c r="AP15" s="17">
        <f t="shared" si="6"/>
        <v>6</v>
      </c>
      <c r="AQ15" s="17">
        <f t="shared" si="7"/>
        <v>1</v>
      </c>
    </row>
    <row r="16" spans="1:43" ht="15" customHeight="1" x14ac:dyDescent="0.25">
      <c r="A16" s="32" t="str">
        <f>Mitarbeiterstamm!A13</f>
        <v>P-109</v>
      </c>
      <c r="B16" s="33" t="str">
        <f>Mitarbeiterstamm!B13</f>
        <v>Felix Brandner</v>
      </c>
      <c r="C16" s="32" t="str">
        <f>Mitarbeiterstamm!C13</f>
        <v>Kundenservice</v>
      </c>
      <c r="D16" s="34">
        <f>Mitarbeiterstamm!F13/5</f>
        <v>5</v>
      </c>
      <c r="E16" s="35" t="s">
        <v>94</v>
      </c>
      <c r="F16" s="36" t="s">
        <v>95</v>
      </c>
      <c r="G16" s="36" t="s">
        <v>95</v>
      </c>
      <c r="H16" s="50" t="s">
        <v>102</v>
      </c>
      <c r="I16" s="36" t="s">
        <v>95</v>
      </c>
      <c r="J16" s="50" t="s">
        <v>102</v>
      </c>
      <c r="K16" s="36" t="s">
        <v>95</v>
      </c>
      <c r="L16" s="50" t="s">
        <v>102</v>
      </c>
      <c r="M16" s="36" t="s">
        <v>95</v>
      </c>
      <c r="N16" s="36" t="s">
        <v>95</v>
      </c>
      <c r="O16" s="50" t="s">
        <v>102</v>
      </c>
      <c r="P16" s="36" t="s">
        <v>95</v>
      </c>
      <c r="Q16" s="50" t="s">
        <v>102</v>
      </c>
      <c r="R16" s="35" t="s">
        <v>94</v>
      </c>
      <c r="S16" s="50" t="s">
        <v>102</v>
      </c>
      <c r="T16" s="36" t="s">
        <v>95</v>
      </c>
      <c r="U16" s="36" t="s">
        <v>95</v>
      </c>
      <c r="V16" s="50" t="s">
        <v>102</v>
      </c>
      <c r="W16" s="36" t="s">
        <v>95</v>
      </c>
      <c r="X16" s="50" t="s">
        <v>102</v>
      </c>
      <c r="Y16" s="36" t="s">
        <v>95</v>
      </c>
      <c r="Z16" s="50" t="s">
        <v>102</v>
      </c>
      <c r="AA16" s="36" t="s">
        <v>95</v>
      </c>
      <c r="AB16" s="36" t="s">
        <v>95</v>
      </c>
      <c r="AC16" s="35" t="s">
        <v>94</v>
      </c>
      <c r="AD16" s="36" t="s">
        <v>95</v>
      </c>
      <c r="AE16" s="50" t="s">
        <v>102</v>
      </c>
      <c r="AF16" s="36" t="s">
        <v>95</v>
      </c>
      <c r="AG16" s="50" t="s">
        <v>102</v>
      </c>
      <c r="AH16" s="36" t="s">
        <v>95</v>
      </c>
      <c r="AI16" s="36" t="s">
        <v>95</v>
      </c>
      <c r="AJ16" s="16">
        <f>SUMPRODUCT(COUNTIF(E16:AI16,{"F","S","N","T","HO","SC"}))</f>
        <v>11</v>
      </c>
      <c r="AK16" s="39">
        <f t="shared" si="1"/>
        <v>55</v>
      </c>
      <c r="AL16" s="39">
        <f t="shared" si="2"/>
        <v>90</v>
      </c>
      <c r="AM16" s="40">
        <f t="shared" si="3"/>
        <v>-35</v>
      </c>
      <c r="AN16" s="16">
        <f t="shared" si="4"/>
        <v>0</v>
      </c>
      <c r="AO16" s="16">
        <f t="shared" si="5"/>
        <v>0</v>
      </c>
      <c r="AP16" s="16">
        <f t="shared" si="6"/>
        <v>0</v>
      </c>
      <c r="AQ16" s="16">
        <f t="shared" si="7"/>
        <v>0</v>
      </c>
    </row>
    <row r="17" spans="1:43" ht="15" customHeight="1" x14ac:dyDescent="0.25">
      <c r="A17" s="41" t="str">
        <f>Mitarbeiterstamm!A14</f>
        <v>P-110</v>
      </c>
      <c r="B17" s="42" t="str">
        <f>Mitarbeiterstamm!B14</f>
        <v>Sophie Lehmann</v>
      </c>
      <c r="C17" s="41" t="str">
        <f>Mitarbeiterstamm!C14</f>
        <v>Verwaltung</v>
      </c>
      <c r="D17" s="43">
        <f>Mitarbeiterstamm!F14/5</f>
        <v>7.6</v>
      </c>
      <c r="E17" s="35" t="s">
        <v>94</v>
      </c>
      <c r="F17" s="36" t="s">
        <v>95</v>
      </c>
      <c r="G17" s="36" t="s">
        <v>95</v>
      </c>
      <c r="H17" s="50" t="s">
        <v>102</v>
      </c>
      <c r="I17" s="51" t="s">
        <v>103</v>
      </c>
      <c r="J17" s="50" t="s">
        <v>102</v>
      </c>
      <c r="K17" s="51" t="s">
        <v>103</v>
      </c>
      <c r="L17" s="50" t="s">
        <v>102</v>
      </c>
      <c r="M17" s="36" t="s">
        <v>95</v>
      </c>
      <c r="N17" s="36" t="s">
        <v>95</v>
      </c>
      <c r="O17" s="50" t="s">
        <v>102</v>
      </c>
      <c r="P17" s="51" t="s">
        <v>103</v>
      </c>
      <c r="Q17" s="50" t="s">
        <v>102</v>
      </c>
      <c r="R17" s="35" t="s">
        <v>94</v>
      </c>
      <c r="S17" s="50" t="s">
        <v>102</v>
      </c>
      <c r="T17" s="36" t="s">
        <v>95</v>
      </c>
      <c r="U17" s="36" t="s">
        <v>95</v>
      </c>
      <c r="V17" s="50" t="s">
        <v>102</v>
      </c>
      <c r="W17" s="51" t="s">
        <v>103</v>
      </c>
      <c r="X17" s="50" t="s">
        <v>102</v>
      </c>
      <c r="Y17" s="51" t="s">
        <v>103</v>
      </c>
      <c r="Z17" s="50" t="s">
        <v>102</v>
      </c>
      <c r="AA17" s="36" t="s">
        <v>95</v>
      </c>
      <c r="AB17" s="36" t="s">
        <v>95</v>
      </c>
      <c r="AC17" s="35" t="s">
        <v>94</v>
      </c>
      <c r="AD17" s="51" t="s">
        <v>103</v>
      </c>
      <c r="AE17" s="50" t="s">
        <v>102</v>
      </c>
      <c r="AF17" s="51" t="s">
        <v>103</v>
      </c>
      <c r="AG17" s="50" t="s">
        <v>102</v>
      </c>
      <c r="AH17" s="36" t="s">
        <v>95</v>
      </c>
      <c r="AI17" s="36" t="s">
        <v>95</v>
      </c>
      <c r="AJ17" s="17">
        <f>SUMPRODUCT(COUNTIF(E17:AI17,{"F","S","N","T","HO","SC"}))</f>
        <v>18</v>
      </c>
      <c r="AK17" s="45">
        <f t="shared" si="1"/>
        <v>136.79999999999998</v>
      </c>
      <c r="AL17" s="45">
        <f t="shared" si="2"/>
        <v>136.79999999999998</v>
      </c>
      <c r="AM17" s="46">
        <f t="shared" si="3"/>
        <v>0</v>
      </c>
      <c r="AN17" s="17">
        <f t="shared" si="4"/>
        <v>0</v>
      </c>
      <c r="AO17" s="17">
        <f t="shared" si="5"/>
        <v>0</v>
      </c>
      <c r="AP17" s="17">
        <f t="shared" si="6"/>
        <v>7</v>
      </c>
      <c r="AQ17" s="17">
        <f t="shared" si="7"/>
        <v>0</v>
      </c>
    </row>
    <row r="18" spans="1:43" ht="15" customHeight="1" x14ac:dyDescent="0.25">
      <c r="A18" s="32" t="str">
        <f>Mitarbeiterstamm!A15</f>
        <v>P-111</v>
      </c>
      <c r="B18" s="33" t="str">
        <f>Mitarbeiterstamm!B15</f>
        <v>David Naumann</v>
      </c>
      <c r="C18" s="32" t="str">
        <f>Mitarbeiterstamm!C15</f>
        <v>Verwaltung</v>
      </c>
      <c r="D18" s="34">
        <f>Mitarbeiterstamm!F15/5</f>
        <v>7.6</v>
      </c>
      <c r="E18" s="35" t="s">
        <v>94</v>
      </c>
      <c r="F18" s="36" t="s">
        <v>95</v>
      </c>
      <c r="G18" s="36" t="s">
        <v>95</v>
      </c>
      <c r="H18" s="50" t="s">
        <v>102</v>
      </c>
      <c r="I18" s="51" t="s">
        <v>103</v>
      </c>
      <c r="J18" s="50" t="s">
        <v>102</v>
      </c>
      <c r="K18" s="51" t="s">
        <v>103</v>
      </c>
      <c r="L18" s="50" t="s">
        <v>102</v>
      </c>
      <c r="M18" s="36" t="s">
        <v>95</v>
      </c>
      <c r="N18" s="36" t="s">
        <v>95</v>
      </c>
      <c r="O18" s="50" t="s">
        <v>102</v>
      </c>
      <c r="P18" s="51" t="s">
        <v>103</v>
      </c>
      <c r="Q18" s="50" t="s">
        <v>102</v>
      </c>
      <c r="R18" s="35" t="s">
        <v>94</v>
      </c>
      <c r="S18" s="50" t="s">
        <v>102</v>
      </c>
      <c r="T18" s="36" t="s">
        <v>95</v>
      </c>
      <c r="U18" s="36" t="s">
        <v>95</v>
      </c>
      <c r="V18" s="50" t="s">
        <v>102</v>
      </c>
      <c r="W18" s="51" t="s">
        <v>103</v>
      </c>
      <c r="X18" s="50" t="s">
        <v>102</v>
      </c>
      <c r="Y18" s="51" t="s">
        <v>103</v>
      </c>
      <c r="Z18" s="50" t="s">
        <v>102</v>
      </c>
      <c r="AA18" s="36" t="s">
        <v>95</v>
      </c>
      <c r="AB18" s="36" t="s">
        <v>95</v>
      </c>
      <c r="AC18" s="35" t="s">
        <v>94</v>
      </c>
      <c r="AD18" s="44" t="s">
        <v>98</v>
      </c>
      <c r="AE18" s="44" t="s">
        <v>98</v>
      </c>
      <c r="AF18" s="44" t="s">
        <v>98</v>
      </c>
      <c r="AG18" s="44" t="s">
        <v>98</v>
      </c>
      <c r="AH18" s="36" t="s">
        <v>95</v>
      </c>
      <c r="AI18" s="36" t="s">
        <v>95</v>
      </c>
      <c r="AJ18" s="16">
        <f>SUMPRODUCT(COUNTIF(E18:AI18,{"F","S","N","T","HO","SC"}))</f>
        <v>14</v>
      </c>
      <c r="AK18" s="39">
        <f t="shared" si="1"/>
        <v>106.39999999999999</v>
      </c>
      <c r="AL18" s="39">
        <f t="shared" si="2"/>
        <v>136.79999999999998</v>
      </c>
      <c r="AM18" s="40">
        <f t="shared" si="3"/>
        <v>-30.399999999999991</v>
      </c>
      <c r="AN18" s="16">
        <f t="shared" si="4"/>
        <v>4</v>
      </c>
      <c r="AO18" s="16">
        <f t="shared" si="5"/>
        <v>0</v>
      </c>
      <c r="AP18" s="16">
        <f t="shared" si="6"/>
        <v>5</v>
      </c>
      <c r="AQ18" s="16">
        <f t="shared" si="7"/>
        <v>0</v>
      </c>
    </row>
    <row r="19" spans="1:43" ht="15" customHeight="1" x14ac:dyDescent="0.25">
      <c r="A19" s="41" t="str">
        <f>Mitarbeiterstamm!A16</f>
        <v>P-112</v>
      </c>
      <c r="B19" s="42" t="str">
        <f>Mitarbeiterstamm!B16</f>
        <v>Carla Ostermann</v>
      </c>
      <c r="C19" s="41" t="str">
        <f>Mitarbeiterstamm!C16</f>
        <v>Verkauf</v>
      </c>
      <c r="D19" s="43">
        <f>Mitarbeiterstamm!F16/5</f>
        <v>7.6</v>
      </c>
      <c r="E19" s="35" t="s">
        <v>94</v>
      </c>
      <c r="F19" s="36" t="s">
        <v>95</v>
      </c>
      <c r="G19" s="36" t="s">
        <v>95</v>
      </c>
      <c r="H19" s="38" t="s">
        <v>97</v>
      </c>
      <c r="I19" s="37" t="s">
        <v>96</v>
      </c>
      <c r="J19" s="38" t="s">
        <v>97</v>
      </c>
      <c r="K19" s="37" t="s">
        <v>96</v>
      </c>
      <c r="L19" s="38" t="s">
        <v>97</v>
      </c>
      <c r="M19" s="36" t="s">
        <v>95</v>
      </c>
      <c r="N19" s="36" t="s">
        <v>95</v>
      </c>
      <c r="O19" s="38" t="s">
        <v>97</v>
      </c>
      <c r="P19" s="52" t="s">
        <v>104</v>
      </c>
      <c r="Q19" s="38" t="s">
        <v>97</v>
      </c>
      <c r="R19" s="35" t="s">
        <v>94</v>
      </c>
      <c r="S19" s="38" t="s">
        <v>97</v>
      </c>
      <c r="T19" s="38" t="s">
        <v>97</v>
      </c>
      <c r="U19" s="36" t="s">
        <v>95</v>
      </c>
      <c r="V19" s="38" t="s">
        <v>97</v>
      </c>
      <c r="W19" s="37" t="s">
        <v>96</v>
      </c>
      <c r="X19" s="38" t="s">
        <v>97</v>
      </c>
      <c r="Y19" s="37" t="s">
        <v>96</v>
      </c>
      <c r="Z19" s="38" t="s">
        <v>97</v>
      </c>
      <c r="AA19" s="36" t="s">
        <v>95</v>
      </c>
      <c r="AB19" s="36" t="s">
        <v>95</v>
      </c>
      <c r="AC19" s="35" t="s">
        <v>94</v>
      </c>
      <c r="AD19" s="37" t="s">
        <v>96</v>
      </c>
      <c r="AE19" s="38" t="s">
        <v>97</v>
      </c>
      <c r="AF19" s="37" t="s">
        <v>96</v>
      </c>
      <c r="AG19" s="38" t="s">
        <v>97</v>
      </c>
      <c r="AH19" s="36" t="s">
        <v>95</v>
      </c>
      <c r="AI19" s="36" t="s">
        <v>95</v>
      </c>
      <c r="AJ19" s="17">
        <f>SUMPRODUCT(COUNTIF(E19:AI19,{"F","S","N","T","HO","SC"}))</f>
        <v>19</v>
      </c>
      <c r="AK19" s="45">
        <f t="shared" si="1"/>
        <v>144.4</v>
      </c>
      <c r="AL19" s="45">
        <f t="shared" si="2"/>
        <v>136.79999999999998</v>
      </c>
      <c r="AM19" s="46">
        <f t="shared" si="3"/>
        <v>7.6000000000000227</v>
      </c>
      <c r="AN19" s="17">
        <f t="shared" si="4"/>
        <v>0</v>
      </c>
      <c r="AO19" s="17">
        <f t="shared" si="5"/>
        <v>0</v>
      </c>
      <c r="AP19" s="17">
        <f t="shared" si="6"/>
        <v>0</v>
      </c>
      <c r="AQ19" s="17">
        <f t="shared" si="7"/>
        <v>1</v>
      </c>
    </row>
    <row r="20" spans="1:43" ht="15" customHeight="1" x14ac:dyDescent="0.25">
      <c r="A20" s="32" t="str">
        <f>Mitarbeiterstamm!A17</f>
        <v>P-113</v>
      </c>
      <c r="B20" s="33" t="str">
        <f>Mitarbeiterstamm!B17</f>
        <v>Erik Thalheim</v>
      </c>
      <c r="C20" s="32" t="str">
        <f>Mitarbeiterstamm!C17</f>
        <v>Logistik</v>
      </c>
      <c r="D20" s="34">
        <f>Mitarbeiterstamm!F17/5</f>
        <v>7.6</v>
      </c>
      <c r="E20" s="35" t="s">
        <v>94</v>
      </c>
      <c r="F20" s="36" t="s">
        <v>95</v>
      </c>
      <c r="G20" s="36" t="s">
        <v>95</v>
      </c>
      <c r="H20" s="37" t="s">
        <v>96</v>
      </c>
      <c r="I20" s="38" t="s">
        <v>97</v>
      </c>
      <c r="J20" s="48" t="s">
        <v>100</v>
      </c>
      <c r="K20" s="37" t="s">
        <v>96</v>
      </c>
      <c r="L20" s="38" t="s">
        <v>97</v>
      </c>
      <c r="M20" s="36" t="s">
        <v>95</v>
      </c>
      <c r="N20" s="36" t="s">
        <v>95</v>
      </c>
      <c r="O20" s="37" t="s">
        <v>96</v>
      </c>
      <c r="P20" s="38" t="s">
        <v>97</v>
      </c>
      <c r="Q20" s="52" t="s">
        <v>104</v>
      </c>
      <c r="R20" s="35" t="s">
        <v>94</v>
      </c>
      <c r="S20" s="38" t="s">
        <v>97</v>
      </c>
      <c r="T20" s="38" t="s">
        <v>97</v>
      </c>
      <c r="U20" s="36" t="s">
        <v>95</v>
      </c>
      <c r="V20" s="37" t="s">
        <v>96</v>
      </c>
      <c r="W20" s="38" t="s">
        <v>97</v>
      </c>
      <c r="X20" s="48" t="s">
        <v>100</v>
      </c>
      <c r="Y20" s="37" t="s">
        <v>96</v>
      </c>
      <c r="Z20" s="38" t="s">
        <v>97</v>
      </c>
      <c r="AA20" s="36" t="s">
        <v>95</v>
      </c>
      <c r="AB20" s="36" t="s">
        <v>95</v>
      </c>
      <c r="AC20" s="35" t="s">
        <v>94</v>
      </c>
      <c r="AD20" s="38" t="s">
        <v>97</v>
      </c>
      <c r="AE20" s="48" t="s">
        <v>100</v>
      </c>
      <c r="AF20" s="37" t="s">
        <v>96</v>
      </c>
      <c r="AG20" s="38" t="s">
        <v>97</v>
      </c>
      <c r="AH20" s="36" t="s">
        <v>95</v>
      </c>
      <c r="AI20" s="36" t="s">
        <v>95</v>
      </c>
      <c r="AJ20" s="16">
        <f>SUMPRODUCT(COUNTIF(E20:AI20,{"F","S","N","T","HO","SC"}))</f>
        <v>19</v>
      </c>
      <c r="AK20" s="39">
        <f t="shared" si="1"/>
        <v>144.4</v>
      </c>
      <c r="AL20" s="39">
        <f t="shared" si="2"/>
        <v>136.79999999999998</v>
      </c>
      <c r="AM20" s="40">
        <f t="shared" si="3"/>
        <v>7.6000000000000227</v>
      </c>
      <c r="AN20" s="16">
        <f t="shared" si="4"/>
        <v>0</v>
      </c>
      <c r="AO20" s="16">
        <f t="shared" si="5"/>
        <v>0</v>
      </c>
      <c r="AP20" s="16">
        <f t="shared" si="6"/>
        <v>0</v>
      </c>
      <c r="AQ20" s="16">
        <f t="shared" si="7"/>
        <v>1</v>
      </c>
    </row>
    <row r="21" spans="1:43" ht="15" customHeight="1" x14ac:dyDescent="0.25">
      <c r="A21" s="41" t="str">
        <f>Mitarbeiterstamm!A18</f>
        <v>P-114</v>
      </c>
      <c r="B21" s="42" t="str">
        <f>Mitarbeiterstamm!B18</f>
        <v>Julia Pernsteiner</v>
      </c>
      <c r="C21" s="41" t="str">
        <f>Mitarbeiterstamm!C18</f>
        <v>Kundenservice</v>
      </c>
      <c r="D21" s="43">
        <f>Mitarbeiterstamm!F18/5</f>
        <v>4</v>
      </c>
      <c r="E21" s="35" t="s">
        <v>94</v>
      </c>
      <c r="F21" s="36" t="s">
        <v>95</v>
      </c>
      <c r="G21" s="36" t="s">
        <v>95</v>
      </c>
      <c r="H21" s="50" t="s">
        <v>102</v>
      </c>
      <c r="I21" s="36" t="s">
        <v>95</v>
      </c>
      <c r="J21" s="50" t="s">
        <v>102</v>
      </c>
      <c r="K21" s="36" t="s">
        <v>95</v>
      </c>
      <c r="L21" s="50" t="s">
        <v>102</v>
      </c>
      <c r="M21" s="36" t="s">
        <v>95</v>
      </c>
      <c r="N21" s="36" t="s">
        <v>95</v>
      </c>
      <c r="O21" s="50" t="s">
        <v>102</v>
      </c>
      <c r="P21" s="36" t="s">
        <v>95</v>
      </c>
      <c r="Q21" s="50" t="s">
        <v>102</v>
      </c>
      <c r="R21" s="35" t="s">
        <v>94</v>
      </c>
      <c r="S21" s="50" t="s">
        <v>102</v>
      </c>
      <c r="T21" s="36" t="s">
        <v>95</v>
      </c>
      <c r="U21" s="36" t="s">
        <v>95</v>
      </c>
      <c r="V21" s="50" t="s">
        <v>102</v>
      </c>
      <c r="W21" s="36" t="s">
        <v>95</v>
      </c>
      <c r="X21" s="50" t="s">
        <v>102</v>
      </c>
      <c r="Y21" s="36" t="s">
        <v>95</v>
      </c>
      <c r="Z21" s="50" t="s">
        <v>102</v>
      </c>
      <c r="AA21" s="36" t="s">
        <v>95</v>
      </c>
      <c r="AB21" s="36" t="s">
        <v>95</v>
      </c>
      <c r="AC21" s="35" t="s">
        <v>94</v>
      </c>
      <c r="AD21" s="36" t="s">
        <v>95</v>
      </c>
      <c r="AE21" s="50" t="s">
        <v>102</v>
      </c>
      <c r="AF21" s="36" t="s">
        <v>95</v>
      </c>
      <c r="AG21" s="50" t="s">
        <v>102</v>
      </c>
      <c r="AH21" s="36" t="s">
        <v>95</v>
      </c>
      <c r="AI21" s="36" t="s">
        <v>95</v>
      </c>
      <c r="AJ21" s="17">
        <f>SUMPRODUCT(COUNTIF(E21:AI21,{"F","S","N","T","HO","SC"}))</f>
        <v>11</v>
      </c>
      <c r="AK21" s="45">
        <f t="shared" si="1"/>
        <v>44</v>
      </c>
      <c r="AL21" s="45">
        <f t="shared" si="2"/>
        <v>72</v>
      </c>
      <c r="AM21" s="46">
        <f t="shared" si="3"/>
        <v>-28</v>
      </c>
      <c r="AN21" s="17">
        <f t="shared" si="4"/>
        <v>0</v>
      </c>
      <c r="AO21" s="17">
        <f t="shared" si="5"/>
        <v>0</v>
      </c>
      <c r="AP21" s="17">
        <f t="shared" si="6"/>
        <v>0</v>
      </c>
      <c r="AQ21" s="17">
        <f t="shared" si="7"/>
        <v>0</v>
      </c>
    </row>
    <row r="22" spans="1:43" ht="15" customHeight="1" x14ac:dyDescent="0.25">
      <c r="A22" s="32" t="str">
        <f>Mitarbeiterstamm!A19</f>
        <v>P-115</v>
      </c>
      <c r="B22" s="33" t="str">
        <f>Mitarbeiterstamm!B19</f>
        <v>Maximilian Greve</v>
      </c>
      <c r="C22" s="32" t="str">
        <f>Mitarbeiterstamm!C19</f>
        <v>Verwaltung</v>
      </c>
      <c r="D22" s="34">
        <f>Mitarbeiterstamm!F19/5</f>
        <v>4.8</v>
      </c>
      <c r="E22" s="35" t="s">
        <v>94</v>
      </c>
      <c r="F22" s="36" t="s">
        <v>95</v>
      </c>
      <c r="G22" s="36" t="s">
        <v>95</v>
      </c>
      <c r="H22" s="50" t="s">
        <v>102</v>
      </c>
      <c r="I22" s="36" t="s">
        <v>95</v>
      </c>
      <c r="J22" s="50" t="s">
        <v>102</v>
      </c>
      <c r="K22" s="36" t="s">
        <v>95</v>
      </c>
      <c r="L22" s="50" t="s">
        <v>102</v>
      </c>
      <c r="M22" s="36" t="s">
        <v>95</v>
      </c>
      <c r="N22" s="36" t="s">
        <v>95</v>
      </c>
      <c r="O22" s="50" t="s">
        <v>102</v>
      </c>
      <c r="P22" s="36" t="s">
        <v>95</v>
      </c>
      <c r="Q22" s="50" t="s">
        <v>102</v>
      </c>
      <c r="R22" s="35" t="s">
        <v>94</v>
      </c>
      <c r="S22" s="50" t="s">
        <v>102</v>
      </c>
      <c r="T22" s="36" t="s">
        <v>95</v>
      </c>
      <c r="U22" s="36" t="s">
        <v>95</v>
      </c>
      <c r="V22" s="50" t="s">
        <v>102</v>
      </c>
      <c r="W22" s="36" t="s">
        <v>95</v>
      </c>
      <c r="X22" s="49" t="s">
        <v>101</v>
      </c>
      <c r="Y22" s="36" t="s">
        <v>95</v>
      </c>
      <c r="Z22" s="50" t="s">
        <v>102</v>
      </c>
      <c r="AA22" s="36" t="s">
        <v>95</v>
      </c>
      <c r="AB22" s="36" t="s">
        <v>95</v>
      </c>
      <c r="AC22" s="35" t="s">
        <v>94</v>
      </c>
      <c r="AD22" s="36" t="s">
        <v>95</v>
      </c>
      <c r="AE22" s="50" t="s">
        <v>102</v>
      </c>
      <c r="AF22" s="36" t="s">
        <v>95</v>
      </c>
      <c r="AG22" s="50" t="s">
        <v>102</v>
      </c>
      <c r="AH22" s="36" t="s">
        <v>95</v>
      </c>
      <c r="AI22" s="36" t="s">
        <v>95</v>
      </c>
      <c r="AJ22" s="16">
        <f>SUMPRODUCT(COUNTIF(E22:AI22,{"F","S","N","T","HO","SC"}))</f>
        <v>10</v>
      </c>
      <c r="AK22" s="39">
        <f t="shared" si="1"/>
        <v>48</v>
      </c>
      <c r="AL22" s="39">
        <f t="shared" si="2"/>
        <v>86.399999999999991</v>
      </c>
      <c r="AM22" s="40">
        <f t="shared" si="3"/>
        <v>-38.399999999999991</v>
      </c>
      <c r="AN22" s="16">
        <f t="shared" si="4"/>
        <v>0</v>
      </c>
      <c r="AO22" s="16">
        <f t="shared" si="5"/>
        <v>0</v>
      </c>
      <c r="AP22" s="16">
        <f t="shared" si="6"/>
        <v>0</v>
      </c>
      <c r="AQ22" s="16">
        <f t="shared" si="7"/>
        <v>0</v>
      </c>
    </row>
    <row r="23" spans="1:43" ht="6" customHeight="1" x14ac:dyDescent="0.25"/>
    <row r="24" spans="1:43" ht="18" customHeight="1" x14ac:dyDescent="0.25">
      <c r="A24" s="80" t="s">
        <v>105</v>
      </c>
      <c r="B24" s="80"/>
      <c r="C24" s="80"/>
      <c r="D24" s="80"/>
      <c r="E24" s="53">
        <f>IF(E$6="","",SUMPRODUCT(COUNTIF(E8:E22,{"F","S","N","T","HO","SC"})))</f>
        <v>0</v>
      </c>
      <c r="F24" s="53">
        <f>IF(F$6="","",SUMPRODUCT(COUNTIF(F8:F22,{"F","S","N","T","HO","SC"})))</f>
        <v>1</v>
      </c>
      <c r="G24" s="53">
        <f>IF(G$6="","",SUMPRODUCT(COUNTIF(G8:G22,{"F","S","N","T","HO","SC"})))</f>
        <v>0</v>
      </c>
      <c r="H24" s="53">
        <f>IF(H$6="","",SUMPRODUCT(COUNTIF(H8:H22,{"F","S","N","T","HO","SC"})))</f>
        <v>15</v>
      </c>
      <c r="I24" s="53">
        <f>IF(I$6="","",SUMPRODUCT(COUNTIF(I8:I22,{"F","S","N","T","HO","SC"})))</f>
        <v>10</v>
      </c>
      <c r="J24" s="53">
        <f>IF(J$6="","",SUMPRODUCT(COUNTIF(J8:J22,{"F","S","N","T","HO","SC"})))</f>
        <v>14</v>
      </c>
      <c r="K24" s="53">
        <f>IF(K$6="","",SUMPRODUCT(COUNTIF(K8:K22,{"F","S","N","T","HO","SC"})))</f>
        <v>9</v>
      </c>
      <c r="L24" s="53">
        <f>IF(L$6="","",SUMPRODUCT(COUNTIF(L8:L22,{"F","S","N","T","HO","SC"})))</f>
        <v>14</v>
      </c>
      <c r="M24" s="53">
        <f>IF(M$6="","",SUMPRODUCT(COUNTIF(M8:M22,{"F","S","N","T","HO","SC"})))</f>
        <v>1</v>
      </c>
      <c r="N24" s="53">
        <f>IF(N$6="","",SUMPRODUCT(COUNTIF(N8:N22,{"F","S","N","T","HO","SC"})))</f>
        <v>0</v>
      </c>
      <c r="O24" s="53">
        <f>IF(O$6="","",SUMPRODUCT(COUNTIF(O8:O22,{"F","S","N","T","HO","SC"})))</f>
        <v>15</v>
      </c>
      <c r="P24" s="53">
        <f>IF(P$6="","",SUMPRODUCT(COUNTIF(P8:P22,{"F","S","N","T","HO","SC"})))</f>
        <v>10</v>
      </c>
      <c r="Q24" s="53">
        <f>IF(Q$6="","",SUMPRODUCT(COUNTIF(Q8:Q22,{"F","S","N","T","HO","SC"})))</f>
        <v>15</v>
      </c>
      <c r="R24" s="53">
        <f>IF(R$6="","",SUMPRODUCT(COUNTIF(R8:R22,{"F","S","N","T","HO","SC"})))</f>
        <v>0</v>
      </c>
      <c r="S24" s="53">
        <f>IF(S$6="","",SUMPRODUCT(COUNTIF(S8:S22,{"F","S","N","T","HO","SC"})))</f>
        <v>15</v>
      </c>
      <c r="T24" s="53">
        <f>IF(T$6="","",SUMPRODUCT(COUNTIF(T8:T22,{"F","S","N","T","HO","SC"})))</f>
        <v>3</v>
      </c>
      <c r="U24" s="53">
        <f>IF(U$6="","",SUMPRODUCT(COUNTIF(U8:U22,{"F","S","N","T","HO","SC"})))</f>
        <v>0</v>
      </c>
      <c r="V24" s="53">
        <f>IF(V$6="","",SUMPRODUCT(COUNTIF(V8:V22,{"F","S","N","T","HO","SC"})))</f>
        <v>14</v>
      </c>
      <c r="W24" s="53">
        <f>IF(W$6="","",SUMPRODUCT(COUNTIF(W8:W22,{"F","S","N","T","HO","SC"})))</f>
        <v>9</v>
      </c>
      <c r="X24" s="53">
        <f>IF(X$6="","",SUMPRODUCT(COUNTIF(X8:X22,{"F","S","N","T","HO","SC"})))</f>
        <v>13</v>
      </c>
      <c r="Y24" s="53">
        <f>IF(Y$6="","",SUMPRODUCT(COUNTIF(Y8:Y22,{"F","S","N","T","HO","SC"})))</f>
        <v>9</v>
      </c>
      <c r="Z24" s="53">
        <f>IF(Z$6="","",SUMPRODUCT(COUNTIF(Z8:Z22,{"F","S","N","T","HO","SC"})))</f>
        <v>14</v>
      </c>
      <c r="AA24" s="53">
        <f>IF(AA$6="","",SUMPRODUCT(COUNTIF(AA8:AA22,{"F","S","N","T","HO","SC"})))</f>
        <v>1</v>
      </c>
      <c r="AB24" s="53">
        <f>IF(AB$6="","",SUMPRODUCT(COUNTIF(AB8:AB22,{"F","S","N","T","HO","SC"})))</f>
        <v>0</v>
      </c>
      <c r="AC24" s="53">
        <f>IF(AC$6="","",SUMPRODUCT(COUNTIF(AC8:AC22,{"F","S","N","T","HO","SC"})))</f>
        <v>0</v>
      </c>
      <c r="AD24" s="53">
        <f>IF(AD$6="","",SUMPRODUCT(COUNTIF(AD8:AD22,{"F","S","N","T","HO","SC"})))</f>
        <v>9</v>
      </c>
      <c r="AE24" s="53">
        <f>IF(AE$6="","",SUMPRODUCT(COUNTIF(AE8:AE22,{"F","S","N","T","HO","SC"})))</f>
        <v>14</v>
      </c>
      <c r="AF24" s="53">
        <f>IF(AF$6="","",SUMPRODUCT(COUNTIF(AF8:AF22,{"F","S","N","T","HO","SC"})))</f>
        <v>9</v>
      </c>
      <c r="AG24" s="53">
        <f>IF(AG$6="","",SUMPRODUCT(COUNTIF(AG8:AG22,{"F","S","N","T","HO","SC"})))</f>
        <v>14</v>
      </c>
      <c r="AH24" s="53">
        <f>IF(AH$6="","",SUMPRODUCT(COUNTIF(AH8:AH22,{"F","S","N","T","HO","SC"})))</f>
        <v>2</v>
      </c>
      <c r="AI24" s="53">
        <f>IF(AI$6="","",SUMPRODUCT(COUNTIF(AI8:AI22,{"F","S","N","T","HO","SC"})))</f>
        <v>0</v>
      </c>
      <c r="AJ24" s="54"/>
      <c r="AK24" s="54"/>
      <c r="AL24" s="54"/>
      <c r="AM24" s="54"/>
      <c r="AN24" s="54"/>
      <c r="AO24" s="54"/>
      <c r="AP24" s="54"/>
      <c r="AQ24" s="54"/>
    </row>
    <row r="25" spans="1:43" ht="18" customHeight="1" x14ac:dyDescent="0.25">
      <c r="A25" s="81" t="s">
        <v>106</v>
      </c>
      <c r="B25" s="81"/>
      <c r="C25" s="81"/>
      <c r="D25" s="81"/>
      <c r="E25" s="55">
        <f>IF(E$6="","",SUMPRODUCT(COUNTIF(E8:E22,{"U","K"})))</f>
        <v>0</v>
      </c>
      <c r="F25" s="55">
        <f>IF(F$6="","",SUMPRODUCT(COUNTIF(F8:F22,{"U","K"})))</f>
        <v>0</v>
      </c>
      <c r="G25" s="55">
        <f>IF(G$6="","",SUMPRODUCT(COUNTIF(G8:G22,{"U","K"})))</f>
        <v>0</v>
      </c>
      <c r="H25" s="55">
        <f>IF(H$6="","",SUMPRODUCT(COUNTIF(H8:H22,{"U","K"})))</f>
        <v>0</v>
      </c>
      <c r="I25" s="55">
        <f>IF(I$6="","",SUMPRODUCT(COUNTIF(I8:I22,{"U","K"})))</f>
        <v>0</v>
      </c>
      <c r="J25" s="55">
        <f>IF(J$6="","",SUMPRODUCT(COUNTIF(J8:J22,{"U","K"})))</f>
        <v>1</v>
      </c>
      <c r="K25" s="55">
        <f>IF(K$6="","",SUMPRODUCT(COUNTIF(K8:K22,{"U","K"})))</f>
        <v>1</v>
      </c>
      <c r="L25" s="55">
        <f>IF(L$6="","",SUMPRODUCT(COUNTIF(L8:L22,{"U","K"})))</f>
        <v>1</v>
      </c>
      <c r="M25" s="55">
        <f>IF(M$6="","",SUMPRODUCT(COUNTIF(M8:M22,{"U","K"})))</f>
        <v>0</v>
      </c>
      <c r="N25" s="55">
        <f>IF(N$6="","",SUMPRODUCT(COUNTIF(N8:N22,{"U","K"})))</f>
        <v>0</v>
      </c>
      <c r="O25" s="55">
        <f>IF(O$6="","",SUMPRODUCT(COUNTIF(O8:O22,{"U","K"})))</f>
        <v>0</v>
      </c>
      <c r="P25" s="55">
        <f>IF(P$6="","",SUMPRODUCT(COUNTIF(P8:P22,{"U","K"})))</f>
        <v>0</v>
      </c>
      <c r="Q25" s="55">
        <f>IF(Q$6="","",SUMPRODUCT(COUNTIF(Q8:Q22,{"U","K"})))</f>
        <v>0</v>
      </c>
      <c r="R25" s="55">
        <f>IF(R$6="","",SUMPRODUCT(COUNTIF(R8:R22,{"U","K"})))</f>
        <v>0</v>
      </c>
      <c r="S25" s="55">
        <f>IF(S$6="","",SUMPRODUCT(COUNTIF(S8:S22,{"U","K"})))</f>
        <v>0</v>
      </c>
      <c r="T25" s="55">
        <f>IF(T$6="","",SUMPRODUCT(COUNTIF(T8:T22,{"U","K"})))</f>
        <v>0</v>
      </c>
      <c r="U25" s="55">
        <f>IF(U$6="","",SUMPRODUCT(COUNTIF(U8:U22,{"U","K"})))</f>
        <v>0</v>
      </c>
      <c r="V25" s="55">
        <f>IF(V$6="","",SUMPRODUCT(COUNTIF(V8:V22,{"U","K"})))</f>
        <v>1</v>
      </c>
      <c r="W25" s="55">
        <f>IF(W$6="","",SUMPRODUCT(COUNTIF(W8:W22,{"U","K"})))</f>
        <v>1</v>
      </c>
      <c r="X25" s="55">
        <f>IF(X$6="","",SUMPRODUCT(COUNTIF(X8:X22,{"U","K"})))</f>
        <v>1</v>
      </c>
      <c r="Y25" s="55">
        <f>IF(Y$6="","",SUMPRODUCT(COUNTIF(Y8:Y22,{"U","K"})))</f>
        <v>1</v>
      </c>
      <c r="Z25" s="55">
        <f>IF(Z$6="","",SUMPRODUCT(COUNTIF(Z8:Z22,{"U","K"})))</f>
        <v>1</v>
      </c>
      <c r="AA25" s="55">
        <f>IF(AA$6="","",SUMPRODUCT(COUNTIF(AA8:AA22,{"U","K"})))</f>
        <v>0</v>
      </c>
      <c r="AB25" s="55">
        <f>IF(AB$6="","",SUMPRODUCT(COUNTIF(AB8:AB22,{"U","K"})))</f>
        <v>0</v>
      </c>
      <c r="AC25" s="55">
        <f>IF(AC$6="","",SUMPRODUCT(COUNTIF(AC8:AC22,{"U","K"})))</f>
        <v>0</v>
      </c>
      <c r="AD25" s="55">
        <f>IF(AD$6="","",SUMPRODUCT(COUNTIF(AD8:AD22,{"U","K"})))</f>
        <v>1</v>
      </c>
      <c r="AE25" s="55">
        <f>IF(AE$6="","",SUMPRODUCT(COUNTIF(AE8:AE22,{"U","K"})))</f>
        <v>1</v>
      </c>
      <c r="AF25" s="55">
        <f>IF(AF$6="","",SUMPRODUCT(COUNTIF(AF8:AF22,{"U","K"})))</f>
        <v>1</v>
      </c>
      <c r="AG25" s="55">
        <f>IF(AG$6="","",SUMPRODUCT(COUNTIF(AG8:AG22,{"U","K"})))</f>
        <v>1</v>
      </c>
      <c r="AH25" s="55">
        <f>IF(AH$6="","",SUMPRODUCT(COUNTIF(AH8:AH22,{"U","K"})))</f>
        <v>0</v>
      </c>
      <c r="AI25" s="55">
        <f>IF(AI$6="","",SUMPRODUCT(COUNTIF(AI8:AI22,{"U","K"})))</f>
        <v>0</v>
      </c>
      <c r="AJ25" s="56"/>
      <c r="AK25" s="56"/>
      <c r="AL25" s="56"/>
      <c r="AM25" s="56"/>
      <c r="AN25" s="56"/>
      <c r="AO25" s="56"/>
      <c r="AP25" s="56"/>
      <c r="AQ25" s="56"/>
    </row>
  </sheetData>
  <mergeCells count="24">
    <mergeCell ref="A24:D24"/>
    <mergeCell ref="A25:D25"/>
    <mergeCell ref="A5:AQ5"/>
    <mergeCell ref="A6:A7"/>
    <mergeCell ref="B6:B7"/>
    <mergeCell ref="C6:C7"/>
    <mergeCell ref="D6:D7"/>
    <mergeCell ref="AJ6:AJ7"/>
    <mergeCell ref="AK6:AK7"/>
    <mergeCell ref="AL6:AL7"/>
    <mergeCell ref="AM6:AM7"/>
    <mergeCell ref="AN6:AN7"/>
    <mergeCell ref="AO6:AO7"/>
    <mergeCell ref="AP6:AP7"/>
    <mergeCell ref="AQ6:AQ7"/>
    <mergeCell ref="A1:AQ1"/>
    <mergeCell ref="A2:AQ2"/>
    <mergeCell ref="A3:B3"/>
    <mergeCell ref="D3:E3"/>
    <mergeCell ref="F3:I3"/>
    <mergeCell ref="J3:L3"/>
    <mergeCell ref="M3:Q3"/>
    <mergeCell ref="R3:T3"/>
    <mergeCell ref="U3:Y3"/>
  </mergeCells>
  <conditionalFormatting sqref="E6:AI7">
    <cfRule type="expression" dxfId="14" priority="2">
      <formula>AND(E$6&lt;&gt;"",COUNTIF(Feiertage,E$6)&gt;0)</formula>
    </cfRule>
    <cfRule type="expression" dxfId="13" priority="3">
      <formula>AND(E$6&lt;&gt;"",WEEKDAY(E$6,2)&gt;=6)</formula>
    </cfRule>
  </conditionalFormatting>
  <conditionalFormatting sqref="E8:AI22">
    <cfRule type="cellIs" dxfId="12" priority="4" operator="equal">
      <formula>"F"</formula>
    </cfRule>
    <cfRule type="cellIs" dxfId="11" priority="5" operator="equal">
      <formula>"S"</formula>
    </cfRule>
    <cfRule type="cellIs" dxfId="10" priority="6" operator="equal">
      <formula>"N"</formula>
    </cfRule>
    <cfRule type="cellIs" dxfId="9" priority="7" operator="equal">
      <formula>"T"</formula>
    </cfRule>
    <cfRule type="cellIs" dxfId="8" priority="8" operator="equal">
      <formula>"HO"</formula>
    </cfRule>
    <cfRule type="cellIs" dxfId="7" priority="9" operator="equal">
      <formula>"SC"</formula>
    </cfRule>
    <cfRule type="cellIs" dxfId="6" priority="10" operator="equal">
      <formula>"U"</formula>
    </cfRule>
    <cfRule type="cellIs" dxfId="5" priority="11" operator="equal">
      <formula>"K"</formula>
    </cfRule>
    <cfRule type="cellIs" dxfId="4" priority="12" operator="equal">
      <formula>"FT"</formula>
    </cfRule>
    <cfRule type="cellIs" dxfId="3" priority="13" operator="equal">
      <formula>"X"</formula>
    </cfRule>
    <cfRule type="cellIs" dxfId="2" priority="14" operator="equal">
      <formula>"?"</formula>
    </cfRule>
    <cfRule type="expression" dxfId="1" priority="15">
      <formula>AND(E$6&lt;&gt;"",COUNTIF(Feiertage,E$6)&gt;0,E8="")</formula>
    </cfRule>
    <cfRule type="expression" dxfId="0" priority="16">
      <formula>AND(E$6&lt;&gt;"",WEEKDAY(E$6,2)&gt;=6,E8="")</formula>
    </cfRule>
  </conditionalFormatting>
  <dataValidations count="3">
    <dataValidation type="list" allowBlank="1" showErrorMessage="1" errorTitle="Ungültiger Code" error="Bitte einen Code aus der Liste wählen (siehe Tabellenblatt 'Legende')." sqref="E8:AI22" xr:uid="{00000000-0002-0000-0200-000000000000}">
      <formula1>CodeListe</formula1>
      <formula2>0</formula2>
    </dataValidation>
    <dataValidation type="whole" showErrorMessage="1" errorTitle="Ungültiger Monat" error="Bitte eine Zahl zwischen 1 und 12 eingeben." sqref="C3" xr:uid="{00000000-0002-0000-0200-000001000000}">
      <formula1>1</formula1>
      <formula2>12</formula2>
    </dataValidation>
    <dataValidation type="whole" showErrorMessage="1" errorTitle="Ungültiges Jahr" error="Bitte ein Jahr zwischen 2020 und 2035 eingeben." sqref="F3" xr:uid="{00000000-0002-0000-0200-000002000000}">
      <formula1>2020</formula1>
      <formula2>2035</formula2>
    </dataValidation>
  </dataValidations>
  <pageMargins left="0.75" right="0.75" top="1" bottom="1" header="0.511811023622047" footer="0.511811023622047"/>
  <pageSetup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AA5B1"/>
    <pageSetUpPr fitToPage="1"/>
  </sheetPr>
  <dimension ref="A1:G39"/>
  <sheetViews>
    <sheetView showGridLines="0" zoomScaleNormal="100" workbookViewId="0"/>
  </sheetViews>
  <sheetFormatPr baseColWidth="10" defaultColWidth="8.7109375" defaultRowHeight="15" x14ac:dyDescent="0.25"/>
  <cols>
    <col min="1" max="1" width="3.42578125" customWidth="1"/>
    <col min="2" max="2" width="12" customWidth="1"/>
    <col min="3" max="3" width="32" customWidth="1"/>
    <col min="4" max="4" width="16" customWidth="1"/>
    <col min="5" max="5" width="3" customWidth="1"/>
    <col min="6" max="6" width="18" customWidth="1"/>
    <col min="7" max="7" width="26" customWidth="1"/>
  </cols>
  <sheetData>
    <row r="1" spans="1:7" ht="30" customHeight="1" x14ac:dyDescent="0.25">
      <c r="A1" s="14" t="s">
        <v>107</v>
      </c>
      <c r="B1" s="14"/>
      <c r="C1" s="14"/>
      <c r="D1" s="14"/>
      <c r="E1" s="14"/>
      <c r="F1" s="14"/>
      <c r="G1" s="14"/>
    </row>
    <row r="2" spans="1:7" ht="18" customHeight="1" x14ac:dyDescent="0.25">
      <c r="A2" s="13" t="s">
        <v>108</v>
      </c>
      <c r="B2" s="13"/>
      <c r="C2" s="13"/>
      <c r="D2" s="13"/>
      <c r="E2" s="13"/>
      <c r="F2" s="13"/>
      <c r="G2" s="13"/>
    </row>
    <row r="4" spans="1:7" ht="21.75" customHeight="1" x14ac:dyDescent="0.25">
      <c r="A4" s="7" t="s">
        <v>109</v>
      </c>
      <c r="B4" s="7"/>
      <c r="C4" s="7"/>
      <c r="D4" s="7"/>
    </row>
    <row r="5" spans="1:7" ht="18" customHeight="1" x14ac:dyDescent="0.25">
      <c r="A5" s="57"/>
      <c r="B5" s="57" t="s">
        <v>110</v>
      </c>
      <c r="C5" s="57" t="s">
        <v>111</v>
      </c>
      <c r="D5" s="57" t="s">
        <v>112</v>
      </c>
    </row>
    <row r="6" spans="1:7" ht="15.75" customHeight="1" x14ac:dyDescent="0.25">
      <c r="A6" s="58"/>
      <c r="B6" s="59" t="s">
        <v>96</v>
      </c>
      <c r="C6" s="20" t="s">
        <v>113</v>
      </c>
      <c r="D6" s="60" t="s">
        <v>114</v>
      </c>
    </row>
    <row r="7" spans="1:7" ht="15.75" customHeight="1" x14ac:dyDescent="0.25">
      <c r="A7" s="61"/>
      <c r="B7" s="62" t="s">
        <v>97</v>
      </c>
      <c r="C7" s="24" t="s">
        <v>115</v>
      </c>
      <c r="D7" s="63" t="s">
        <v>114</v>
      </c>
    </row>
    <row r="8" spans="1:7" ht="15.75" customHeight="1" x14ac:dyDescent="0.25">
      <c r="A8" s="64"/>
      <c r="B8" s="59" t="s">
        <v>100</v>
      </c>
      <c r="C8" s="20" t="s">
        <v>116</v>
      </c>
      <c r="D8" s="60" t="s">
        <v>114</v>
      </c>
    </row>
    <row r="9" spans="1:7" ht="15.75" customHeight="1" x14ac:dyDescent="0.25">
      <c r="A9" s="65"/>
      <c r="B9" s="62" t="s">
        <v>102</v>
      </c>
      <c r="C9" s="24" t="s">
        <v>117</v>
      </c>
      <c r="D9" s="63" t="s">
        <v>114</v>
      </c>
    </row>
    <row r="10" spans="1:7" ht="15.75" customHeight="1" x14ac:dyDescent="0.25">
      <c r="A10" s="66"/>
      <c r="B10" s="59" t="s">
        <v>103</v>
      </c>
      <c r="C10" s="20" t="s">
        <v>19</v>
      </c>
      <c r="D10" s="60" t="s">
        <v>114</v>
      </c>
    </row>
    <row r="11" spans="1:7" ht="15.75" customHeight="1" x14ac:dyDescent="0.25">
      <c r="A11" s="67"/>
      <c r="B11" s="62" t="s">
        <v>104</v>
      </c>
      <c r="C11" s="24" t="s">
        <v>118</v>
      </c>
      <c r="D11" s="63" t="s">
        <v>114</v>
      </c>
    </row>
    <row r="12" spans="1:7" ht="15.75" customHeight="1" x14ac:dyDescent="0.25">
      <c r="A12" s="68"/>
      <c r="B12" s="59" t="s">
        <v>98</v>
      </c>
      <c r="C12" s="20" t="s">
        <v>15</v>
      </c>
      <c r="D12" s="60" t="s">
        <v>119</v>
      </c>
    </row>
    <row r="13" spans="1:7" ht="15.75" customHeight="1" x14ac:dyDescent="0.25">
      <c r="A13" s="69"/>
      <c r="B13" s="62" t="s">
        <v>99</v>
      </c>
      <c r="C13" s="24" t="s">
        <v>17</v>
      </c>
      <c r="D13" s="63" t="s">
        <v>119</v>
      </c>
    </row>
    <row r="14" spans="1:7" ht="15.75" customHeight="1" x14ac:dyDescent="0.25">
      <c r="A14" s="70"/>
      <c r="B14" s="59" t="s">
        <v>94</v>
      </c>
      <c r="C14" s="20" t="s">
        <v>120</v>
      </c>
      <c r="D14" s="60" t="s">
        <v>119</v>
      </c>
    </row>
    <row r="15" spans="1:7" ht="15.75" customHeight="1" x14ac:dyDescent="0.25">
      <c r="A15" s="71"/>
      <c r="B15" s="62" t="s">
        <v>95</v>
      </c>
      <c r="C15" s="24" t="s">
        <v>121</v>
      </c>
      <c r="D15" s="63" t="s">
        <v>119</v>
      </c>
    </row>
    <row r="16" spans="1:7" ht="15.75" customHeight="1" x14ac:dyDescent="0.25">
      <c r="A16" s="72"/>
      <c r="B16" s="59" t="s">
        <v>101</v>
      </c>
      <c r="C16" s="20" t="s">
        <v>122</v>
      </c>
      <c r="D16" s="60" t="s">
        <v>123</v>
      </c>
    </row>
    <row r="18" spans="1:4" ht="21.75" customHeight="1" x14ac:dyDescent="0.25">
      <c r="A18" s="7" t="s">
        <v>124</v>
      </c>
      <c r="B18" s="7"/>
      <c r="C18" s="7"/>
      <c r="D18" s="7"/>
    </row>
    <row r="19" spans="1:4" ht="18" customHeight="1" x14ac:dyDescent="0.25">
      <c r="B19" s="57" t="s">
        <v>125</v>
      </c>
      <c r="C19" s="57" t="s">
        <v>111</v>
      </c>
    </row>
    <row r="20" spans="1:4" ht="15.75" customHeight="1" x14ac:dyDescent="0.25">
      <c r="B20" s="22">
        <v>46023</v>
      </c>
      <c r="C20" s="73" t="s">
        <v>126</v>
      </c>
    </row>
    <row r="21" spans="1:4" ht="15.75" customHeight="1" x14ac:dyDescent="0.25">
      <c r="B21" s="26">
        <v>46115</v>
      </c>
      <c r="C21" s="74" t="s">
        <v>127</v>
      </c>
    </row>
    <row r="22" spans="1:4" ht="15.75" customHeight="1" x14ac:dyDescent="0.25">
      <c r="B22" s="22">
        <v>46118</v>
      </c>
      <c r="C22" s="73" t="s">
        <v>128</v>
      </c>
    </row>
    <row r="23" spans="1:4" ht="15.75" customHeight="1" x14ac:dyDescent="0.25">
      <c r="B23" s="26">
        <v>46143</v>
      </c>
      <c r="C23" s="74" t="s">
        <v>129</v>
      </c>
    </row>
    <row r="24" spans="1:4" ht="15.75" customHeight="1" x14ac:dyDescent="0.25">
      <c r="B24" s="22">
        <v>46156</v>
      </c>
      <c r="C24" s="73" t="s">
        <v>130</v>
      </c>
    </row>
    <row r="25" spans="1:4" ht="15.75" customHeight="1" x14ac:dyDescent="0.25">
      <c r="B25" s="26">
        <v>46167</v>
      </c>
      <c r="C25" s="74" t="s">
        <v>131</v>
      </c>
    </row>
    <row r="26" spans="1:4" ht="15.75" customHeight="1" x14ac:dyDescent="0.25">
      <c r="B26" s="22">
        <v>46298</v>
      </c>
      <c r="C26" s="73" t="s">
        <v>132</v>
      </c>
    </row>
    <row r="27" spans="1:4" ht="15.75" customHeight="1" x14ac:dyDescent="0.25">
      <c r="B27" s="26">
        <v>46381</v>
      </c>
      <c r="C27" s="74" t="s">
        <v>133</v>
      </c>
    </row>
    <row r="28" spans="1:4" ht="15.75" customHeight="1" x14ac:dyDescent="0.25">
      <c r="B28" s="22">
        <v>46382</v>
      </c>
      <c r="C28" s="73" t="s">
        <v>134</v>
      </c>
    </row>
    <row r="30" spans="1:4" ht="25.5" customHeight="1" x14ac:dyDescent="0.25">
      <c r="A30" s="82" t="s">
        <v>135</v>
      </c>
      <c r="B30" s="82"/>
      <c r="C30" s="82"/>
      <c r="D30" s="82"/>
    </row>
    <row r="32" spans="1:4" ht="21.75" customHeight="1" x14ac:dyDescent="0.25">
      <c r="A32" s="7" t="s">
        <v>136</v>
      </c>
      <c r="B32" s="7"/>
      <c r="C32" s="7"/>
      <c r="D32" s="7"/>
    </row>
    <row r="33" spans="1:4" ht="31.5" customHeight="1" x14ac:dyDescent="0.25">
      <c r="A33" s="75"/>
      <c r="B33" s="83" t="s">
        <v>137</v>
      </c>
      <c r="C33" s="83"/>
      <c r="D33" s="83"/>
    </row>
    <row r="34" spans="1:4" ht="4.5" customHeight="1" x14ac:dyDescent="0.25"/>
    <row r="35" spans="1:4" ht="31.5" customHeight="1" x14ac:dyDescent="0.25">
      <c r="A35" s="76"/>
      <c r="B35" s="83" t="s">
        <v>138</v>
      </c>
      <c r="C35" s="83"/>
      <c r="D35" s="83"/>
    </row>
    <row r="37" spans="1:4" ht="15" customHeight="1" x14ac:dyDescent="0.25">
      <c r="A37" s="82" t="s">
        <v>139</v>
      </c>
      <c r="B37" s="82"/>
      <c r="C37" s="82"/>
      <c r="D37" s="82"/>
    </row>
    <row r="38" spans="1:4" x14ac:dyDescent="0.25">
      <c r="A38" s="82"/>
      <c r="B38" s="82"/>
      <c r="C38" s="82"/>
      <c r="D38" s="82"/>
    </row>
    <row r="39" spans="1:4" x14ac:dyDescent="0.25">
      <c r="A39" s="82"/>
      <c r="B39" s="82"/>
      <c r="C39" s="82"/>
      <c r="D39" s="82"/>
    </row>
  </sheetData>
  <mergeCells count="9">
    <mergeCell ref="A32:D32"/>
    <mergeCell ref="B33:D33"/>
    <mergeCell ref="B35:D35"/>
    <mergeCell ref="A37:D39"/>
    <mergeCell ref="A1:G1"/>
    <mergeCell ref="A2:G2"/>
    <mergeCell ref="A4:D4"/>
    <mergeCell ref="A18:D18"/>
    <mergeCell ref="A30:D30"/>
  </mergeCells>
  <pageMargins left="0.75" right="0.75" top="1" bottom="1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Übersicht</vt:lpstr>
      <vt:lpstr>Mitarbeiterstamm</vt:lpstr>
      <vt:lpstr>Einsatzplan</vt:lpstr>
      <vt:lpstr>Legende</vt:lpstr>
      <vt:lpstr>Abteilungen</vt:lpstr>
      <vt:lpstr>CodeListe</vt:lpstr>
      <vt:lpstr>Einsatzplan!Drucktitel</vt:lpstr>
      <vt:lpstr>Feiertage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Personaleinsatzplanung – Vorlage 2026</dc:title>
  <dc:subject>Personaleinsatzplanung</dc:subject>
  <dc:creator>Lindenberg Service GmbH</dc:creator>
  <dc:description/>
  <cp:lastModifiedBy>Sergio Jiménez Canales</cp:lastModifiedBy>
  <cp:revision>1</cp:revision>
  <dcterms:created xsi:type="dcterms:W3CDTF">2026-06-30T11:05:38Z</dcterms:created>
  <dcterms:modified xsi:type="dcterms:W3CDTF">2026-06-30T11:20:20Z</dcterms:modified>
  <dc:language>en-US</dc:language>
</cp:coreProperties>
</file>