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1_8929399B9F8F851ADFCF9BF9E40068978A496CF8" xr6:coauthVersionLast="47" xr6:coauthVersionMax="47" xr10:uidLastSave="{00000000-0000-0000-0000-000000000000}"/>
  <bookViews>
    <workbookView xWindow="690" yWindow="690" windowWidth="25500" windowHeight="13500" tabRatio="500" activeTab="2" xr2:uid="{00000000-000D-0000-FFFF-FFFF00000000}"/>
  </bookViews>
  <sheets>
    <sheet name="Schichten" sheetId="1" r:id="rId1"/>
    <sheet name="Mitarbeiter" sheetId="2" r:id="rId2"/>
    <sheet name="Einsatzplan" sheetId="3" r:id="rId3"/>
    <sheet name="Auswertung" sheetId="4" r:id="rId4"/>
  </sheets>
  <definedNames>
    <definedName name="_xlnm.Print_Area" localSheetId="2">Einsatzplan!$A$1:$AN$23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4" l="1"/>
  <c r="C24" i="4"/>
  <c r="B24" i="4"/>
  <c r="E23" i="4"/>
  <c r="I23" i="4" s="1"/>
  <c r="C23" i="4"/>
  <c r="B23" i="4"/>
  <c r="C22" i="4"/>
  <c r="B22" i="4"/>
  <c r="H21" i="4"/>
  <c r="G21" i="4"/>
  <c r="C21" i="4"/>
  <c r="B21" i="4"/>
  <c r="C20" i="4"/>
  <c r="B20" i="4"/>
  <c r="H19" i="4"/>
  <c r="G19" i="4"/>
  <c r="E19" i="4"/>
  <c r="I19" i="4" s="1"/>
  <c r="C19" i="4"/>
  <c r="B19" i="4"/>
  <c r="C18" i="4"/>
  <c r="B18" i="4"/>
  <c r="E17" i="4"/>
  <c r="I17" i="4" s="1"/>
  <c r="C17" i="4"/>
  <c r="B17" i="4"/>
  <c r="H16" i="4"/>
  <c r="G16" i="4"/>
  <c r="C16" i="4"/>
  <c r="B16" i="4"/>
  <c r="C15" i="4"/>
  <c r="B15" i="4"/>
  <c r="H16" i="2"/>
  <c r="G16" i="2"/>
  <c r="D16" i="2"/>
  <c r="AN18" i="3"/>
  <c r="AM18" i="3"/>
  <c r="H24" i="4" s="1"/>
  <c r="AL18" i="3"/>
  <c r="G24" i="4" s="1"/>
  <c r="AI18" i="3"/>
  <c r="C18" i="3"/>
  <c r="B18" i="3"/>
  <c r="A18" i="3"/>
  <c r="AN17" i="3"/>
  <c r="AM17" i="3"/>
  <c r="H23" i="4" s="1"/>
  <c r="AL17" i="3"/>
  <c r="G23" i="4" s="1"/>
  <c r="AI17" i="3"/>
  <c r="C17" i="3"/>
  <c r="B17" i="3"/>
  <c r="A17" i="3"/>
  <c r="AN16" i="3"/>
  <c r="AM16" i="3"/>
  <c r="H22" i="4" s="1"/>
  <c r="AL16" i="3"/>
  <c r="G22" i="4" s="1"/>
  <c r="AI16" i="3"/>
  <c r="C16" i="3"/>
  <c r="B16" i="3"/>
  <c r="A16" i="3"/>
  <c r="AN15" i="3"/>
  <c r="AM15" i="3"/>
  <c r="AL15" i="3"/>
  <c r="AI15" i="3"/>
  <c r="E21" i="4" s="1"/>
  <c r="I21" i="4" s="1"/>
  <c r="C15" i="3"/>
  <c r="B15" i="3"/>
  <c r="A15" i="3"/>
  <c r="AN14" i="3"/>
  <c r="AM14" i="3"/>
  <c r="H20" i="4" s="1"/>
  <c r="AL14" i="3"/>
  <c r="G20" i="4" s="1"/>
  <c r="AI14" i="3"/>
  <c r="C14" i="3"/>
  <c r="B14" i="3"/>
  <c r="A14" i="3"/>
  <c r="AN13" i="3"/>
  <c r="AM13" i="3"/>
  <c r="AL13" i="3"/>
  <c r="AI13" i="3"/>
  <c r="C13" i="3"/>
  <c r="B13" i="3"/>
  <c r="A13" i="3"/>
  <c r="AN12" i="3"/>
  <c r="AM12" i="3"/>
  <c r="H18" i="4" s="1"/>
  <c r="AL12" i="3"/>
  <c r="G18" i="4" s="1"/>
  <c r="AI12" i="3"/>
  <c r="E18" i="4" s="1"/>
  <c r="I18" i="4" s="1"/>
  <c r="C12" i="3"/>
  <c r="B12" i="3"/>
  <c r="A12" i="3"/>
  <c r="AN11" i="3"/>
  <c r="AM11" i="3"/>
  <c r="H17" i="4" s="1"/>
  <c r="AL11" i="3"/>
  <c r="G17" i="4" s="1"/>
  <c r="AI11" i="3"/>
  <c r="C11" i="3"/>
  <c r="B11" i="3"/>
  <c r="A11" i="3"/>
  <c r="AN10" i="3"/>
  <c r="AM10" i="3"/>
  <c r="AL10" i="3"/>
  <c r="AI10" i="3"/>
  <c r="E16" i="4" s="1"/>
  <c r="I16" i="4" s="1"/>
  <c r="C10" i="3"/>
  <c r="B10" i="3"/>
  <c r="A10" i="3"/>
  <c r="AN9" i="3"/>
  <c r="AM9" i="3"/>
  <c r="H15" i="4" s="1"/>
  <c r="AL9" i="3"/>
  <c r="G15" i="4" s="1"/>
  <c r="AI9" i="3"/>
  <c r="C9" i="3"/>
  <c r="B9" i="3"/>
  <c r="A9" i="3"/>
  <c r="D6" i="3"/>
  <c r="D7" i="3" s="1"/>
  <c r="AF4" i="3"/>
  <c r="X4" i="3"/>
  <c r="G25" i="4" l="1"/>
  <c r="D31" i="4"/>
  <c r="C29" i="4"/>
  <c r="D30" i="4"/>
  <c r="H25" i="4"/>
  <c r="B6" i="4"/>
  <c r="E24" i="4"/>
  <c r="I24" i="4" s="1"/>
  <c r="D20" i="3"/>
  <c r="D22" i="3" s="1"/>
  <c r="B10" i="4"/>
  <c r="D23" i="3"/>
  <c r="E15" i="4"/>
  <c r="E20" i="4"/>
  <c r="I20" i="4" s="1"/>
  <c r="D10" i="4"/>
  <c r="E22" i="4"/>
  <c r="I22" i="4" s="1"/>
  <c r="C30" i="4"/>
  <c r="D6" i="4"/>
  <c r="D8" i="3"/>
  <c r="D29" i="4"/>
  <c r="E6" i="3"/>
  <c r="I15" i="4" l="1"/>
  <c r="I25" i="4" s="1"/>
  <c r="E25" i="4"/>
  <c r="E7" i="3"/>
  <c r="F6" i="3"/>
  <c r="E20" i="3"/>
  <c r="E22" i="3" s="1"/>
  <c r="E23" i="3"/>
  <c r="E8" i="3"/>
  <c r="F7" i="3" l="1"/>
  <c r="G6" i="3"/>
  <c r="F23" i="3"/>
  <c r="F20" i="3"/>
  <c r="F22" i="3" s="1"/>
  <c r="F8" i="3"/>
  <c r="G7" i="3" l="1"/>
  <c r="G23" i="3"/>
  <c r="G20" i="3"/>
  <c r="G22" i="3" s="1"/>
  <c r="G8" i="3"/>
  <c r="H6" i="3"/>
  <c r="H7" i="3" l="1"/>
  <c r="H23" i="3"/>
  <c r="H20" i="3"/>
  <c r="H22" i="3" s="1"/>
  <c r="H8" i="3"/>
  <c r="I6" i="3"/>
  <c r="I7" i="3" l="1"/>
  <c r="I23" i="3"/>
  <c r="I20" i="3"/>
  <c r="I22" i="3" s="1"/>
  <c r="I8" i="3"/>
  <c r="J6" i="3"/>
  <c r="J23" i="3" l="1"/>
  <c r="J20" i="3"/>
  <c r="J22" i="3" s="1"/>
  <c r="J8" i="3"/>
  <c r="K6" i="3"/>
  <c r="J7" i="3"/>
  <c r="K23" i="3" l="1"/>
  <c r="K20" i="3"/>
  <c r="K22" i="3" s="1"/>
  <c r="K8" i="3"/>
  <c r="K7" i="3"/>
  <c r="L6" i="3"/>
  <c r="L20" i="3" l="1"/>
  <c r="L22" i="3" s="1"/>
  <c r="L23" i="3"/>
  <c r="L8" i="3"/>
  <c r="M6" i="3"/>
  <c r="L7" i="3"/>
  <c r="M20" i="3" l="1"/>
  <c r="M22" i="3" s="1"/>
  <c r="M8" i="3"/>
  <c r="M23" i="3"/>
  <c r="M7" i="3"/>
  <c r="N6" i="3"/>
  <c r="N23" i="3" l="1"/>
  <c r="N8" i="3"/>
  <c r="N7" i="3"/>
  <c r="N20" i="3"/>
  <c r="N22" i="3" s="1"/>
  <c r="O6" i="3"/>
  <c r="O23" i="3" l="1"/>
  <c r="P6" i="3"/>
  <c r="O20" i="3"/>
  <c r="O22" i="3" s="1"/>
  <c r="O8" i="3"/>
  <c r="O7" i="3"/>
  <c r="P20" i="3" l="1"/>
  <c r="P22" i="3" s="1"/>
  <c r="P8" i="3"/>
  <c r="Q6" i="3"/>
  <c r="P7" i="3"/>
  <c r="P23" i="3"/>
  <c r="Q20" i="3" l="1"/>
  <c r="Q22" i="3" s="1"/>
  <c r="Q8" i="3"/>
  <c r="R6" i="3"/>
  <c r="Q23" i="3"/>
  <c r="Q7" i="3"/>
  <c r="R8" i="3" l="1"/>
  <c r="S6" i="3"/>
  <c r="R23" i="3"/>
  <c r="R7" i="3"/>
  <c r="R20" i="3"/>
  <c r="R22" i="3" s="1"/>
  <c r="T6" i="3" l="1"/>
  <c r="S23" i="3"/>
  <c r="S20" i="3"/>
  <c r="S22" i="3" s="1"/>
  <c r="S7" i="3"/>
  <c r="S8" i="3"/>
  <c r="T23" i="3" l="1"/>
  <c r="T20" i="3"/>
  <c r="T22" i="3" s="1"/>
  <c r="T7" i="3"/>
  <c r="T8" i="3"/>
  <c r="U6" i="3"/>
  <c r="U20" i="3" l="1"/>
  <c r="U22" i="3" s="1"/>
  <c r="U8" i="3"/>
  <c r="V6" i="3"/>
  <c r="U7" i="3"/>
  <c r="U23" i="3"/>
  <c r="V23" i="3" l="1"/>
  <c r="W6" i="3"/>
  <c r="V20" i="3"/>
  <c r="V22" i="3" s="1"/>
  <c r="V8" i="3"/>
  <c r="V7" i="3"/>
  <c r="W23" i="3" l="1"/>
  <c r="W8" i="3"/>
  <c r="X6" i="3"/>
  <c r="W7" i="3"/>
  <c r="W20" i="3"/>
  <c r="W22" i="3" s="1"/>
  <c r="X7" i="3" l="1"/>
  <c r="Y6" i="3"/>
  <c r="X8" i="3"/>
  <c r="X23" i="3"/>
  <c r="X20" i="3"/>
  <c r="X22" i="3" s="1"/>
  <c r="Y7" i="3" l="1"/>
  <c r="Y8" i="3"/>
  <c r="Z6" i="3"/>
  <c r="Y20" i="3"/>
  <c r="Y22" i="3" s="1"/>
  <c r="Y23" i="3"/>
  <c r="Z7" i="3" l="1"/>
  <c r="Z23" i="3"/>
  <c r="Z20" i="3"/>
  <c r="Z22" i="3" s="1"/>
  <c r="Z8" i="3"/>
  <c r="AA6" i="3"/>
  <c r="AA7" i="3" l="1"/>
  <c r="AA23" i="3"/>
  <c r="AA20" i="3"/>
  <c r="AA22" i="3" s="1"/>
  <c r="AA8" i="3"/>
  <c r="AB6" i="3"/>
  <c r="AB7" i="3" l="1"/>
  <c r="AB23" i="3"/>
  <c r="AB20" i="3"/>
  <c r="AB22" i="3" s="1"/>
  <c r="AB8" i="3"/>
  <c r="AC6" i="3"/>
  <c r="AC7" i="3" l="1"/>
  <c r="AC23" i="3"/>
  <c r="AC20" i="3"/>
  <c r="AC22" i="3" s="1"/>
  <c r="AC8" i="3"/>
  <c r="AD6" i="3"/>
  <c r="AD23" i="3" l="1"/>
  <c r="AD20" i="3"/>
  <c r="AD22" i="3" s="1"/>
  <c r="AD8" i="3"/>
  <c r="AE6" i="3"/>
  <c r="AD7" i="3"/>
  <c r="AE23" i="3" l="1"/>
  <c r="AE20" i="3"/>
  <c r="AE22" i="3" s="1"/>
  <c r="AE8" i="3"/>
  <c r="AE7" i="3"/>
  <c r="AF6" i="3"/>
  <c r="AF20" i="3" l="1"/>
  <c r="AF22" i="3" s="1"/>
  <c r="AF7" i="3"/>
  <c r="AF23" i="3"/>
  <c r="AF8" i="3"/>
  <c r="AG6" i="3"/>
  <c r="AG20" i="3" l="1"/>
  <c r="AG22" i="3" s="1"/>
  <c r="AG8" i="3"/>
  <c r="AG23" i="3"/>
  <c r="AH6" i="3"/>
  <c r="AG7" i="3"/>
  <c r="AH23" i="3" l="1"/>
  <c r="AI23" i="3" s="1"/>
  <c r="AH8" i="3"/>
  <c r="AH7" i="3"/>
  <c r="AH20" i="3"/>
  <c r="AH22" i="3" s="1"/>
  <c r="O4" i="3"/>
  <c r="AJ11" i="3" l="1"/>
  <c r="AJ15" i="3"/>
  <c r="AJ13" i="3"/>
  <c r="AJ16" i="3"/>
  <c r="AJ17" i="3"/>
  <c r="AJ14" i="3"/>
  <c r="AJ10" i="3"/>
  <c r="AJ12" i="3"/>
  <c r="AJ18" i="3"/>
  <c r="AJ9" i="3"/>
  <c r="D21" i="4" l="1"/>
  <c r="F21" i="4" s="1"/>
  <c r="AK15" i="3"/>
  <c r="AK9" i="3"/>
  <c r="D15" i="4"/>
  <c r="F6" i="4"/>
  <c r="D24" i="4"/>
  <c r="F24" i="4" s="1"/>
  <c r="AK18" i="3"/>
  <c r="D18" i="4"/>
  <c r="F18" i="4" s="1"/>
  <c r="AK12" i="3"/>
  <c r="D16" i="4"/>
  <c r="F16" i="4" s="1"/>
  <c r="AK10" i="3"/>
  <c r="D20" i="4"/>
  <c r="F20" i="4" s="1"/>
  <c r="AK14" i="3"/>
  <c r="D23" i="4"/>
  <c r="F23" i="4" s="1"/>
  <c r="AK17" i="3"/>
  <c r="D22" i="4"/>
  <c r="F22" i="4" s="1"/>
  <c r="AK16" i="3"/>
  <c r="D19" i="4"/>
  <c r="F19" i="4" s="1"/>
  <c r="AK13" i="3"/>
  <c r="D17" i="4"/>
  <c r="F17" i="4" s="1"/>
  <c r="AK11" i="3"/>
  <c r="F15" i="4" l="1"/>
  <c r="D25" i="4"/>
  <c r="F25" i="4" s="1"/>
</calcChain>
</file>

<file path=xl/sharedStrings.xml><?xml version="1.0" encoding="utf-8"?>
<sst xmlns="http://schemas.openxmlformats.org/spreadsheetml/2006/main" count="478" uniqueCount="123">
  <si>
    <t>SCHICHTEN &amp; LEGENDE</t>
  </si>
  <si>
    <t>Zentrale Konfiguration – alle Berechnungen im Einsatzplan greifen auf diese Tabelle zu.</t>
  </si>
  <si>
    <t>Kürzel</t>
  </si>
  <si>
    <t>Bezeichnung</t>
  </si>
  <si>
    <t>Beginn</t>
  </si>
  <si>
    <t>Ende</t>
  </si>
  <si>
    <t>Stunden (netto)</t>
  </si>
  <si>
    <t>Kategorie</t>
  </si>
  <si>
    <t>Schritt</t>
  </si>
  <si>
    <t>Kurzanleitung</t>
  </si>
  <si>
    <t>F</t>
  </si>
  <si>
    <t>Frühschicht</t>
  </si>
  <si>
    <t>06:00</t>
  </si>
  <si>
    <t>14:00</t>
  </si>
  <si>
    <t>Arbeit</t>
  </si>
  <si>
    <t>Stammdaten</t>
  </si>
  <si>
    <t>Mitarbeiter im Blatt „Mitarbeiter“ pflegen – Namen und Teams fließen automatisch in den Plan.</t>
  </si>
  <si>
    <t>S</t>
  </si>
  <si>
    <t>Spätschicht</t>
  </si>
  <si>
    <t>22:00</t>
  </si>
  <si>
    <t>Planen</t>
  </si>
  <si>
    <t>Im „Einsatzplan“ je Person und Tag einen Kürzel-Code aus der Dropdown-Liste wählen.</t>
  </si>
  <si>
    <t>N</t>
  </si>
  <si>
    <t>Nachtschicht</t>
  </si>
  <si>
    <t>Stunden</t>
  </si>
  <si>
    <t>Die Ist-Stunden je Mitarbeiter werden aus den Codes automatisch summiert und mit dem Soll verglichen.</t>
  </si>
  <si>
    <t>T</t>
  </si>
  <si>
    <t>Tagdienst</t>
  </si>
  <si>
    <t>08:00</t>
  </si>
  <si>
    <t>16:30</t>
  </si>
  <si>
    <t>Bedarf</t>
  </si>
  <si>
    <t>Pro Tag den Soll-Bedarf eintragen – die Differenz zeigt Unter- oder Überdeckung farblich an.</t>
  </si>
  <si>
    <t>B</t>
  </si>
  <si>
    <t>Bereitschaft</t>
  </si>
  <si>
    <t>20:30</t>
  </si>
  <si>
    <t>Auswerten</t>
  </si>
  <si>
    <t>Das Blatt „Auswertung“ liefert Kosten, Auslastung und Grafiken auf einen Blick.</t>
  </si>
  <si>
    <t>FB</t>
  </si>
  <si>
    <t>Fortbildung</t>
  </si>
  <si>
    <t>09:00</t>
  </si>
  <si>
    <t>Schulung</t>
  </si>
  <si>
    <t>Anpassen</t>
  </si>
  <si>
    <t>Zeiten, Stunden oder Codes hier ändern – der gesamte Plan rechnet automatisch neu.</t>
  </si>
  <si>
    <t>U</t>
  </si>
  <si>
    <t>Urlaub</t>
  </si>
  <si>
    <t>–</t>
  </si>
  <si>
    <t>Abwesend</t>
  </si>
  <si>
    <t>K</t>
  </si>
  <si>
    <t>Krank</t>
  </si>
  <si>
    <t>FR</t>
  </si>
  <si>
    <t>Frei</t>
  </si>
  <si>
    <t>FT</t>
  </si>
  <si>
    <t>Feiertag</t>
  </si>
  <si>
    <t>Hinweis:</t>
  </si>
  <si>
    <t>„Arbeit“ und „Schulung“ zählen als bezahlte Stunden. Nur „Arbeit“ zählt für die Tagesbesetzung.</t>
  </si>
  <si>
    <t>MITARBEITER – STAMMDATEN</t>
  </si>
  <si>
    <t>Basis für den Einsatzplan. Blau hinterlegte Felder sind Eingaben.</t>
  </si>
  <si>
    <t>Nr.</t>
  </si>
  <si>
    <t>Mitarbeiter</t>
  </si>
  <si>
    <t>Team</t>
  </si>
  <si>
    <t>Funktion</t>
  </si>
  <si>
    <t>Vertragsart</t>
  </si>
  <si>
    <t>Wochenstunden</t>
  </si>
  <si>
    <t>Stundensatz</t>
  </si>
  <si>
    <t>Qualifikation</t>
  </si>
  <si>
    <t>Eintritt</t>
  </si>
  <si>
    <t>Anna Bergmann</t>
  </si>
  <si>
    <t>Team A</t>
  </si>
  <si>
    <t>Teamleitung</t>
  </si>
  <si>
    <t>Vollzeit</t>
  </si>
  <si>
    <t>Schichtleitung, Erste-Hilfe</t>
  </si>
  <si>
    <t>Tobias Krüger</t>
  </si>
  <si>
    <t>Fachkraft</t>
  </si>
  <si>
    <t>Staplerschein</t>
  </si>
  <si>
    <t>Sandra Vogel</t>
  </si>
  <si>
    <t>Teilzeit</t>
  </si>
  <si>
    <t>Kassenbefugnis</t>
  </si>
  <si>
    <t>Mehmet Yıldız</t>
  </si>
  <si>
    <t>Team B</t>
  </si>
  <si>
    <t>Staplerschein, Erste-Hilfe</t>
  </si>
  <si>
    <t>Laura Schmitt</t>
  </si>
  <si>
    <t>Einarbeitung neuer MA</t>
  </si>
  <si>
    <t>Jonas Wegener</t>
  </si>
  <si>
    <t>Aushilfe</t>
  </si>
  <si>
    <t>Minijob</t>
  </si>
  <si>
    <t>Grundeinweisung</t>
  </si>
  <si>
    <t>Petra Hoffmann</t>
  </si>
  <si>
    <t>Team C</t>
  </si>
  <si>
    <t>Schichtleitung</t>
  </si>
  <si>
    <t>Daniel Roth</t>
  </si>
  <si>
    <t>Nachtdienst-Qualifikation</t>
  </si>
  <si>
    <t>Christina Lang</t>
  </si>
  <si>
    <t>Werkstudent</t>
  </si>
  <si>
    <t>Kevin Bauer</t>
  </si>
  <si>
    <t>Auszubildende</t>
  </si>
  <si>
    <t>1. Ausbildungsjahr</t>
  </si>
  <si>
    <t>Gesamt / Durchschnitt</t>
  </si>
  <si>
    <t>PERSONALEINSATZPLANUNG</t>
  </si>
  <si>
    <t>Monatsübersicht · Schicht- und Dienstplan mit automatischer Stunden- und Besetzungsrechnung</t>
  </si>
  <si>
    <t>Planungsmonat:</t>
  </si>
  <si>
    <t>Arbeitstage (Mo–Fr):</t>
  </si>
  <si>
    <t>Kalenderwochen:</t>
  </si>
  <si>
    <t>Mitarbeiter:</t>
  </si>
  <si>
    <t>Nr</t>
  </si>
  <si>
    <t>Ist</t>
  </si>
  <si>
    <t>Soll</t>
  </si>
  <si>
    <t>Diff</t>
  </si>
  <si>
    <t>Besetzung (Ist)</t>
  </si>
  <si>
    <t>Personalbedarf (Soll)</t>
  </si>
  <si>
    <t>Differenz</t>
  </si>
  <si>
    <t>Geplante Stunden</t>
  </si>
  <si>
    <t>AUSWERTUNG &amp; KENNZAHLEN</t>
  </si>
  <si>
    <t>Automatisch aus dem Einsatzplan berechnet.</t>
  </si>
  <si>
    <t>Personalkosten</t>
  </si>
  <si>
    <t>Ø Auslastung</t>
  </si>
  <si>
    <t>Urlaubstage</t>
  </si>
  <si>
    <t>Kranktage</t>
  </si>
  <si>
    <t>Soll-Std</t>
  </si>
  <si>
    <t>Ist-Std</t>
  </si>
  <si>
    <t>Auslastung</t>
  </si>
  <si>
    <t>Kosten</t>
  </si>
  <si>
    <t>Summe</t>
  </si>
  <si>
    <t>Auswertung je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</si>
</sst>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;\-0.0;\–"/>
    <numFmt numFmtId="165" formatCode="0&quot; h&quot;"/>
    <numFmt numFmtId="166" formatCode="#,##0.00&quot; €&quot;"/>
    <numFmt numFmtId="167" formatCode="dd\.mm\.yyyy"/>
    <numFmt numFmtId="168" formatCode="mmmm\ yyyy"/>
    <numFmt numFmtId="169" formatCode="mm/dd/yy"/>
    <numFmt numFmtId="170" formatCode="#,##0&quot; €&quot;"/>
    <numFmt numFmtId="171" formatCode="0.0%"/>
  </numFmts>
  <fonts count="21" x14ac:knownFonts="1">
    <font>
      <sz val="11"/>
      <color theme="1"/>
      <name val="Calibri"/>
      <family val="2"/>
      <charset val="1"/>
    </font>
    <font>
      <b/>
      <sz val="20"/>
      <color rgb="FF3A3A46"/>
      <name val="Calibri"/>
      <charset val="1"/>
    </font>
    <font>
      <i/>
      <sz val="9"/>
      <color rgb="FF50505E"/>
      <name val="Calibri"/>
      <charset val="1"/>
    </font>
    <font>
      <b/>
      <sz val="10"/>
      <color rgb="FFFFFFFF"/>
      <name val="Calibri"/>
      <charset val="1"/>
    </font>
    <font>
      <b/>
      <sz val="11"/>
      <color rgb="FF3A3A46"/>
      <name val="Calibri"/>
      <charset val="1"/>
    </font>
    <font>
      <sz val="10"/>
      <color rgb="FF2B2B2B"/>
      <name val="Calibri"/>
      <charset val="1"/>
    </font>
    <font>
      <b/>
      <sz val="10"/>
      <color rgb="FF3A3A46"/>
      <name val="Calibri"/>
      <charset val="1"/>
    </font>
    <font>
      <sz val="9"/>
      <color rgb="FF2B2B2B"/>
      <name val="Calibri"/>
      <charset val="1"/>
    </font>
    <font>
      <b/>
      <sz val="9"/>
      <color rgb="FFB57400"/>
      <name val="Calibri"/>
      <charset val="1"/>
    </font>
    <font>
      <sz val="9"/>
      <color rgb="FF50505E"/>
      <name val="Calibri"/>
      <charset val="1"/>
    </font>
    <font>
      <sz val="10"/>
      <color rgb="FF1F5FA8"/>
      <name val="Calibri"/>
      <charset val="1"/>
    </font>
    <font>
      <b/>
      <sz val="22"/>
      <color rgb="FF3A3A46"/>
      <name val="Calibri"/>
      <charset val="1"/>
    </font>
    <font>
      <i/>
      <sz val="10"/>
      <color rgb="FF50505E"/>
      <name val="Calibri"/>
      <charset val="1"/>
    </font>
    <font>
      <b/>
      <sz val="13"/>
      <color rgb="FF1F5FA8"/>
      <name val="Calibri"/>
      <charset val="1"/>
    </font>
    <font>
      <b/>
      <sz val="9"/>
      <color rgb="FFFFFFFF"/>
      <name val="Calibri"/>
      <charset val="1"/>
    </font>
    <font>
      <b/>
      <sz val="8"/>
      <color rgb="FFFFFFFF"/>
      <name val="Calibri"/>
      <charset val="1"/>
    </font>
    <font>
      <b/>
      <sz val="9"/>
      <color rgb="FF3A3A46"/>
      <name val="Calibri"/>
      <charset val="1"/>
    </font>
    <font>
      <b/>
      <sz val="10"/>
      <color rgb="FF2B2B2B"/>
      <name val="Calibri"/>
      <charset val="1"/>
    </font>
    <font>
      <sz val="9"/>
      <color rgb="FF1F5FA8"/>
      <name val="Calibri"/>
      <charset val="1"/>
    </font>
    <font>
      <b/>
      <sz val="9"/>
      <color rgb="FF2B2B2B"/>
      <name val="Calibri"/>
      <charset val="1"/>
    </font>
    <font>
      <b/>
      <sz val="20"/>
      <color rgb="FFFFFFFF"/>
      <name val="Calibri"/>
      <charset val="1"/>
    </font>
  </fonts>
  <fills count="21">
    <fill>
      <patternFill patternType="none"/>
    </fill>
    <fill>
      <patternFill patternType="gray125"/>
    </fill>
    <fill>
      <patternFill patternType="solid">
        <fgColor rgb="FF3A3A46"/>
        <bgColor rgb="FF2B2B2B"/>
      </patternFill>
    </fill>
    <fill>
      <patternFill patternType="solid">
        <fgColor rgb="FF50505E"/>
        <bgColor rgb="FF3A3A46"/>
      </patternFill>
    </fill>
    <fill>
      <patternFill patternType="solid">
        <fgColor rgb="FFFFF1BE"/>
        <bgColor rgb="FFF7E3B5"/>
      </patternFill>
    </fill>
    <fill>
      <patternFill patternType="solid">
        <fgColor rgb="FFF5F2EC"/>
        <bgColor rgb="FFECE7DD"/>
      </patternFill>
    </fill>
    <fill>
      <patternFill patternType="solid">
        <fgColor rgb="FFECE7DD"/>
        <bgColor rgb="FFEAE4D7"/>
      </patternFill>
    </fill>
    <fill>
      <patternFill patternType="solid">
        <fgColor rgb="FFFAD7A0"/>
        <bgColor rgb="FFF7E3B5"/>
      </patternFill>
    </fill>
    <fill>
      <patternFill patternType="solid">
        <fgColor rgb="FFCFCAE6"/>
        <bgColor rgb="FFD6D6D6"/>
      </patternFill>
    </fill>
    <fill>
      <patternFill patternType="solid">
        <fgColor rgb="FFCDE8C6"/>
        <bgColor rgb="FFD6E8CF"/>
      </patternFill>
    </fill>
    <fill>
      <patternFill patternType="solid">
        <fgColor rgb="FFCCE6E0"/>
        <bgColor rgb="FFD6E8CF"/>
      </patternFill>
    </fill>
    <fill>
      <patternFill patternType="solid">
        <fgColor rgb="FFE2D2EC"/>
        <bgColor rgb="FFD9D9D9"/>
      </patternFill>
    </fill>
    <fill>
      <patternFill patternType="solid">
        <fgColor rgb="FFC9DEF2"/>
        <bgColor rgb="FFCCE6E0"/>
      </patternFill>
    </fill>
    <fill>
      <patternFill patternType="solid">
        <fgColor rgb="FFF3C7C0"/>
        <bgColor rgb="FFF3D2CC"/>
      </patternFill>
    </fill>
    <fill>
      <patternFill patternType="solid">
        <fgColor rgb="FFE6E1D6"/>
        <bgColor rgb="FFEAE4D7"/>
      </patternFill>
    </fill>
    <fill>
      <patternFill patternType="solid">
        <fgColor rgb="FFD6D6D6"/>
        <bgColor rgb="FFD9D9D9"/>
      </patternFill>
    </fill>
    <fill>
      <patternFill patternType="solid">
        <fgColor rgb="FFFFFFFF"/>
        <bgColor rgb="FFF5F2EC"/>
      </patternFill>
    </fill>
    <fill>
      <patternFill patternType="solid">
        <fgColor rgb="FFE2DCCF"/>
        <bgColor rgb="FFE6E1D6"/>
      </patternFill>
    </fill>
    <fill>
      <patternFill patternType="solid">
        <fgColor rgb="FFF7E3B5"/>
        <bgColor rgb="FFFAD7A0"/>
      </patternFill>
    </fill>
    <fill>
      <patternFill patternType="solid">
        <fgColor rgb="FFB57400"/>
        <bgColor rgb="FFD98C00"/>
      </patternFill>
    </fill>
    <fill>
      <patternFill patternType="solid">
        <fgColor rgb="FFD98C00"/>
        <bgColor rgb="FFB57400"/>
      </patternFill>
    </fill>
  </fills>
  <borders count="2">
    <border>
      <left/>
      <right/>
      <top/>
      <bottom/>
      <diagonal/>
    </border>
    <border>
      <left style="thin">
        <color rgb="FFD7D0C2"/>
      </left>
      <right style="thin">
        <color rgb="FFD7D0C2"/>
      </right>
      <top style="thin">
        <color rgb="FFD7D0C2"/>
      </top>
      <bottom style="thin">
        <color rgb="FFD7D0C2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171" fontId="20" fillId="19" borderId="1" xfId="0" applyNumberFormat="1" applyFont="1" applyFill="1" applyBorder="1" applyAlignment="1">
      <alignment horizontal="left" vertical="center"/>
    </xf>
    <xf numFmtId="170" fontId="20" fillId="2" borderId="1" xfId="0" applyNumberFormat="1" applyFont="1" applyFill="1" applyBorder="1" applyAlignment="1">
      <alignment horizontal="left" vertical="center"/>
    </xf>
    <xf numFmtId="164" fontId="20" fillId="20" borderId="1" xfId="0" applyNumberFormat="1" applyFont="1" applyFill="1" applyBorder="1" applyAlignment="1">
      <alignment horizontal="left" vertical="center"/>
    </xf>
    <xf numFmtId="0" fontId="3" fillId="19" borderId="1" xfId="0" applyFont="1" applyFill="1" applyBorder="1" applyAlignment="1">
      <alignment horizontal="left" vertical="center"/>
    </xf>
    <xf numFmtId="0" fontId="3" fillId="2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19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8" fontId="13" fillId="18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left" vertical="center"/>
    </xf>
    <xf numFmtId="0" fontId="10" fillId="16" borderId="1" xfId="0" applyFont="1" applyFill="1" applyBorder="1" applyAlignment="1">
      <alignment horizontal="center" vertical="center"/>
    </xf>
    <xf numFmtId="165" fontId="10" fillId="16" borderId="1" xfId="0" applyNumberFormat="1" applyFont="1" applyFill="1" applyBorder="1" applyAlignment="1">
      <alignment horizontal="center" vertical="center"/>
    </xf>
    <xf numFmtId="166" fontId="10" fillId="16" borderId="1" xfId="0" applyNumberFormat="1" applyFont="1" applyFill="1" applyBorder="1" applyAlignment="1">
      <alignment horizontal="center" vertical="center"/>
    </xf>
    <xf numFmtId="167" fontId="10" fillId="16" borderId="1" xfId="0" applyNumberFormat="1" applyFont="1" applyFill="1" applyBorder="1" applyAlignment="1">
      <alignment horizontal="center" vertical="center"/>
    </xf>
    <xf numFmtId="0" fontId="0" fillId="17" borderId="1" xfId="0" applyFill="1" applyBorder="1"/>
    <xf numFmtId="0" fontId="6" fillId="17" borderId="1" xfId="0" applyFont="1" applyFill="1" applyBorder="1" applyAlignment="1">
      <alignment horizontal="left" vertical="center"/>
    </xf>
    <xf numFmtId="0" fontId="6" fillId="17" borderId="1" xfId="0" applyFont="1" applyFill="1" applyBorder="1" applyAlignment="1">
      <alignment horizontal="center" vertical="center"/>
    </xf>
    <xf numFmtId="165" fontId="6" fillId="17" borderId="1" xfId="0" applyNumberFormat="1" applyFont="1" applyFill="1" applyBorder="1" applyAlignment="1">
      <alignment horizontal="center" vertical="center"/>
    </xf>
    <xf numFmtId="166" fontId="6" fillId="17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right" vertical="center"/>
    </xf>
    <xf numFmtId="168" fontId="0" fillId="0" borderId="0" xfId="0" applyNumberFormat="1"/>
    <xf numFmtId="169" fontId="0" fillId="0" borderId="0" xfId="0" applyNumberFormat="1"/>
    <xf numFmtId="0" fontId="14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4" fontId="19" fillId="6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left" vertical="center"/>
    </xf>
    <xf numFmtId="0" fontId="19" fillId="16" borderId="1" xfId="0" applyFont="1" applyFill="1" applyBorder="1" applyAlignment="1">
      <alignment horizontal="center" vertical="center"/>
    </xf>
    <xf numFmtId="0" fontId="0" fillId="18" borderId="1" xfId="0" applyFill="1" applyBorder="1"/>
    <xf numFmtId="0" fontId="16" fillId="18" borderId="1" xfId="0" applyFont="1" applyFill="1" applyBorder="1" applyAlignment="1">
      <alignment horizontal="left" vertical="center"/>
    </xf>
    <xf numFmtId="0" fontId="18" fillId="16" borderId="1" xfId="0" applyFont="1" applyFill="1" applyBorder="1" applyAlignment="1">
      <alignment horizontal="center" vertical="center"/>
    </xf>
    <xf numFmtId="1" fontId="7" fillId="16" borderId="1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171" fontId="7" fillId="5" borderId="1" xfId="0" applyNumberFormat="1" applyFont="1" applyFill="1" applyBorder="1" applyAlignment="1">
      <alignment horizontal="center" vertical="center"/>
    </xf>
    <xf numFmtId="170" fontId="7" fillId="5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71" fontId="7" fillId="6" borderId="1" xfId="0" applyNumberFormat="1" applyFont="1" applyFill="1" applyBorder="1" applyAlignment="1">
      <alignment horizontal="center" vertical="center"/>
    </xf>
    <xf numFmtId="170" fontId="7" fillId="6" borderId="1" xfId="0" applyNumberFormat="1" applyFont="1" applyFill="1" applyBorder="1" applyAlignment="1">
      <alignment horizontal="center" vertical="center"/>
    </xf>
    <xf numFmtId="164" fontId="6" fillId="17" borderId="1" xfId="0" applyNumberFormat="1" applyFont="1" applyFill="1" applyBorder="1" applyAlignment="1">
      <alignment horizontal="center" vertical="center"/>
    </xf>
    <xf numFmtId="171" fontId="6" fillId="17" borderId="1" xfId="0" applyNumberFormat="1" applyFont="1" applyFill="1" applyBorder="1" applyAlignment="1">
      <alignment horizontal="center" vertical="center"/>
    </xf>
    <xf numFmtId="170" fontId="6" fillId="17" borderId="1" xfId="0" applyNumberFormat="1" applyFont="1" applyFill="1" applyBorder="1" applyAlignment="1">
      <alignment horizontal="center" vertical="center"/>
    </xf>
    <xf numFmtId="0" fontId="4" fillId="0" borderId="0" xfId="0" applyFont="1"/>
    <xf numFmtId="1" fontId="20" fillId="3" borderId="1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17">
    <dxf>
      <font>
        <b/>
        <sz val="9"/>
        <color rgb="FFC0392B"/>
        <name val="Calibri"/>
        <charset val="1"/>
      </font>
    </dxf>
    <dxf>
      <font>
        <b/>
        <sz val="9"/>
        <color rgb="FF2E7D32"/>
        <name val="Calibri"/>
        <charset val="1"/>
      </font>
      <fill>
        <patternFill>
          <bgColor rgb="FFD6E8CF"/>
        </patternFill>
      </fill>
    </dxf>
    <dxf>
      <font>
        <b/>
        <sz val="9"/>
        <color rgb="FFC0392B"/>
        <name val="Calibri"/>
        <charset val="1"/>
      </font>
      <fill>
        <patternFill>
          <bgColor rgb="FFF3D2CC"/>
        </patternFill>
      </fill>
    </dxf>
    <dxf>
      <fill>
        <patternFill>
          <bgColor rgb="FFCFC9BC"/>
        </patternFill>
      </fill>
    </dxf>
    <dxf>
      <fill>
        <patternFill>
          <bgColor rgb="FFEAE4D7"/>
        </patternFill>
      </fill>
    </dxf>
    <dxf>
      <fill>
        <patternFill>
          <bgColor rgb="FFD6D6D6"/>
        </patternFill>
      </fill>
    </dxf>
    <dxf>
      <fill>
        <patternFill>
          <bgColor rgb="FFE6E1D6"/>
        </patternFill>
      </fill>
    </dxf>
    <dxf>
      <fill>
        <patternFill>
          <bgColor rgb="FFF3C7C0"/>
        </patternFill>
      </fill>
    </dxf>
    <dxf>
      <fill>
        <patternFill>
          <bgColor rgb="FFC9DEF2"/>
        </patternFill>
      </fill>
    </dxf>
    <dxf>
      <fill>
        <patternFill>
          <bgColor rgb="FFE2D2EC"/>
        </patternFill>
      </fill>
    </dxf>
    <dxf>
      <fill>
        <patternFill>
          <bgColor rgb="FFCCE6E0"/>
        </patternFill>
      </fill>
    </dxf>
    <dxf>
      <fill>
        <patternFill>
          <bgColor rgb="FFCDE8C6"/>
        </patternFill>
      </fill>
    </dxf>
    <dxf>
      <fill>
        <patternFill>
          <bgColor rgb="FFCFCAE6"/>
        </patternFill>
      </fill>
    </dxf>
    <dxf>
      <fill>
        <patternFill>
          <bgColor rgb="FFFAD7A0"/>
        </patternFill>
      </fill>
    </dxf>
    <dxf>
      <fill>
        <patternFill>
          <bgColor rgb="FFFFF1BE"/>
        </patternFill>
      </fill>
    </dxf>
    <dxf>
      <fill>
        <patternFill>
          <bgColor rgb="FFCFC9BC"/>
        </patternFill>
      </fill>
    </dxf>
    <dxf>
      <fill>
        <patternFill>
          <bgColor rgb="FFEAE4D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AE4D7"/>
      <rgbColor rgb="FFFF00FF"/>
      <rgbColor rgb="FF00FFFF"/>
      <rgbColor rgb="FF800000"/>
      <rgbColor rgb="FF008000"/>
      <rgbColor rgb="FF000080"/>
      <rgbColor rgb="FFB57400"/>
      <rgbColor rgb="FF800080"/>
      <rgbColor rgb="FF008080"/>
      <rgbColor rgb="FFCFC9BC"/>
      <rgbColor rgb="FF878787"/>
      <rgbColor rgb="FFD7D0C2"/>
      <rgbColor rgb="FFBE4B48"/>
      <rgbColor rgb="FFFFF1BE"/>
      <rgbColor rgb="FFCCE6E0"/>
      <rgbColor rgb="FF660066"/>
      <rgbColor rgb="FFD9D9D9"/>
      <rgbColor rgb="FF1F5FA8"/>
      <rgbColor rgb="FFCFCAE6"/>
      <rgbColor rgb="FF000080"/>
      <rgbColor rgb="FFFF00FF"/>
      <rgbColor rgb="FFE2DCCF"/>
      <rgbColor rgb="FF00FFFF"/>
      <rgbColor rgb="FF800080"/>
      <rgbColor rgb="FF800000"/>
      <rgbColor rgb="FF008080"/>
      <rgbColor rgb="FF0000FF"/>
      <rgbColor rgb="FF00CCFF"/>
      <rgbColor rgb="FFD6E8CF"/>
      <rgbColor rgb="FFCDE8C6"/>
      <rgbColor rgb="FFF7E3B5"/>
      <rgbColor rgb="FFC9DEF2"/>
      <rgbColor rgb="FFF3C7C0"/>
      <rgbColor rgb="FFE2D2EC"/>
      <rgbColor rgb="FFFAD7A0"/>
      <rgbColor rgb="FF4F81BD"/>
      <rgbColor rgb="FFECE7DD"/>
      <rgbColor rgb="FFE6E1D6"/>
      <rgbColor rgb="FFF3D2CC"/>
      <rgbColor rgb="FFD98C00"/>
      <rgbColor rgb="FFF5F2EC"/>
      <rgbColor rgb="FF4A7EBB"/>
      <rgbColor rgb="FFD6D6D6"/>
      <rgbColor rgb="FF003366"/>
      <rgbColor rgb="FF2E7D32"/>
      <rgbColor rgb="FF003300"/>
      <rgbColor rgb="FF3A3A46"/>
      <rgbColor rgb="FFC0392B"/>
      <rgbColor rgb="FF993366"/>
      <rgbColor rgb="FF50505E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Geplante Stunden je Mitarbeiter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Auswertung!$E$14</c:f>
              <c:strCache>
                <c:ptCount val="1"/>
                <c:pt idx="0">
                  <c:v>Ist-Std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Auswertung!$B$15:$B$24</c:f>
              <c:strCache>
                <c:ptCount val="10"/>
                <c:pt idx="0">
                  <c:v>Anna Bergmann</c:v>
                </c:pt>
                <c:pt idx="1">
                  <c:v>Tobias Krüger</c:v>
                </c:pt>
                <c:pt idx="2">
                  <c:v>Sandra Vogel</c:v>
                </c:pt>
                <c:pt idx="3">
                  <c:v>Mehmet Yıldız</c:v>
                </c:pt>
                <c:pt idx="4">
                  <c:v>Laura Schmitt</c:v>
                </c:pt>
                <c:pt idx="5">
                  <c:v>Jonas Wegener</c:v>
                </c:pt>
                <c:pt idx="6">
                  <c:v>Petra Hoffmann</c:v>
                </c:pt>
                <c:pt idx="7">
                  <c:v>Daniel Roth</c:v>
                </c:pt>
                <c:pt idx="8">
                  <c:v>Christina Lang</c:v>
                </c:pt>
                <c:pt idx="9">
                  <c:v>Kevin Bauer</c:v>
                </c:pt>
              </c:strCache>
            </c:strRef>
          </c:cat>
          <c:val>
            <c:numRef>
              <c:f>Auswertung!$E$15:$E$24</c:f>
              <c:numCache>
                <c:formatCode>0.0;\-0.0;\–</c:formatCode>
                <c:ptCount val="10"/>
                <c:pt idx="0">
                  <c:v>165</c:v>
                </c:pt>
                <c:pt idx="1">
                  <c:v>180</c:v>
                </c:pt>
                <c:pt idx="2">
                  <c:v>105</c:v>
                </c:pt>
                <c:pt idx="3">
                  <c:v>150</c:v>
                </c:pt>
                <c:pt idx="4">
                  <c:v>97.5</c:v>
                </c:pt>
                <c:pt idx="5">
                  <c:v>52</c:v>
                </c:pt>
                <c:pt idx="6">
                  <c:v>165</c:v>
                </c:pt>
                <c:pt idx="7">
                  <c:v>136</c:v>
                </c:pt>
                <c:pt idx="8">
                  <c:v>97.5</c:v>
                </c:pt>
                <c:pt idx="9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2-4AC3-BE24-E2F9516AB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30580"/>
        <c:axId val="2606002"/>
      </c:barChart>
      <c:catAx>
        <c:axId val="748305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606002"/>
        <c:crosses val="autoZero"/>
        <c:auto val="1"/>
        <c:lblAlgn val="ctr"/>
        <c:lblOffset val="100"/>
        <c:noMultiLvlLbl val="0"/>
      </c:catAx>
      <c:valAx>
        <c:axId val="260600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Std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;\-0.0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483058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Besetzung vs. Bedarf je Tag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Besetzung</c:v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Einsatzplan!$D$7:$AH$7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Einsatzplan!$D$20:$AH$20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2</c:v>
                </c:pt>
                <c:pt idx="12">
                  <c:v>1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1</c:v>
                </c:pt>
                <c:pt idx="19">
                  <c:v>1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2</c:v>
                </c:pt>
                <c:pt idx="26">
                  <c:v>1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3CC-4823-9771-F536BA6309D5}"/>
            </c:ext>
          </c:extLst>
        </c:ser>
        <c:ser>
          <c:idx val="1"/>
          <c:order val="1"/>
          <c:tx>
            <c:v>Bedarf</c:v>
          </c:tx>
          <c:spPr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Einsatzplan!$D$7:$AH$7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Einsatzplan!$D$21:$AH$21</c:f>
              <c:numCache>
                <c:formatCode>General</c:formatCode>
                <c:ptCount val="3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3CC-4823-9771-F536BA630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59025002"/>
        <c:axId val="43826266"/>
      </c:lineChart>
      <c:catAx>
        <c:axId val="5902500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3826266"/>
        <c:crosses val="autoZero"/>
        <c:auto val="1"/>
        <c:lblAlgn val="ctr"/>
        <c:lblOffset val="100"/>
        <c:noMultiLvlLbl val="0"/>
      </c:catAx>
      <c:valAx>
        <c:axId val="4382626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Personen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902500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70560</xdr:rowOff>
    </xdr:from>
    <xdr:to>
      <xdr:col>18</xdr:col>
      <xdr:colOff>507600</xdr:colOff>
      <xdr:row>24</xdr:row>
      <xdr:rowOff>142200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27</xdr:row>
      <xdr:rowOff>70200</xdr:rowOff>
    </xdr:from>
    <xdr:to>
      <xdr:col>18</xdr:col>
      <xdr:colOff>507600</xdr:colOff>
      <xdr:row>40</xdr:row>
      <xdr:rowOff>113400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8C00"/>
    <pageSetUpPr fitToPage="1"/>
  </sheetPr>
  <dimension ref="B2:J17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11" customWidth="1"/>
    <col min="3" max="3" width="24" customWidth="1"/>
    <col min="4" max="5" width="10" customWidth="1"/>
    <col min="6" max="6" width="13" customWidth="1"/>
    <col min="7" max="7" width="15" customWidth="1"/>
    <col min="8" max="8" width="3" customWidth="1"/>
    <col min="9" max="9" width="18" customWidth="1"/>
    <col min="10" max="10" width="40" customWidth="1"/>
  </cols>
  <sheetData>
    <row r="2" spans="2:10" ht="26.25" x14ac:dyDescent="0.4">
      <c r="B2" s="15" t="s">
        <v>0</v>
      </c>
    </row>
    <row r="3" spans="2:10" x14ac:dyDescent="0.25">
      <c r="B3" s="16" t="s">
        <v>1</v>
      </c>
    </row>
    <row r="5" spans="2:10" ht="25.5" customHeight="1" x14ac:dyDescent="0.25">
      <c r="B5" s="17" t="s">
        <v>2</v>
      </c>
      <c r="C5" s="18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I5" s="19" t="s">
        <v>8</v>
      </c>
      <c r="J5" s="20" t="s">
        <v>9</v>
      </c>
    </row>
    <row r="6" spans="2:10" ht="30" customHeight="1" x14ac:dyDescent="0.25">
      <c r="B6" s="21" t="s">
        <v>10</v>
      </c>
      <c r="C6" s="22" t="s">
        <v>11</v>
      </c>
      <c r="D6" s="23" t="s">
        <v>12</v>
      </c>
      <c r="E6" s="23" t="s">
        <v>13</v>
      </c>
      <c r="F6" s="24">
        <v>7.5</v>
      </c>
      <c r="G6" s="23" t="s">
        <v>14</v>
      </c>
      <c r="I6" s="25" t="s">
        <v>15</v>
      </c>
      <c r="J6" s="26" t="s">
        <v>16</v>
      </c>
    </row>
    <row r="7" spans="2:10" ht="30" customHeight="1" x14ac:dyDescent="0.25">
      <c r="B7" s="27" t="s">
        <v>17</v>
      </c>
      <c r="C7" s="22" t="s">
        <v>18</v>
      </c>
      <c r="D7" s="23" t="s">
        <v>13</v>
      </c>
      <c r="E7" s="23" t="s">
        <v>19</v>
      </c>
      <c r="F7" s="24">
        <v>7.5</v>
      </c>
      <c r="G7" s="23" t="s">
        <v>14</v>
      </c>
      <c r="I7" s="25" t="s">
        <v>20</v>
      </c>
      <c r="J7" s="26" t="s">
        <v>21</v>
      </c>
    </row>
    <row r="8" spans="2:10" ht="30" customHeight="1" x14ac:dyDescent="0.25">
      <c r="B8" s="28" t="s">
        <v>22</v>
      </c>
      <c r="C8" s="22" t="s">
        <v>23</v>
      </c>
      <c r="D8" s="23" t="s">
        <v>19</v>
      </c>
      <c r="E8" s="23" t="s">
        <v>12</v>
      </c>
      <c r="F8" s="24">
        <v>8</v>
      </c>
      <c r="G8" s="23" t="s">
        <v>14</v>
      </c>
      <c r="I8" s="25" t="s">
        <v>24</v>
      </c>
      <c r="J8" s="26" t="s">
        <v>25</v>
      </c>
    </row>
    <row r="9" spans="2:10" ht="30" customHeight="1" x14ac:dyDescent="0.25">
      <c r="B9" s="29" t="s">
        <v>26</v>
      </c>
      <c r="C9" s="22" t="s">
        <v>27</v>
      </c>
      <c r="D9" s="23" t="s">
        <v>28</v>
      </c>
      <c r="E9" s="23" t="s">
        <v>29</v>
      </c>
      <c r="F9" s="24">
        <v>7.5</v>
      </c>
      <c r="G9" s="23" t="s">
        <v>14</v>
      </c>
      <c r="I9" s="25" t="s">
        <v>30</v>
      </c>
      <c r="J9" s="26" t="s">
        <v>31</v>
      </c>
    </row>
    <row r="10" spans="2:10" ht="30" customHeight="1" x14ac:dyDescent="0.25">
      <c r="B10" s="30" t="s">
        <v>32</v>
      </c>
      <c r="C10" s="22" t="s">
        <v>33</v>
      </c>
      <c r="D10" s="23" t="s">
        <v>29</v>
      </c>
      <c r="E10" s="23" t="s">
        <v>34</v>
      </c>
      <c r="F10" s="24">
        <v>4</v>
      </c>
      <c r="G10" s="23" t="s">
        <v>14</v>
      </c>
      <c r="I10" s="25" t="s">
        <v>35</v>
      </c>
      <c r="J10" s="26" t="s">
        <v>36</v>
      </c>
    </row>
    <row r="11" spans="2:10" ht="30" customHeight="1" x14ac:dyDescent="0.25">
      <c r="B11" s="31" t="s">
        <v>37</v>
      </c>
      <c r="C11" s="22" t="s">
        <v>38</v>
      </c>
      <c r="D11" s="23" t="s">
        <v>39</v>
      </c>
      <c r="E11" s="23" t="s">
        <v>29</v>
      </c>
      <c r="F11" s="24">
        <v>6.5</v>
      </c>
      <c r="G11" s="23" t="s">
        <v>40</v>
      </c>
      <c r="I11" s="25" t="s">
        <v>41</v>
      </c>
      <c r="J11" s="26" t="s">
        <v>42</v>
      </c>
    </row>
    <row r="12" spans="2:10" x14ac:dyDescent="0.25">
      <c r="B12" s="32" t="s">
        <v>43</v>
      </c>
      <c r="C12" s="22" t="s">
        <v>44</v>
      </c>
      <c r="D12" s="23" t="s">
        <v>45</v>
      </c>
      <c r="E12" s="23" t="s">
        <v>45</v>
      </c>
      <c r="F12" s="24">
        <v>0</v>
      </c>
      <c r="G12" s="23" t="s">
        <v>46</v>
      </c>
    </row>
    <row r="13" spans="2:10" x14ac:dyDescent="0.25">
      <c r="B13" s="33" t="s">
        <v>47</v>
      </c>
      <c r="C13" s="22" t="s">
        <v>48</v>
      </c>
      <c r="D13" s="23" t="s">
        <v>45</v>
      </c>
      <c r="E13" s="23" t="s">
        <v>45</v>
      </c>
      <c r="F13" s="24">
        <v>0</v>
      </c>
      <c r="G13" s="23" t="s">
        <v>46</v>
      </c>
    </row>
    <row r="14" spans="2:10" x14ac:dyDescent="0.25">
      <c r="B14" s="34" t="s">
        <v>49</v>
      </c>
      <c r="C14" s="22" t="s">
        <v>50</v>
      </c>
      <c r="D14" s="23" t="s">
        <v>45</v>
      </c>
      <c r="E14" s="23" t="s">
        <v>45</v>
      </c>
      <c r="F14" s="24">
        <v>0</v>
      </c>
      <c r="G14" s="23" t="s">
        <v>46</v>
      </c>
    </row>
    <row r="15" spans="2:10" x14ac:dyDescent="0.25">
      <c r="B15" s="35" t="s">
        <v>51</v>
      </c>
      <c r="C15" s="22" t="s">
        <v>52</v>
      </c>
      <c r="D15" s="23" t="s">
        <v>45</v>
      </c>
      <c r="E15" s="23" t="s">
        <v>45</v>
      </c>
      <c r="F15" s="24">
        <v>0</v>
      </c>
      <c r="G15" s="23" t="s">
        <v>46</v>
      </c>
    </row>
    <row r="17" spans="2:7" x14ac:dyDescent="0.25">
      <c r="B17" s="36" t="s">
        <v>53</v>
      </c>
      <c r="C17" s="7" t="s">
        <v>54</v>
      </c>
      <c r="D17" s="7"/>
      <c r="E17" s="7"/>
      <c r="F17" s="7"/>
      <c r="G17" s="7"/>
    </row>
  </sheetData>
  <mergeCells count="1">
    <mergeCell ref="C17:G17"/>
  </mergeCells>
  <pageMargins left="0.3" right="0.3" top="0.5" bottom="0.5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0505E"/>
    <pageSetUpPr fitToPage="1"/>
  </sheetPr>
  <dimension ref="B2:J16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5" customWidth="1"/>
    <col min="3" max="3" width="22" customWidth="1"/>
    <col min="4" max="4" width="10" customWidth="1"/>
    <col min="5" max="5" width="16" customWidth="1"/>
    <col min="6" max="7" width="15" customWidth="1"/>
    <col min="8" max="8" width="14" customWidth="1"/>
    <col min="9" max="9" width="26" customWidth="1"/>
    <col min="10" max="10" width="13" customWidth="1"/>
  </cols>
  <sheetData>
    <row r="2" spans="2:10" ht="26.25" x14ac:dyDescent="0.4">
      <c r="B2" s="15" t="s">
        <v>55</v>
      </c>
    </row>
    <row r="3" spans="2:10" x14ac:dyDescent="0.25">
      <c r="B3" s="16" t="s">
        <v>56</v>
      </c>
    </row>
    <row r="5" spans="2:10" ht="30" customHeight="1" x14ac:dyDescent="0.25">
      <c r="B5" s="37" t="s">
        <v>57</v>
      </c>
      <c r="C5" s="37" t="s">
        <v>58</v>
      </c>
      <c r="D5" s="37" t="s">
        <v>59</v>
      </c>
      <c r="E5" s="37" t="s">
        <v>60</v>
      </c>
      <c r="F5" s="37" t="s">
        <v>61</v>
      </c>
      <c r="G5" s="37" t="s">
        <v>62</v>
      </c>
      <c r="H5" s="37" t="s">
        <v>63</v>
      </c>
      <c r="I5" s="37" t="s">
        <v>64</v>
      </c>
      <c r="J5" s="37" t="s">
        <v>65</v>
      </c>
    </row>
    <row r="6" spans="2:10" x14ac:dyDescent="0.25">
      <c r="B6" s="38">
        <v>1</v>
      </c>
      <c r="C6" s="39" t="s">
        <v>66</v>
      </c>
      <c r="D6" s="40" t="s">
        <v>67</v>
      </c>
      <c r="E6" s="39" t="s">
        <v>68</v>
      </c>
      <c r="F6" s="40" t="s">
        <v>69</v>
      </c>
      <c r="G6" s="41">
        <v>40</v>
      </c>
      <c r="H6" s="42">
        <v>32</v>
      </c>
      <c r="I6" s="39" t="s">
        <v>70</v>
      </c>
      <c r="J6" s="43">
        <v>43525</v>
      </c>
    </row>
    <row r="7" spans="2:10" x14ac:dyDescent="0.25">
      <c r="B7" s="38">
        <v>2</v>
      </c>
      <c r="C7" s="39" t="s">
        <v>71</v>
      </c>
      <c r="D7" s="40" t="s">
        <v>67</v>
      </c>
      <c r="E7" s="39" t="s">
        <v>72</v>
      </c>
      <c r="F7" s="40" t="s">
        <v>69</v>
      </c>
      <c r="G7" s="41">
        <v>40</v>
      </c>
      <c r="H7" s="42">
        <v>26.5</v>
      </c>
      <c r="I7" s="39" t="s">
        <v>73</v>
      </c>
      <c r="J7" s="43">
        <v>44089</v>
      </c>
    </row>
    <row r="8" spans="2:10" x14ac:dyDescent="0.25">
      <c r="B8" s="38">
        <v>3</v>
      </c>
      <c r="C8" s="39" t="s">
        <v>74</v>
      </c>
      <c r="D8" s="40" t="s">
        <v>67</v>
      </c>
      <c r="E8" s="39" t="s">
        <v>72</v>
      </c>
      <c r="F8" s="40" t="s">
        <v>75</v>
      </c>
      <c r="G8" s="41">
        <v>30</v>
      </c>
      <c r="H8" s="42">
        <v>25</v>
      </c>
      <c r="I8" s="39" t="s">
        <v>76</v>
      </c>
      <c r="J8" s="43">
        <v>44207</v>
      </c>
    </row>
    <row r="9" spans="2:10" x14ac:dyDescent="0.25">
      <c r="B9" s="38">
        <v>4</v>
      </c>
      <c r="C9" s="39" t="s">
        <v>77</v>
      </c>
      <c r="D9" s="40" t="s">
        <v>78</v>
      </c>
      <c r="E9" s="39" t="s">
        <v>72</v>
      </c>
      <c r="F9" s="40" t="s">
        <v>69</v>
      </c>
      <c r="G9" s="41">
        <v>40</v>
      </c>
      <c r="H9" s="42">
        <v>26.5</v>
      </c>
      <c r="I9" s="39" t="s">
        <v>79</v>
      </c>
      <c r="J9" s="43">
        <v>43255</v>
      </c>
    </row>
    <row r="10" spans="2:10" x14ac:dyDescent="0.25">
      <c r="B10" s="38">
        <v>5</v>
      </c>
      <c r="C10" s="39" t="s">
        <v>80</v>
      </c>
      <c r="D10" s="40" t="s">
        <v>78</v>
      </c>
      <c r="E10" s="39" t="s">
        <v>72</v>
      </c>
      <c r="F10" s="40" t="s">
        <v>75</v>
      </c>
      <c r="G10" s="41">
        <v>25</v>
      </c>
      <c r="H10" s="42">
        <v>24</v>
      </c>
      <c r="I10" s="39" t="s">
        <v>81</v>
      </c>
      <c r="J10" s="43">
        <v>44670</v>
      </c>
    </row>
    <row r="11" spans="2:10" x14ac:dyDescent="0.25">
      <c r="B11" s="38">
        <v>6</v>
      </c>
      <c r="C11" s="39" t="s">
        <v>82</v>
      </c>
      <c r="D11" s="40" t="s">
        <v>78</v>
      </c>
      <c r="E11" s="39" t="s">
        <v>83</v>
      </c>
      <c r="F11" s="40" t="s">
        <v>84</v>
      </c>
      <c r="G11" s="41">
        <v>12</v>
      </c>
      <c r="H11" s="42">
        <v>15.5</v>
      </c>
      <c r="I11" s="39" t="s">
        <v>85</v>
      </c>
      <c r="J11" s="43">
        <v>45323</v>
      </c>
    </row>
    <row r="12" spans="2:10" x14ac:dyDescent="0.25">
      <c r="B12" s="38">
        <v>7</v>
      </c>
      <c r="C12" s="39" t="s">
        <v>86</v>
      </c>
      <c r="D12" s="40" t="s">
        <v>87</v>
      </c>
      <c r="E12" s="39" t="s">
        <v>68</v>
      </c>
      <c r="F12" s="40" t="s">
        <v>69</v>
      </c>
      <c r="G12" s="41">
        <v>40</v>
      </c>
      <c r="H12" s="42">
        <v>31</v>
      </c>
      <c r="I12" s="39" t="s">
        <v>88</v>
      </c>
      <c r="J12" s="43">
        <v>43031</v>
      </c>
    </row>
    <row r="13" spans="2:10" x14ac:dyDescent="0.25">
      <c r="B13" s="38">
        <v>8</v>
      </c>
      <c r="C13" s="39" t="s">
        <v>89</v>
      </c>
      <c r="D13" s="40" t="s">
        <v>87</v>
      </c>
      <c r="E13" s="39" t="s">
        <v>72</v>
      </c>
      <c r="F13" s="40" t="s">
        <v>69</v>
      </c>
      <c r="G13" s="41">
        <v>40</v>
      </c>
      <c r="H13" s="42">
        <v>26</v>
      </c>
      <c r="I13" s="39" t="s">
        <v>90</v>
      </c>
      <c r="J13" s="43">
        <v>43689</v>
      </c>
    </row>
    <row r="14" spans="2:10" x14ac:dyDescent="0.25">
      <c r="B14" s="38">
        <v>9</v>
      </c>
      <c r="C14" s="39" t="s">
        <v>91</v>
      </c>
      <c r="D14" s="40" t="s">
        <v>87</v>
      </c>
      <c r="E14" s="39" t="s">
        <v>92</v>
      </c>
      <c r="F14" s="40" t="s">
        <v>92</v>
      </c>
      <c r="G14" s="41">
        <v>20</v>
      </c>
      <c r="H14" s="42">
        <v>18</v>
      </c>
      <c r="I14" s="39" t="s">
        <v>76</v>
      </c>
      <c r="J14" s="43">
        <v>45201</v>
      </c>
    </row>
    <row r="15" spans="2:10" x14ac:dyDescent="0.25">
      <c r="B15" s="38">
        <v>10</v>
      </c>
      <c r="C15" s="39" t="s">
        <v>93</v>
      </c>
      <c r="D15" s="40" t="s">
        <v>67</v>
      </c>
      <c r="E15" s="39" t="s">
        <v>94</v>
      </c>
      <c r="F15" s="40" t="s">
        <v>94</v>
      </c>
      <c r="G15" s="41">
        <v>35</v>
      </c>
      <c r="H15" s="42">
        <v>14.5</v>
      </c>
      <c r="I15" s="39" t="s">
        <v>95</v>
      </c>
      <c r="J15" s="43">
        <v>45870</v>
      </c>
    </row>
    <row r="16" spans="2:10" x14ac:dyDescent="0.25">
      <c r="B16" s="44"/>
      <c r="C16" s="45" t="s">
        <v>96</v>
      </c>
      <c r="D16" s="46" t="str">
        <f>COUNTA(C6:C15)&amp;" MA"</f>
        <v>10 MA</v>
      </c>
      <c r="E16" s="44"/>
      <c r="F16" s="44"/>
      <c r="G16" s="47">
        <f>SUM(G6:G15)</f>
        <v>322</v>
      </c>
      <c r="H16" s="48">
        <f>AVERAGE(H6:H15)</f>
        <v>23.9</v>
      </c>
      <c r="I16" s="44"/>
      <c r="J16" s="44"/>
    </row>
  </sheetData>
  <dataValidations count="2">
    <dataValidation type="list" allowBlank="1" sqref="F6:F15" xr:uid="{00000000-0002-0000-0100-000000000000}">
      <formula1>"Vollzeit,Teilzeit,Minijob,Werkstudent,Auszubildende"</formula1>
      <formula2>0</formula2>
    </dataValidation>
    <dataValidation type="list" allowBlank="1" sqref="D6:D15" xr:uid="{00000000-0002-0000-0100-000001000000}">
      <formula1>"Team A,Team B,Team C"</formula1>
      <formula2>0</formula2>
    </dataValidation>
  </dataValidations>
  <pageMargins left="0.3" right="0.3" top="0.5" bottom="0.5" header="0.511811023622047" footer="0.511811023622047"/>
  <pageSetup paperSize="9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98C00"/>
    <pageSetUpPr fitToPage="1"/>
  </sheetPr>
  <dimension ref="A1:AN23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8.7109375" defaultRowHeight="15" x14ac:dyDescent="0.25"/>
  <cols>
    <col min="1" max="1" width="4" customWidth="1"/>
    <col min="2" max="2" width="20" customWidth="1"/>
    <col min="3" max="3" width="9" customWidth="1"/>
    <col min="4" max="34" width="3.7109375" customWidth="1"/>
    <col min="35" max="40" width="6.5703125" customWidth="1"/>
  </cols>
  <sheetData>
    <row r="1" spans="1:40" ht="28.5" x14ac:dyDescent="0.45">
      <c r="B1" s="49" t="s">
        <v>97</v>
      </c>
    </row>
    <row r="2" spans="1:40" x14ac:dyDescent="0.25">
      <c r="B2" s="50" t="s">
        <v>98</v>
      </c>
    </row>
    <row r="4" spans="1:40" ht="21.75" customHeight="1" x14ac:dyDescent="0.25">
      <c r="B4" s="51" t="s">
        <v>99</v>
      </c>
      <c r="C4" s="14">
        <v>46266</v>
      </c>
      <c r="D4" s="14"/>
      <c r="E4" s="14"/>
      <c r="F4" s="14"/>
      <c r="H4" s="13" t="s">
        <v>100</v>
      </c>
      <c r="I4" s="13"/>
      <c r="J4" s="13"/>
      <c r="K4" s="13"/>
      <c r="L4" s="13"/>
      <c r="M4" s="13"/>
      <c r="N4" s="13"/>
      <c r="O4" s="12">
        <f>SUMPRODUCT((MONTH(D6:AH6)=MONTH($C$4))*(WEEKDAY(D6:AH6,2)&lt;6))</f>
        <v>22</v>
      </c>
      <c r="P4" s="12"/>
      <c r="R4" s="13" t="s">
        <v>101</v>
      </c>
      <c r="S4" s="13"/>
      <c r="T4" s="13"/>
      <c r="U4" s="13"/>
      <c r="V4" s="13"/>
      <c r="W4" s="13"/>
      <c r="X4" s="12" t="str">
        <f>WEEKNUM($C$4,21)&amp;" – "&amp;WEEKNUM(EOMONTH($C$4,0),21)</f>
        <v>36 – 40</v>
      </c>
      <c r="Y4" s="12"/>
      <c r="AA4" s="13" t="s">
        <v>102</v>
      </c>
      <c r="AB4" s="13"/>
      <c r="AC4" s="13"/>
      <c r="AD4" s="13"/>
      <c r="AE4" s="13"/>
      <c r="AF4" s="12">
        <f>COUNTA(Mitarbeiter!C6:C15)</f>
        <v>10</v>
      </c>
      <c r="AG4" s="12"/>
    </row>
    <row r="6" spans="1:40" hidden="1" x14ac:dyDescent="0.25">
      <c r="D6" s="52">
        <f>$C$4</f>
        <v>46266</v>
      </c>
      <c r="E6" s="53">
        <f t="shared" ref="E6:AH6" si="0">D6+1</f>
        <v>46267</v>
      </c>
      <c r="F6" s="53">
        <f t="shared" si="0"/>
        <v>46268</v>
      </c>
      <c r="G6" s="53">
        <f t="shared" si="0"/>
        <v>46269</v>
      </c>
      <c r="H6" s="53">
        <f t="shared" si="0"/>
        <v>46270</v>
      </c>
      <c r="I6" s="53">
        <f t="shared" si="0"/>
        <v>46271</v>
      </c>
      <c r="J6" s="53">
        <f t="shared" si="0"/>
        <v>46272</v>
      </c>
      <c r="K6" s="53">
        <f t="shared" si="0"/>
        <v>46273</v>
      </c>
      <c r="L6" s="53">
        <f t="shared" si="0"/>
        <v>46274</v>
      </c>
      <c r="M6" s="53">
        <f t="shared" si="0"/>
        <v>46275</v>
      </c>
      <c r="N6" s="53">
        <f t="shared" si="0"/>
        <v>46276</v>
      </c>
      <c r="O6" s="53">
        <f t="shared" si="0"/>
        <v>46277</v>
      </c>
      <c r="P6" s="53">
        <f t="shared" si="0"/>
        <v>46278</v>
      </c>
      <c r="Q6" s="53">
        <f t="shared" si="0"/>
        <v>46279</v>
      </c>
      <c r="R6" s="53">
        <f t="shared" si="0"/>
        <v>46280</v>
      </c>
      <c r="S6" s="53">
        <f t="shared" si="0"/>
        <v>46281</v>
      </c>
      <c r="T6" s="53">
        <f t="shared" si="0"/>
        <v>46282</v>
      </c>
      <c r="U6" s="53">
        <f t="shared" si="0"/>
        <v>46283</v>
      </c>
      <c r="V6" s="53">
        <f t="shared" si="0"/>
        <v>46284</v>
      </c>
      <c r="W6" s="53">
        <f t="shared" si="0"/>
        <v>46285</v>
      </c>
      <c r="X6" s="53">
        <f t="shared" si="0"/>
        <v>46286</v>
      </c>
      <c r="Y6" s="53">
        <f t="shared" si="0"/>
        <v>46287</v>
      </c>
      <c r="Z6" s="53">
        <f t="shared" si="0"/>
        <v>46288</v>
      </c>
      <c r="AA6" s="53">
        <f t="shared" si="0"/>
        <v>46289</v>
      </c>
      <c r="AB6" s="53">
        <f t="shared" si="0"/>
        <v>46290</v>
      </c>
      <c r="AC6" s="53">
        <f t="shared" si="0"/>
        <v>46291</v>
      </c>
      <c r="AD6" s="53">
        <f t="shared" si="0"/>
        <v>46292</v>
      </c>
      <c r="AE6" s="53">
        <f t="shared" si="0"/>
        <v>46293</v>
      </c>
      <c r="AF6" s="53">
        <f t="shared" si="0"/>
        <v>46294</v>
      </c>
      <c r="AG6" s="53">
        <f t="shared" si="0"/>
        <v>46295</v>
      </c>
      <c r="AH6" s="53">
        <f t="shared" si="0"/>
        <v>46296</v>
      </c>
    </row>
    <row r="7" spans="1:40" x14ac:dyDescent="0.25">
      <c r="A7" s="11" t="s">
        <v>103</v>
      </c>
      <c r="B7" s="10" t="s">
        <v>58</v>
      </c>
      <c r="C7" s="9" t="s">
        <v>59</v>
      </c>
      <c r="D7" s="54">
        <f t="shared" ref="D7:AH7" si="1">IF(MONTH(D6)=MONTH($C$4),DAY(D6),"")</f>
        <v>1</v>
      </c>
      <c r="E7" s="54">
        <f t="shared" si="1"/>
        <v>2</v>
      </c>
      <c r="F7" s="54">
        <f t="shared" si="1"/>
        <v>3</v>
      </c>
      <c r="G7" s="54">
        <f t="shared" si="1"/>
        <v>4</v>
      </c>
      <c r="H7" s="54">
        <f t="shared" si="1"/>
        <v>5</v>
      </c>
      <c r="I7" s="54">
        <f t="shared" si="1"/>
        <v>6</v>
      </c>
      <c r="J7" s="54">
        <f t="shared" si="1"/>
        <v>7</v>
      </c>
      <c r="K7" s="54">
        <f t="shared" si="1"/>
        <v>8</v>
      </c>
      <c r="L7" s="54">
        <f t="shared" si="1"/>
        <v>9</v>
      </c>
      <c r="M7" s="54">
        <f t="shared" si="1"/>
        <v>10</v>
      </c>
      <c r="N7" s="54">
        <f t="shared" si="1"/>
        <v>11</v>
      </c>
      <c r="O7" s="54">
        <f t="shared" si="1"/>
        <v>12</v>
      </c>
      <c r="P7" s="54">
        <f t="shared" si="1"/>
        <v>13</v>
      </c>
      <c r="Q7" s="54">
        <f t="shared" si="1"/>
        <v>14</v>
      </c>
      <c r="R7" s="54">
        <f t="shared" si="1"/>
        <v>15</v>
      </c>
      <c r="S7" s="54">
        <f t="shared" si="1"/>
        <v>16</v>
      </c>
      <c r="T7" s="54">
        <f t="shared" si="1"/>
        <v>17</v>
      </c>
      <c r="U7" s="54">
        <f t="shared" si="1"/>
        <v>18</v>
      </c>
      <c r="V7" s="54">
        <f t="shared" si="1"/>
        <v>19</v>
      </c>
      <c r="W7" s="54">
        <f t="shared" si="1"/>
        <v>20</v>
      </c>
      <c r="X7" s="54">
        <f t="shared" si="1"/>
        <v>21</v>
      </c>
      <c r="Y7" s="54">
        <f t="shared" si="1"/>
        <v>22</v>
      </c>
      <c r="Z7" s="54">
        <f t="shared" si="1"/>
        <v>23</v>
      </c>
      <c r="AA7" s="54">
        <f t="shared" si="1"/>
        <v>24</v>
      </c>
      <c r="AB7" s="54">
        <f t="shared" si="1"/>
        <v>25</v>
      </c>
      <c r="AC7" s="54">
        <f t="shared" si="1"/>
        <v>26</v>
      </c>
      <c r="AD7" s="54">
        <f t="shared" si="1"/>
        <v>27</v>
      </c>
      <c r="AE7" s="54">
        <f t="shared" si="1"/>
        <v>28</v>
      </c>
      <c r="AF7" s="54">
        <f t="shared" si="1"/>
        <v>29</v>
      </c>
      <c r="AG7" s="54">
        <f t="shared" si="1"/>
        <v>30</v>
      </c>
      <c r="AH7" s="54" t="str">
        <f t="shared" si="1"/>
        <v/>
      </c>
      <c r="AI7" s="8" t="s">
        <v>104</v>
      </c>
      <c r="AJ7" s="8" t="s">
        <v>105</v>
      </c>
      <c r="AK7" s="8" t="s">
        <v>106</v>
      </c>
      <c r="AL7" s="8" t="s">
        <v>43</v>
      </c>
      <c r="AM7" s="8" t="s">
        <v>47</v>
      </c>
      <c r="AN7" s="8" t="s">
        <v>37</v>
      </c>
    </row>
    <row r="8" spans="1:40" x14ac:dyDescent="0.25">
      <c r="A8" s="11"/>
      <c r="B8" s="11"/>
      <c r="C8" s="11"/>
      <c r="D8" s="55" t="str">
        <f t="shared" ref="D8:AH8" si="2">IF(MONTH(D6)=MONTH($C$4),CHOOSE(WEEKDAY(D6,2),"Mo","Di","Mi","Do","Fr","Sa","So"),"")</f>
        <v>Di</v>
      </c>
      <c r="E8" s="55" t="str">
        <f t="shared" si="2"/>
        <v>Mi</v>
      </c>
      <c r="F8" s="55" t="str">
        <f t="shared" si="2"/>
        <v>Do</v>
      </c>
      <c r="G8" s="55" t="str">
        <f t="shared" si="2"/>
        <v>Fr</v>
      </c>
      <c r="H8" s="55" t="str">
        <f t="shared" si="2"/>
        <v>Sa</v>
      </c>
      <c r="I8" s="55" t="str">
        <f t="shared" si="2"/>
        <v>So</v>
      </c>
      <c r="J8" s="55" t="str">
        <f t="shared" si="2"/>
        <v>Mo</v>
      </c>
      <c r="K8" s="55" t="str">
        <f t="shared" si="2"/>
        <v>Di</v>
      </c>
      <c r="L8" s="55" t="str">
        <f t="shared" si="2"/>
        <v>Mi</v>
      </c>
      <c r="M8" s="55" t="str">
        <f t="shared" si="2"/>
        <v>Do</v>
      </c>
      <c r="N8" s="55" t="str">
        <f t="shared" si="2"/>
        <v>Fr</v>
      </c>
      <c r="O8" s="55" t="str">
        <f t="shared" si="2"/>
        <v>Sa</v>
      </c>
      <c r="P8" s="55" t="str">
        <f t="shared" si="2"/>
        <v>So</v>
      </c>
      <c r="Q8" s="55" t="str">
        <f t="shared" si="2"/>
        <v>Mo</v>
      </c>
      <c r="R8" s="55" t="str">
        <f t="shared" si="2"/>
        <v>Di</v>
      </c>
      <c r="S8" s="55" t="str">
        <f t="shared" si="2"/>
        <v>Mi</v>
      </c>
      <c r="T8" s="55" t="str">
        <f t="shared" si="2"/>
        <v>Do</v>
      </c>
      <c r="U8" s="55" t="str">
        <f t="shared" si="2"/>
        <v>Fr</v>
      </c>
      <c r="V8" s="55" t="str">
        <f t="shared" si="2"/>
        <v>Sa</v>
      </c>
      <c r="W8" s="55" t="str">
        <f t="shared" si="2"/>
        <v>So</v>
      </c>
      <c r="X8" s="55" t="str">
        <f t="shared" si="2"/>
        <v>Mo</v>
      </c>
      <c r="Y8" s="55" t="str">
        <f t="shared" si="2"/>
        <v>Di</v>
      </c>
      <c r="Z8" s="55" t="str">
        <f t="shared" si="2"/>
        <v>Mi</v>
      </c>
      <c r="AA8" s="55" t="str">
        <f t="shared" si="2"/>
        <v>Do</v>
      </c>
      <c r="AB8" s="55" t="str">
        <f t="shared" si="2"/>
        <v>Fr</v>
      </c>
      <c r="AC8" s="55" t="str">
        <f t="shared" si="2"/>
        <v>Sa</v>
      </c>
      <c r="AD8" s="55" t="str">
        <f t="shared" si="2"/>
        <v>So</v>
      </c>
      <c r="AE8" s="55" t="str">
        <f t="shared" si="2"/>
        <v>Mo</v>
      </c>
      <c r="AF8" s="55" t="str">
        <f t="shared" si="2"/>
        <v>Di</v>
      </c>
      <c r="AG8" s="55" t="str">
        <f t="shared" si="2"/>
        <v>Mi</v>
      </c>
      <c r="AH8" s="55" t="str">
        <f t="shared" si="2"/>
        <v/>
      </c>
      <c r="AI8" s="8"/>
      <c r="AJ8" s="8"/>
      <c r="AK8" s="8"/>
      <c r="AL8" s="8"/>
      <c r="AM8" s="8"/>
      <c r="AN8" s="8"/>
    </row>
    <row r="9" spans="1:40" ht="18" customHeight="1" x14ac:dyDescent="0.25">
      <c r="A9" s="56">
        <f>Mitarbeiter!B6</f>
        <v>1</v>
      </c>
      <c r="B9" s="57" t="str">
        <f>Mitarbeiter!C6</f>
        <v>Anna Bergmann</v>
      </c>
      <c r="C9" s="58" t="str">
        <f>Mitarbeiter!D6</f>
        <v>Team A</v>
      </c>
      <c r="D9" s="59" t="s">
        <v>10</v>
      </c>
      <c r="E9" s="59" t="s">
        <v>10</v>
      </c>
      <c r="F9" s="59" t="s">
        <v>10</v>
      </c>
      <c r="G9" s="59" t="s">
        <v>10</v>
      </c>
      <c r="H9" s="59" t="s">
        <v>49</v>
      </c>
      <c r="I9" s="59" t="s">
        <v>49</v>
      </c>
      <c r="J9" s="59" t="s">
        <v>10</v>
      </c>
      <c r="K9" s="59" t="s">
        <v>10</v>
      </c>
      <c r="L9" s="59" t="s">
        <v>10</v>
      </c>
      <c r="M9" s="59" t="s">
        <v>10</v>
      </c>
      <c r="N9" s="59" t="s">
        <v>10</v>
      </c>
      <c r="O9" s="59" t="s">
        <v>49</v>
      </c>
      <c r="P9" s="59" t="s">
        <v>49</v>
      </c>
      <c r="Q9" s="59" t="s">
        <v>10</v>
      </c>
      <c r="R9" s="59" t="s">
        <v>10</v>
      </c>
      <c r="S9" s="59" t="s">
        <v>10</v>
      </c>
      <c r="T9" s="59" t="s">
        <v>10</v>
      </c>
      <c r="U9" s="59" t="s">
        <v>10</v>
      </c>
      <c r="V9" s="59" t="s">
        <v>49</v>
      </c>
      <c r="W9" s="59" t="s">
        <v>49</v>
      </c>
      <c r="X9" s="59" t="s">
        <v>10</v>
      </c>
      <c r="Y9" s="59" t="s">
        <v>10</v>
      </c>
      <c r="Z9" s="59" t="s">
        <v>10</v>
      </c>
      <c r="AA9" s="59" t="s">
        <v>10</v>
      </c>
      <c r="AB9" s="59" t="s">
        <v>10</v>
      </c>
      <c r="AC9" s="59" t="s">
        <v>49</v>
      </c>
      <c r="AD9" s="59" t="s">
        <v>49</v>
      </c>
      <c r="AE9" s="59" t="s">
        <v>10</v>
      </c>
      <c r="AF9" s="59" t="s">
        <v>10</v>
      </c>
      <c r="AG9" s="59" t="s">
        <v>10</v>
      </c>
      <c r="AH9" s="59"/>
      <c r="AI9" s="60">
        <f>SUMPRODUCT(COUNTIF(D9:AH9,Schichten!$B$6:$B$11),Schichten!$F$6:$F$11)</f>
        <v>165</v>
      </c>
      <c r="AJ9" s="61">
        <f>Mitarbeiter!G6/5*$O$4</f>
        <v>176</v>
      </c>
      <c r="AK9" s="62">
        <f t="shared" ref="AK9:AK18" si="3">AI9-AJ9</f>
        <v>-11</v>
      </c>
      <c r="AL9" s="58">
        <f t="shared" ref="AL9:AL18" si="4">COUNTIF(D9:AH9,"U")</f>
        <v>0</v>
      </c>
      <c r="AM9" s="58">
        <f t="shared" ref="AM9:AM18" si="5">COUNTIF(D9:AH9,"K")</f>
        <v>0</v>
      </c>
      <c r="AN9" s="58">
        <f t="shared" ref="AN9:AN18" si="6">COUNTIF(D9:AH9,"FB")</f>
        <v>0</v>
      </c>
    </row>
    <row r="10" spans="1:40" ht="18" customHeight="1" x14ac:dyDescent="0.25">
      <c r="A10" s="56">
        <f>Mitarbeiter!B7</f>
        <v>2</v>
      </c>
      <c r="B10" s="57" t="str">
        <f>Mitarbeiter!C7</f>
        <v>Tobias Krüger</v>
      </c>
      <c r="C10" s="58" t="str">
        <f>Mitarbeiter!D7</f>
        <v>Team A</v>
      </c>
      <c r="D10" s="59" t="s">
        <v>10</v>
      </c>
      <c r="E10" s="59" t="s">
        <v>10</v>
      </c>
      <c r="F10" s="59" t="s">
        <v>10</v>
      </c>
      <c r="G10" s="59" t="s">
        <v>10</v>
      </c>
      <c r="H10" s="59" t="s">
        <v>49</v>
      </c>
      <c r="I10" s="59" t="s">
        <v>49</v>
      </c>
      <c r="J10" s="59" t="s">
        <v>17</v>
      </c>
      <c r="K10" s="59" t="s">
        <v>17</v>
      </c>
      <c r="L10" s="59" t="s">
        <v>17</v>
      </c>
      <c r="M10" s="59" t="s">
        <v>17</v>
      </c>
      <c r="N10" s="59" t="s">
        <v>17</v>
      </c>
      <c r="O10" s="59" t="s">
        <v>17</v>
      </c>
      <c r="P10" s="59" t="s">
        <v>49</v>
      </c>
      <c r="Q10" s="59" t="s">
        <v>10</v>
      </c>
      <c r="R10" s="59" t="s">
        <v>10</v>
      </c>
      <c r="S10" s="59" t="s">
        <v>10</v>
      </c>
      <c r="T10" s="59" t="s">
        <v>10</v>
      </c>
      <c r="U10" s="59" t="s">
        <v>10</v>
      </c>
      <c r="V10" s="59" t="s">
        <v>49</v>
      </c>
      <c r="W10" s="59" t="s">
        <v>49</v>
      </c>
      <c r="X10" s="59" t="s">
        <v>17</v>
      </c>
      <c r="Y10" s="59" t="s">
        <v>17</v>
      </c>
      <c r="Z10" s="59" t="s">
        <v>17</v>
      </c>
      <c r="AA10" s="59" t="s">
        <v>17</v>
      </c>
      <c r="AB10" s="59" t="s">
        <v>17</v>
      </c>
      <c r="AC10" s="59" t="s">
        <v>17</v>
      </c>
      <c r="AD10" s="59" t="s">
        <v>49</v>
      </c>
      <c r="AE10" s="59" t="s">
        <v>10</v>
      </c>
      <c r="AF10" s="59" t="s">
        <v>10</v>
      </c>
      <c r="AG10" s="59" t="s">
        <v>10</v>
      </c>
      <c r="AH10" s="59"/>
      <c r="AI10" s="60">
        <f>SUMPRODUCT(COUNTIF(D10:AH10,Schichten!$B$6:$B$11),Schichten!$F$6:$F$11)</f>
        <v>180</v>
      </c>
      <c r="AJ10" s="61">
        <f>Mitarbeiter!G7/5*$O$4</f>
        <v>176</v>
      </c>
      <c r="AK10" s="62">
        <f t="shared" si="3"/>
        <v>4</v>
      </c>
      <c r="AL10" s="58">
        <f t="shared" si="4"/>
        <v>0</v>
      </c>
      <c r="AM10" s="58">
        <f t="shared" si="5"/>
        <v>0</v>
      </c>
      <c r="AN10" s="58">
        <f t="shared" si="6"/>
        <v>0</v>
      </c>
    </row>
    <row r="11" spans="1:40" ht="18" customHeight="1" x14ac:dyDescent="0.25">
      <c r="A11" s="56">
        <f>Mitarbeiter!B8</f>
        <v>3</v>
      </c>
      <c r="B11" s="57" t="str">
        <f>Mitarbeiter!C8</f>
        <v>Sandra Vogel</v>
      </c>
      <c r="C11" s="58" t="str">
        <f>Mitarbeiter!D8</f>
        <v>Team A</v>
      </c>
      <c r="D11" s="59" t="s">
        <v>26</v>
      </c>
      <c r="E11" s="59" t="s">
        <v>26</v>
      </c>
      <c r="F11" s="59" t="s">
        <v>26</v>
      </c>
      <c r="G11" s="59" t="s">
        <v>49</v>
      </c>
      <c r="H11" s="59" t="s">
        <v>49</v>
      </c>
      <c r="I11" s="59" t="s">
        <v>49</v>
      </c>
      <c r="J11" s="59" t="s">
        <v>26</v>
      </c>
      <c r="K11" s="59" t="s">
        <v>26</v>
      </c>
      <c r="L11" s="59" t="s">
        <v>26</v>
      </c>
      <c r="M11" s="59" t="s">
        <v>26</v>
      </c>
      <c r="N11" s="59" t="s">
        <v>49</v>
      </c>
      <c r="O11" s="59" t="s">
        <v>49</v>
      </c>
      <c r="P11" s="59" t="s">
        <v>49</v>
      </c>
      <c r="Q11" s="59" t="s">
        <v>43</v>
      </c>
      <c r="R11" s="59" t="s">
        <v>43</v>
      </c>
      <c r="S11" s="59" t="s">
        <v>43</v>
      </c>
      <c r="T11" s="59" t="s">
        <v>43</v>
      </c>
      <c r="U11" s="59" t="s">
        <v>43</v>
      </c>
      <c r="V11" s="59" t="s">
        <v>49</v>
      </c>
      <c r="W11" s="59" t="s">
        <v>49</v>
      </c>
      <c r="X11" s="59" t="s">
        <v>26</v>
      </c>
      <c r="Y11" s="59" t="s">
        <v>26</v>
      </c>
      <c r="Z11" s="59" t="s">
        <v>26</v>
      </c>
      <c r="AA11" s="59" t="s">
        <v>26</v>
      </c>
      <c r="AB11" s="59" t="s">
        <v>49</v>
      </c>
      <c r="AC11" s="59" t="s">
        <v>49</v>
      </c>
      <c r="AD11" s="59" t="s">
        <v>49</v>
      </c>
      <c r="AE11" s="59" t="s">
        <v>26</v>
      </c>
      <c r="AF11" s="59" t="s">
        <v>26</v>
      </c>
      <c r="AG11" s="59" t="s">
        <v>26</v>
      </c>
      <c r="AH11" s="59"/>
      <c r="AI11" s="60">
        <f>SUMPRODUCT(COUNTIF(D11:AH11,Schichten!$B$6:$B$11),Schichten!$F$6:$F$11)</f>
        <v>105</v>
      </c>
      <c r="AJ11" s="61">
        <f>Mitarbeiter!G8/5*$O$4</f>
        <v>132</v>
      </c>
      <c r="AK11" s="62">
        <f t="shared" si="3"/>
        <v>-27</v>
      </c>
      <c r="AL11" s="58">
        <f t="shared" si="4"/>
        <v>5</v>
      </c>
      <c r="AM11" s="58">
        <f t="shared" si="5"/>
        <v>0</v>
      </c>
      <c r="AN11" s="58">
        <f t="shared" si="6"/>
        <v>0</v>
      </c>
    </row>
    <row r="12" spans="1:40" ht="18" customHeight="1" x14ac:dyDescent="0.25">
      <c r="A12" s="56">
        <f>Mitarbeiter!B9</f>
        <v>4</v>
      </c>
      <c r="B12" s="57" t="str">
        <f>Mitarbeiter!C9</f>
        <v>Mehmet Yıldız</v>
      </c>
      <c r="C12" s="58" t="str">
        <f>Mitarbeiter!D9</f>
        <v>Team B</v>
      </c>
      <c r="D12" s="59" t="s">
        <v>17</v>
      </c>
      <c r="E12" s="59" t="s">
        <v>17</v>
      </c>
      <c r="F12" s="59" t="s">
        <v>17</v>
      </c>
      <c r="G12" s="59" t="s">
        <v>17</v>
      </c>
      <c r="H12" s="59" t="s">
        <v>49</v>
      </c>
      <c r="I12" s="59" t="s">
        <v>49</v>
      </c>
      <c r="J12" s="59" t="s">
        <v>17</v>
      </c>
      <c r="K12" s="59" t="s">
        <v>47</v>
      </c>
      <c r="L12" s="59" t="s">
        <v>47</v>
      </c>
      <c r="M12" s="59" t="s">
        <v>17</v>
      </c>
      <c r="N12" s="59" t="s">
        <v>17</v>
      </c>
      <c r="O12" s="59" t="s">
        <v>49</v>
      </c>
      <c r="P12" s="59" t="s">
        <v>49</v>
      </c>
      <c r="Q12" s="59" t="s">
        <v>17</v>
      </c>
      <c r="R12" s="59" t="s">
        <v>17</v>
      </c>
      <c r="S12" s="59" t="s">
        <v>17</v>
      </c>
      <c r="T12" s="59" t="s">
        <v>17</v>
      </c>
      <c r="U12" s="59" t="s">
        <v>17</v>
      </c>
      <c r="V12" s="59" t="s">
        <v>49</v>
      </c>
      <c r="W12" s="59" t="s">
        <v>49</v>
      </c>
      <c r="X12" s="59" t="s">
        <v>17</v>
      </c>
      <c r="Y12" s="59" t="s">
        <v>17</v>
      </c>
      <c r="Z12" s="59" t="s">
        <v>17</v>
      </c>
      <c r="AA12" s="59" t="s">
        <v>17</v>
      </c>
      <c r="AB12" s="59" t="s">
        <v>17</v>
      </c>
      <c r="AC12" s="59" t="s">
        <v>49</v>
      </c>
      <c r="AD12" s="59" t="s">
        <v>49</v>
      </c>
      <c r="AE12" s="59" t="s">
        <v>17</v>
      </c>
      <c r="AF12" s="59" t="s">
        <v>17</v>
      </c>
      <c r="AG12" s="59" t="s">
        <v>17</v>
      </c>
      <c r="AH12" s="59"/>
      <c r="AI12" s="60">
        <f>SUMPRODUCT(COUNTIF(D12:AH12,Schichten!$B$6:$B$11),Schichten!$F$6:$F$11)</f>
        <v>150</v>
      </c>
      <c r="AJ12" s="61">
        <f>Mitarbeiter!G9/5*$O$4</f>
        <v>176</v>
      </c>
      <c r="AK12" s="62">
        <f t="shared" si="3"/>
        <v>-26</v>
      </c>
      <c r="AL12" s="58">
        <f t="shared" si="4"/>
        <v>0</v>
      </c>
      <c r="AM12" s="58">
        <f t="shared" si="5"/>
        <v>2</v>
      </c>
      <c r="AN12" s="58">
        <f t="shared" si="6"/>
        <v>0</v>
      </c>
    </row>
    <row r="13" spans="1:40" ht="18" customHeight="1" x14ac:dyDescent="0.25">
      <c r="A13" s="56">
        <f>Mitarbeiter!B10</f>
        <v>5</v>
      </c>
      <c r="B13" s="57" t="str">
        <f>Mitarbeiter!C10</f>
        <v>Laura Schmitt</v>
      </c>
      <c r="C13" s="58" t="str">
        <f>Mitarbeiter!D10</f>
        <v>Team B</v>
      </c>
      <c r="D13" s="59" t="s">
        <v>49</v>
      </c>
      <c r="E13" s="59" t="s">
        <v>26</v>
      </c>
      <c r="F13" s="59" t="s">
        <v>49</v>
      </c>
      <c r="G13" s="59" t="s">
        <v>26</v>
      </c>
      <c r="H13" s="59" t="s">
        <v>49</v>
      </c>
      <c r="I13" s="59" t="s">
        <v>49</v>
      </c>
      <c r="J13" s="59" t="s">
        <v>26</v>
      </c>
      <c r="K13" s="59" t="s">
        <v>49</v>
      </c>
      <c r="L13" s="59" t="s">
        <v>26</v>
      </c>
      <c r="M13" s="59" t="s">
        <v>49</v>
      </c>
      <c r="N13" s="59" t="s">
        <v>26</v>
      </c>
      <c r="O13" s="59" t="s">
        <v>49</v>
      </c>
      <c r="P13" s="59" t="s">
        <v>49</v>
      </c>
      <c r="Q13" s="59" t="s">
        <v>26</v>
      </c>
      <c r="R13" s="59" t="s">
        <v>49</v>
      </c>
      <c r="S13" s="59" t="s">
        <v>26</v>
      </c>
      <c r="T13" s="59" t="s">
        <v>49</v>
      </c>
      <c r="U13" s="59" t="s">
        <v>26</v>
      </c>
      <c r="V13" s="59" t="s">
        <v>49</v>
      </c>
      <c r="W13" s="59" t="s">
        <v>49</v>
      </c>
      <c r="X13" s="59" t="s">
        <v>26</v>
      </c>
      <c r="Y13" s="59" t="s">
        <v>49</v>
      </c>
      <c r="Z13" s="59" t="s">
        <v>26</v>
      </c>
      <c r="AA13" s="59" t="s">
        <v>49</v>
      </c>
      <c r="AB13" s="59" t="s">
        <v>26</v>
      </c>
      <c r="AC13" s="59" t="s">
        <v>49</v>
      </c>
      <c r="AD13" s="59" t="s">
        <v>49</v>
      </c>
      <c r="AE13" s="59" t="s">
        <v>26</v>
      </c>
      <c r="AF13" s="59" t="s">
        <v>49</v>
      </c>
      <c r="AG13" s="59" t="s">
        <v>26</v>
      </c>
      <c r="AH13" s="59"/>
      <c r="AI13" s="60">
        <f>SUMPRODUCT(COUNTIF(D13:AH13,Schichten!$B$6:$B$11),Schichten!$F$6:$F$11)</f>
        <v>97.5</v>
      </c>
      <c r="AJ13" s="61">
        <f>Mitarbeiter!G10/5*$O$4</f>
        <v>110</v>
      </c>
      <c r="AK13" s="62">
        <f t="shared" si="3"/>
        <v>-12.5</v>
      </c>
      <c r="AL13" s="58">
        <f t="shared" si="4"/>
        <v>0</v>
      </c>
      <c r="AM13" s="58">
        <f t="shared" si="5"/>
        <v>0</v>
      </c>
      <c r="AN13" s="58">
        <f t="shared" si="6"/>
        <v>0</v>
      </c>
    </row>
    <row r="14" spans="1:40" ht="18" customHeight="1" x14ac:dyDescent="0.25">
      <c r="A14" s="56">
        <f>Mitarbeiter!B11</f>
        <v>6</v>
      </c>
      <c r="B14" s="57" t="str">
        <f>Mitarbeiter!C11</f>
        <v>Jonas Wegener</v>
      </c>
      <c r="C14" s="58" t="str">
        <f>Mitarbeiter!D11</f>
        <v>Team B</v>
      </c>
      <c r="D14" s="59" t="s">
        <v>49</v>
      </c>
      <c r="E14" s="59" t="s">
        <v>32</v>
      </c>
      <c r="F14" s="59" t="s">
        <v>49</v>
      </c>
      <c r="G14" s="59" t="s">
        <v>49</v>
      </c>
      <c r="H14" s="59" t="s">
        <v>32</v>
      </c>
      <c r="I14" s="59" t="s">
        <v>32</v>
      </c>
      <c r="J14" s="59" t="s">
        <v>49</v>
      </c>
      <c r="K14" s="59" t="s">
        <v>49</v>
      </c>
      <c r="L14" s="59" t="s">
        <v>32</v>
      </c>
      <c r="M14" s="59" t="s">
        <v>49</v>
      </c>
      <c r="N14" s="59" t="s">
        <v>49</v>
      </c>
      <c r="O14" s="59" t="s">
        <v>32</v>
      </c>
      <c r="P14" s="59" t="s">
        <v>32</v>
      </c>
      <c r="Q14" s="59" t="s">
        <v>49</v>
      </c>
      <c r="R14" s="59" t="s">
        <v>49</v>
      </c>
      <c r="S14" s="59" t="s">
        <v>32</v>
      </c>
      <c r="T14" s="59" t="s">
        <v>49</v>
      </c>
      <c r="U14" s="59" t="s">
        <v>49</v>
      </c>
      <c r="V14" s="59" t="s">
        <v>32</v>
      </c>
      <c r="W14" s="59" t="s">
        <v>32</v>
      </c>
      <c r="X14" s="59" t="s">
        <v>49</v>
      </c>
      <c r="Y14" s="59" t="s">
        <v>49</v>
      </c>
      <c r="Z14" s="59" t="s">
        <v>32</v>
      </c>
      <c r="AA14" s="59" t="s">
        <v>49</v>
      </c>
      <c r="AB14" s="59" t="s">
        <v>49</v>
      </c>
      <c r="AC14" s="59" t="s">
        <v>32</v>
      </c>
      <c r="AD14" s="59" t="s">
        <v>32</v>
      </c>
      <c r="AE14" s="59" t="s">
        <v>49</v>
      </c>
      <c r="AF14" s="59" t="s">
        <v>49</v>
      </c>
      <c r="AG14" s="59" t="s">
        <v>32</v>
      </c>
      <c r="AH14" s="59"/>
      <c r="AI14" s="60">
        <f>SUMPRODUCT(COUNTIF(D14:AH14,Schichten!$B$6:$B$11),Schichten!$F$6:$F$11)</f>
        <v>52</v>
      </c>
      <c r="AJ14" s="61">
        <f>Mitarbeiter!G11/5*$O$4</f>
        <v>52.8</v>
      </c>
      <c r="AK14" s="62">
        <f t="shared" si="3"/>
        <v>-0.79999999999999716</v>
      </c>
      <c r="AL14" s="58">
        <f t="shared" si="4"/>
        <v>0</v>
      </c>
      <c r="AM14" s="58">
        <f t="shared" si="5"/>
        <v>0</v>
      </c>
      <c r="AN14" s="58">
        <f t="shared" si="6"/>
        <v>0</v>
      </c>
    </row>
    <row r="15" spans="1:40" ht="18" customHeight="1" x14ac:dyDescent="0.25">
      <c r="A15" s="56">
        <f>Mitarbeiter!B12</f>
        <v>7</v>
      </c>
      <c r="B15" s="57" t="str">
        <f>Mitarbeiter!C12</f>
        <v>Petra Hoffmann</v>
      </c>
      <c r="C15" s="58" t="str">
        <f>Mitarbeiter!D12</f>
        <v>Team C</v>
      </c>
      <c r="D15" s="59" t="s">
        <v>26</v>
      </c>
      <c r="E15" s="59" t="s">
        <v>26</v>
      </c>
      <c r="F15" s="59" t="s">
        <v>26</v>
      </c>
      <c r="G15" s="59" t="s">
        <v>26</v>
      </c>
      <c r="H15" s="59" t="s">
        <v>49</v>
      </c>
      <c r="I15" s="59" t="s">
        <v>49</v>
      </c>
      <c r="J15" s="59" t="s">
        <v>26</v>
      </c>
      <c r="K15" s="59" t="s">
        <v>26</v>
      </c>
      <c r="L15" s="59" t="s">
        <v>26</v>
      </c>
      <c r="M15" s="59" t="s">
        <v>26</v>
      </c>
      <c r="N15" s="59" t="s">
        <v>26</v>
      </c>
      <c r="O15" s="59" t="s">
        <v>49</v>
      </c>
      <c r="P15" s="59" t="s">
        <v>49</v>
      </c>
      <c r="Q15" s="59" t="s">
        <v>26</v>
      </c>
      <c r="R15" s="59" t="s">
        <v>26</v>
      </c>
      <c r="S15" s="59" t="s">
        <v>26</v>
      </c>
      <c r="T15" s="59" t="s">
        <v>26</v>
      </c>
      <c r="U15" s="59" t="s">
        <v>26</v>
      </c>
      <c r="V15" s="59" t="s">
        <v>49</v>
      </c>
      <c r="W15" s="59" t="s">
        <v>49</v>
      </c>
      <c r="X15" s="59" t="s">
        <v>26</v>
      </c>
      <c r="Y15" s="59" t="s">
        <v>26</v>
      </c>
      <c r="Z15" s="59" t="s">
        <v>26</v>
      </c>
      <c r="AA15" s="59" t="s">
        <v>26</v>
      </c>
      <c r="AB15" s="59" t="s">
        <v>26</v>
      </c>
      <c r="AC15" s="59" t="s">
        <v>49</v>
      </c>
      <c r="AD15" s="59" t="s">
        <v>49</v>
      </c>
      <c r="AE15" s="59" t="s">
        <v>26</v>
      </c>
      <c r="AF15" s="59" t="s">
        <v>26</v>
      </c>
      <c r="AG15" s="59" t="s">
        <v>26</v>
      </c>
      <c r="AH15" s="59"/>
      <c r="AI15" s="60">
        <f>SUMPRODUCT(COUNTIF(D15:AH15,Schichten!$B$6:$B$11),Schichten!$F$6:$F$11)</f>
        <v>165</v>
      </c>
      <c r="AJ15" s="61">
        <f>Mitarbeiter!G12/5*$O$4</f>
        <v>176</v>
      </c>
      <c r="AK15" s="62">
        <f t="shared" si="3"/>
        <v>-11</v>
      </c>
      <c r="AL15" s="58">
        <f t="shared" si="4"/>
        <v>0</v>
      </c>
      <c r="AM15" s="58">
        <f t="shared" si="5"/>
        <v>0</v>
      </c>
      <c r="AN15" s="58">
        <f t="shared" si="6"/>
        <v>0</v>
      </c>
    </row>
    <row r="16" spans="1:40" ht="18" customHeight="1" x14ac:dyDescent="0.25">
      <c r="A16" s="56">
        <f>Mitarbeiter!B13</f>
        <v>8</v>
      </c>
      <c r="B16" s="57" t="str">
        <f>Mitarbeiter!C13</f>
        <v>Daniel Roth</v>
      </c>
      <c r="C16" s="58" t="str">
        <f>Mitarbeiter!D13</f>
        <v>Team C</v>
      </c>
      <c r="D16" s="59" t="s">
        <v>22</v>
      </c>
      <c r="E16" s="59" t="s">
        <v>49</v>
      </c>
      <c r="F16" s="59" t="s">
        <v>22</v>
      </c>
      <c r="G16" s="59" t="s">
        <v>22</v>
      </c>
      <c r="H16" s="59" t="s">
        <v>49</v>
      </c>
      <c r="I16" s="59" t="s">
        <v>49</v>
      </c>
      <c r="J16" s="59" t="s">
        <v>22</v>
      </c>
      <c r="K16" s="59" t="s">
        <v>22</v>
      </c>
      <c r="L16" s="59" t="s">
        <v>49</v>
      </c>
      <c r="M16" s="59" t="s">
        <v>22</v>
      </c>
      <c r="N16" s="59" t="s">
        <v>22</v>
      </c>
      <c r="O16" s="59" t="s">
        <v>49</v>
      </c>
      <c r="P16" s="59" t="s">
        <v>49</v>
      </c>
      <c r="Q16" s="59" t="s">
        <v>22</v>
      </c>
      <c r="R16" s="59" t="s">
        <v>22</v>
      </c>
      <c r="S16" s="59" t="s">
        <v>49</v>
      </c>
      <c r="T16" s="59" t="s">
        <v>22</v>
      </c>
      <c r="U16" s="59" t="s">
        <v>22</v>
      </c>
      <c r="V16" s="59" t="s">
        <v>49</v>
      </c>
      <c r="W16" s="59" t="s">
        <v>49</v>
      </c>
      <c r="X16" s="59" t="s">
        <v>22</v>
      </c>
      <c r="Y16" s="59" t="s">
        <v>22</v>
      </c>
      <c r="Z16" s="59" t="s">
        <v>49</v>
      </c>
      <c r="AA16" s="59" t="s">
        <v>22</v>
      </c>
      <c r="AB16" s="59" t="s">
        <v>22</v>
      </c>
      <c r="AC16" s="59" t="s">
        <v>49</v>
      </c>
      <c r="AD16" s="59" t="s">
        <v>49</v>
      </c>
      <c r="AE16" s="59" t="s">
        <v>22</v>
      </c>
      <c r="AF16" s="59" t="s">
        <v>22</v>
      </c>
      <c r="AG16" s="59" t="s">
        <v>49</v>
      </c>
      <c r="AH16" s="59"/>
      <c r="AI16" s="60">
        <f>SUMPRODUCT(COUNTIF(D16:AH16,Schichten!$B$6:$B$11),Schichten!$F$6:$F$11)</f>
        <v>136</v>
      </c>
      <c r="AJ16" s="61">
        <f>Mitarbeiter!G13/5*$O$4</f>
        <v>176</v>
      </c>
      <c r="AK16" s="62">
        <f t="shared" si="3"/>
        <v>-40</v>
      </c>
      <c r="AL16" s="58">
        <f t="shared" si="4"/>
        <v>0</v>
      </c>
      <c r="AM16" s="58">
        <f t="shared" si="5"/>
        <v>0</v>
      </c>
      <c r="AN16" s="58">
        <f t="shared" si="6"/>
        <v>0</v>
      </c>
    </row>
    <row r="17" spans="1:40" ht="18" customHeight="1" x14ac:dyDescent="0.25">
      <c r="A17" s="56">
        <f>Mitarbeiter!B14</f>
        <v>9</v>
      </c>
      <c r="B17" s="57" t="str">
        <f>Mitarbeiter!C14</f>
        <v>Christina Lang</v>
      </c>
      <c r="C17" s="58" t="str">
        <f>Mitarbeiter!D14</f>
        <v>Team C</v>
      </c>
      <c r="D17" s="59" t="s">
        <v>17</v>
      </c>
      <c r="E17" s="59" t="s">
        <v>49</v>
      </c>
      <c r="F17" s="59" t="s">
        <v>17</v>
      </c>
      <c r="G17" s="59" t="s">
        <v>17</v>
      </c>
      <c r="H17" s="59" t="s">
        <v>49</v>
      </c>
      <c r="I17" s="59" t="s">
        <v>49</v>
      </c>
      <c r="J17" s="59" t="s">
        <v>49</v>
      </c>
      <c r="K17" s="59" t="s">
        <v>17</v>
      </c>
      <c r="L17" s="59" t="s">
        <v>49</v>
      </c>
      <c r="M17" s="59" t="s">
        <v>17</v>
      </c>
      <c r="N17" s="59" t="s">
        <v>17</v>
      </c>
      <c r="O17" s="59" t="s">
        <v>49</v>
      </c>
      <c r="P17" s="59" t="s">
        <v>49</v>
      </c>
      <c r="Q17" s="59" t="s">
        <v>49</v>
      </c>
      <c r="R17" s="59" t="s">
        <v>17</v>
      </c>
      <c r="S17" s="59" t="s">
        <v>49</v>
      </c>
      <c r="T17" s="59" t="s">
        <v>17</v>
      </c>
      <c r="U17" s="59" t="s">
        <v>17</v>
      </c>
      <c r="V17" s="59" t="s">
        <v>49</v>
      </c>
      <c r="W17" s="59" t="s">
        <v>49</v>
      </c>
      <c r="X17" s="59" t="s">
        <v>49</v>
      </c>
      <c r="Y17" s="59" t="s">
        <v>17</v>
      </c>
      <c r="Z17" s="59" t="s">
        <v>49</v>
      </c>
      <c r="AA17" s="59" t="s">
        <v>17</v>
      </c>
      <c r="AB17" s="59" t="s">
        <v>17</v>
      </c>
      <c r="AC17" s="59" t="s">
        <v>49</v>
      </c>
      <c r="AD17" s="59" t="s">
        <v>49</v>
      </c>
      <c r="AE17" s="59" t="s">
        <v>49</v>
      </c>
      <c r="AF17" s="59" t="s">
        <v>17</v>
      </c>
      <c r="AG17" s="59" t="s">
        <v>49</v>
      </c>
      <c r="AH17" s="59"/>
      <c r="AI17" s="60">
        <f>SUMPRODUCT(COUNTIF(D17:AH17,Schichten!$B$6:$B$11),Schichten!$F$6:$F$11)</f>
        <v>97.5</v>
      </c>
      <c r="AJ17" s="61">
        <f>Mitarbeiter!G14/5*$O$4</f>
        <v>88</v>
      </c>
      <c r="AK17" s="62">
        <f t="shared" si="3"/>
        <v>9.5</v>
      </c>
      <c r="AL17" s="58">
        <f t="shared" si="4"/>
        <v>0</v>
      </c>
      <c r="AM17" s="58">
        <f t="shared" si="5"/>
        <v>0</v>
      </c>
      <c r="AN17" s="58">
        <f t="shared" si="6"/>
        <v>0</v>
      </c>
    </row>
    <row r="18" spans="1:40" ht="18" customHeight="1" x14ac:dyDescent="0.25">
      <c r="A18" s="56">
        <f>Mitarbeiter!B15</f>
        <v>10</v>
      </c>
      <c r="B18" s="57" t="str">
        <f>Mitarbeiter!C15</f>
        <v>Kevin Bauer</v>
      </c>
      <c r="C18" s="58" t="str">
        <f>Mitarbeiter!D15</f>
        <v>Team A</v>
      </c>
      <c r="D18" s="59" t="s">
        <v>26</v>
      </c>
      <c r="E18" s="59" t="s">
        <v>26</v>
      </c>
      <c r="F18" s="59" t="s">
        <v>26</v>
      </c>
      <c r="G18" s="59" t="s">
        <v>26</v>
      </c>
      <c r="H18" s="59" t="s">
        <v>49</v>
      </c>
      <c r="I18" s="59" t="s">
        <v>49</v>
      </c>
      <c r="J18" s="59" t="s">
        <v>26</v>
      </c>
      <c r="K18" s="59" t="s">
        <v>26</v>
      </c>
      <c r="L18" s="59" t="s">
        <v>26</v>
      </c>
      <c r="M18" s="59" t="s">
        <v>26</v>
      </c>
      <c r="N18" s="59" t="s">
        <v>26</v>
      </c>
      <c r="O18" s="59" t="s">
        <v>49</v>
      </c>
      <c r="P18" s="59" t="s">
        <v>49</v>
      </c>
      <c r="Q18" s="59" t="s">
        <v>26</v>
      </c>
      <c r="R18" s="59" t="s">
        <v>26</v>
      </c>
      <c r="S18" s="59" t="s">
        <v>26</v>
      </c>
      <c r="T18" s="59" t="s">
        <v>26</v>
      </c>
      <c r="U18" s="59" t="s">
        <v>26</v>
      </c>
      <c r="V18" s="59" t="s">
        <v>49</v>
      </c>
      <c r="W18" s="59" t="s">
        <v>49</v>
      </c>
      <c r="X18" s="59" t="s">
        <v>37</v>
      </c>
      <c r="Y18" s="59" t="s">
        <v>37</v>
      </c>
      <c r="Z18" s="59" t="s">
        <v>26</v>
      </c>
      <c r="AA18" s="59" t="s">
        <v>26</v>
      </c>
      <c r="AB18" s="59" t="s">
        <v>26</v>
      </c>
      <c r="AC18" s="59" t="s">
        <v>49</v>
      </c>
      <c r="AD18" s="59" t="s">
        <v>49</v>
      </c>
      <c r="AE18" s="59" t="s">
        <v>26</v>
      </c>
      <c r="AF18" s="59" t="s">
        <v>26</v>
      </c>
      <c r="AG18" s="59" t="s">
        <v>26</v>
      </c>
      <c r="AH18" s="59"/>
      <c r="AI18" s="60">
        <f>SUMPRODUCT(COUNTIF(D18:AH18,Schichten!$B$6:$B$11),Schichten!$F$6:$F$11)</f>
        <v>163</v>
      </c>
      <c r="AJ18" s="61">
        <f>Mitarbeiter!G15/5*$O$4</f>
        <v>154</v>
      </c>
      <c r="AK18" s="62">
        <f t="shared" si="3"/>
        <v>9</v>
      </c>
      <c r="AL18" s="58">
        <f t="shared" si="4"/>
        <v>0</v>
      </c>
      <c r="AM18" s="58">
        <f t="shared" si="5"/>
        <v>0</v>
      </c>
      <c r="AN18" s="58">
        <f t="shared" si="6"/>
        <v>2</v>
      </c>
    </row>
    <row r="20" spans="1:40" ht="18" customHeight="1" x14ac:dyDescent="0.25">
      <c r="A20" s="44"/>
      <c r="B20" s="63" t="s">
        <v>107</v>
      </c>
      <c r="C20" s="44"/>
      <c r="D20" s="64">
        <f>IF(MONTH(D6)&lt;&gt;MONTH($C$4),"",SUMPRODUCT(COUNTIF(D9:D18,Schichten!$B$6:$B$10)))</f>
        <v>8</v>
      </c>
      <c r="E20" s="64">
        <f>IF(MONTH(E6)&lt;&gt;MONTH($C$4),"",SUMPRODUCT(COUNTIF(E9:E18,Schichten!$B$6:$B$10)))</f>
        <v>8</v>
      </c>
      <c r="F20" s="64">
        <f>IF(MONTH(F6)&lt;&gt;MONTH($C$4),"",SUMPRODUCT(COUNTIF(F9:F18,Schichten!$B$6:$B$10)))</f>
        <v>8</v>
      </c>
      <c r="G20" s="64">
        <f>IF(MONTH(G6)&lt;&gt;MONTH($C$4),"",SUMPRODUCT(COUNTIF(G9:G18,Schichten!$B$6:$B$10)))</f>
        <v>8</v>
      </c>
      <c r="H20" s="64">
        <f>IF(MONTH(H6)&lt;&gt;MONTH($C$4),"",SUMPRODUCT(COUNTIF(H9:H18,Schichten!$B$6:$B$10)))</f>
        <v>1</v>
      </c>
      <c r="I20" s="64">
        <f>IF(MONTH(I6)&lt;&gt;MONTH($C$4),"",SUMPRODUCT(COUNTIF(I9:I18,Schichten!$B$6:$B$10)))</f>
        <v>1</v>
      </c>
      <c r="J20" s="64">
        <f>IF(MONTH(J6)&lt;&gt;MONTH($C$4),"",SUMPRODUCT(COUNTIF(J9:J18,Schichten!$B$6:$B$10)))</f>
        <v>8</v>
      </c>
      <c r="K20" s="64">
        <f>IF(MONTH(K6)&lt;&gt;MONTH($C$4),"",SUMPRODUCT(COUNTIF(K9:K18,Schichten!$B$6:$B$10)))</f>
        <v>7</v>
      </c>
      <c r="L20" s="64">
        <f>IF(MONTH(L6)&lt;&gt;MONTH($C$4),"",SUMPRODUCT(COUNTIF(L9:L18,Schichten!$B$6:$B$10)))</f>
        <v>7</v>
      </c>
      <c r="M20" s="64">
        <f>IF(MONTH(M6)&lt;&gt;MONTH($C$4),"",SUMPRODUCT(COUNTIF(M9:M18,Schichten!$B$6:$B$10)))</f>
        <v>8</v>
      </c>
      <c r="N20" s="64">
        <f>IF(MONTH(N6)&lt;&gt;MONTH($C$4),"",SUMPRODUCT(COUNTIF(N9:N18,Schichten!$B$6:$B$10)))</f>
        <v>8</v>
      </c>
      <c r="O20" s="64">
        <f>IF(MONTH(O6)&lt;&gt;MONTH($C$4),"",SUMPRODUCT(COUNTIF(O9:O18,Schichten!$B$6:$B$10)))</f>
        <v>2</v>
      </c>
      <c r="P20" s="64">
        <f>IF(MONTH(P6)&lt;&gt;MONTH($C$4),"",SUMPRODUCT(COUNTIF(P9:P18,Schichten!$B$6:$B$10)))</f>
        <v>1</v>
      </c>
      <c r="Q20" s="64">
        <f>IF(MONTH(Q6)&lt;&gt;MONTH($C$4),"",SUMPRODUCT(COUNTIF(Q9:Q18,Schichten!$B$6:$B$10)))</f>
        <v>7</v>
      </c>
      <c r="R20" s="64">
        <f>IF(MONTH(R6)&lt;&gt;MONTH($C$4),"",SUMPRODUCT(COUNTIF(R9:R18,Schichten!$B$6:$B$10)))</f>
        <v>7</v>
      </c>
      <c r="S20" s="64">
        <f>IF(MONTH(S6)&lt;&gt;MONTH($C$4),"",SUMPRODUCT(COUNTIF(S9:S18,Schichten!$B$6:$B$10)))</f>
        <v>7</v>
      </c>
      <c r="T20" s="64">
        <f>IF(MONTH(T6)&lt;&gt;MONTH($C$4),"",SUMPRODUCT(COUNTIF(T9:T18,Schichten!$B$6:$B$10)))</f>
        <v>7</v>
      </c>
      <c r="U20" s="64">
        <f>IF(MONTH(U6)&lt;&gt;MONTH($C$4),"",SUMPRODUCT(COUNTIF(U9:U18,Schichten!$B$6:$B$10)))</f>
        <v>8</v>
      </c>
      <c r="V20" s="64">
        <f>IF(MONTH(V6)&lt;&gt;MONTH($C$4),"",SUMPRODUCT(COUNTIF(V9:V18,Schichten!$B$6:$B$10)))</f>
        <v>1</v>
      </c>
      <c r="W20" s="64">
        <f>IF(MONTH(W6)&lt;&gt;MONTH($C$4),"",SUMPRODUCT(COUNTIF(W9:W18,Schichten!$B$6:$B$10)))</f>
        <v>1</v>
      </c>
      <c r="X20" s="64">
        <f>IF(MONTH(X6)&lt;&gt;MONTH($C$4),"",SUMPRODUCT(COUNTIF(X9:X18,Schichten!$B$6:$B$10)))</f>
        <v>7</v>
      </c>
      <c r="Y20" s="64">
        <f>IF(MONTH(Y6)&lt;&gt;MONTH($C$4),"",SUMPRODUCT(COUNTIF(Y9:Y18,Schichten!$B$6:$B$10)))</f>
        <v>7</v>
      </c>
      <c r="Z20" s="64">
        <f>IF(MONTH(Z6)&lt;&gt;MONTH($C$4),"",SUMPRODUCT(COUNTIF(Z9:Z18,Schichten!$B$6:$B$10)))</f>
        <v>8</v>
      </c>
      <c r="AA20" s="64">
        <f>IF(MONTH(AA6)&lt;&gt;MONTH($C$4),"",SUMPRODUCT(COUNTIF(AA9:AA18,Schichten!$B$6:$B$10)))</f>
        <v>8</v>
      </c>
      <c r="AB20" s="64">
        <f>IF(MONTH(AB6)&lt;&gt;MONTH($C$4),"",SUMPRODUCT(COUNTIF(AB9:AB18,Schichten!$B$6:$B$10)))</f>
        <v>8</v>
      </c>
      <c r="AC20" s="64">
        <f>IF(MONTH(AC6)&lt;&gt;MONTH($C$4),"",SUMPRODUCT(COUNTIF(AC9:AC18,Schichten!$B$6:$B$10)))</f>
        <v>2</v>
      </c>
      <c r="AD20" s="64">
        <f>IF(MONTH(AD6)&lt;&gt;MONTH($C$4),"",SUMPRODUCT(COUNTIF(AD9:AD18,Schichten!$B$6:$B$10)))</f>
        <v>1</v>
      </c>
      <c r="AE20" s="64">
        <f>IF(MONTH(AE6)&lt;&gt;MONTH($C$4),"",SUMPRODUCT(COUNTIF(AE9:AE18,Schichten!$B$6:$B$10)))</f>
        <v>8</v>
      </c>
      <c r="AF20" s="64">
        <f>IF(MONTH(AF6)&lt;&gt;MONTH($C$4),"",SUMPRODUCT(COUNTIF(AF9:AF18,Schichten!$B$6:$B$10)))</f>
        <v>8</v>
      </c>
      <c r="AG20" s="64">
        <f>IF(MONTH(AG6)&lt;&gt;MONTH($C$4),"",SUMPRODUCT(COUNTIF(AG9:AG18,Schichten!$B$6:$B$10)))</f>
        <v>8</v>
      </c>
      <c r="AH20" s="64" t="str">
        <f>IF(MONTH(AH6)&lt;&gt;MONTH($C$4),"",SUMPRODUCT(COUNTIF(AH9:AH18,Schichten!$B$6:$B$10)))</f>
        <v/>
      </c>
    </row>
    <row r="21" spans="1:40" ht="18" customHeight="1" x14ac:dyDescent="0.25">
      <c r="A21" s="65"/>
      <c r="B21" s="66" t="s">
        <v>108</v>
      </c>
      <c r="C21" s="65"/>
      <c r="D21" s="67">
        <v>6</v>
      </c>
      <c r="E21" s="67">
        <v>6</v>
      </c>
      <c r="F21" s="67">
        <v>6</v>
      </c>
      <c r="G21" s="67">
        <v>6</v>
      </c>
      <c r="H21" s="67">
        <v>3</v>
      </c>
      <c r="I21" s="67">
        <v>2</v>
      </c>
      <c r="J21" s="67">
        <v>6</v>
      </c>
      <c r="K21" s="67">
        <v>6</v>
      </c>
      <c r="L21" s="67">
        <v>6</v>
      </c>
      <c r="M21" s="67">
        <v>6</v>
      </c>
      <c r="N21" s="67">
        <v>6</v>
      </c>
      <c r="O21" s="67">
        <v>3</v>
      </c>
      <c r="P21" s="67">
        <v>2</v>
      </c>
      <c r="Q21" s="67">
        <v>6</v>
      </c>
      <c r="R21" s="67">
        <v>6</v>
      </c>
      <c r="S21" s="67">
        <v>6</v>
      </c>
      <c r="T21" s="67">
        <v>6</v>
      </c>
      <c r="U21" s="67">
        <v>6</v>
      </c>
      <c r="V21" s="67">
        <v>3</v>
      </c>
      <c r="W21" s="67">
        <v>2</v>
      </c>
      <c r="X21" s="67">
        <v>6</v>
      </c>
      <c r="Y21" s="67">
        <v>6</v>
      </c>
      <c r="Z21" s="67">
        <v>6</v>
      </c>
      <c r="AA21" s="67">
        <v>6</v>
      </c>
      <c r="AB21" s="67">
        <v>6</v>
      </c>
      <c r="AC21" s="67">
        <v>3</v>
      </c>
      <c r="AD21" s="67">
        <v>2</v>
      </c>
      <c r="AE21" s="67">
        <v>6</v>
      </c>
      <c r="AF21" s="67">
        <v>6</v>
      </c>
      <c r="AG21" s="67">
        <v>6</v>
      </c>
      <c r="AH21" s="67"/>
    </row>
    <row r="22" spans="1:40" ht="18" customHeight="1" x14ac:dyDescent="0.25">
      <c r="A22" s="44"/>
      <c r="B22" s="63" t="s">
        <v>109</v>
      </c>
      <c r="C22" s="44"/>
      <c r="D22" s="64">
        <f t="shared" ref="D22:AH22" si="7">IF(D20="","",D20-N(D21))</f>
        <v>2</v>
      </c>
      <c r="E22" s="64">
        <f t="shared" si="7"/>
        <v>2</v>
      </c>
      <c r="F22" s="64">
        <f t="shared" si="7"/>
        <v>2</v>
      </c>
      <c r="G22" s="64">
        <f t="shared" si="7"/>
        <v>2</v>
      </c>
      <c r="H22" s="64">
        <f t="shared" si="7"/>
        <v>-2</v>
      </c>
      <c r="I22" s="64">
        <f t="shared" si="7"/>
        <v>-1</v>
      </c>
      <c r="J22" s="64">
        <f t="shared" si="7"/>
        <v>2</v>
      </c>
      <c r="K22" s="64">
        <f t="shared" si="7"/>
        <v>1</v>
      </c>
      <c r="L22" s="64">
        <f t="shared" si="7"/>
        <v>1</v>
      </c>
      <c r="M22" s="64">
        <f t="shared" si="7"/>
        <v>2</v>
      </c>
      <c r="N22" s="64">
        <f t="shared" si="7"/>
        <v>2</v>
      </c>
      <c r="O22" s="64">
        <f t="shared" si="7"/>
        <v>-1</v>
      </c>
      <c r="P22" s="64">
        <f t="shared" si="7"/>
        <v>-1</v>
      </c>
      <c r="Q22" s="64">
        <f t="shared" si="7"/>
        <v>1</v>
      </c>
      <c r="R22" s="64">
        <f t="shared" si="7"/>
        <v>1</v>
      </c>
      <c r="S22" s="64">
        <f t="shared" si="7"/>
        <v>1</v>
      </c>
      <c r="T22" s="64">
        <f t="shared" si="7"/>
        <v>1</v>
      </c>
      <c r="U22" s="64">
        <f t="shared" si="7"/>
        <v>2</v>
      </c>
      <c r="V22" s="64">
        <f t="shared" si="7"/>
        <v>-2</v>
      </c>
      <c r="W22" s="64">
        <f t="shared" si="7"/>
        <v>-1</v>
      </c>
      <c r="X22" s="64">
        <f t="shared" si="7"/>
        <v>1</v>
      </c>
      <c r="Y22" s="64">
        <f t="shared" si="7"/>
        <v>1</v>
      </c>
      <c r="Z22" s="64">
        <f t="shared" si="7"/>
        <v>2</v>
      </c>
      <c r="AA22" s="64">
        <f t="shared" si="7"/>
        <v>2</v>
      </c>
      <c r="AB22" s="64">
        <f t="shared" si="7"/>
        <v>2</v>
      </c>
      <c r="AC22" s="64">
        <f t="shared" si="7"/>
        <v>-1</v>
      </c>
      <c r="AD22" s="64">
        <f t="shared" si="7"/>
        <v>-1</v>
      </c>
      <c r="AE22" s="64">
        <f t="shared" si="7"/>
        <v>2</v>
      </c>
      <c r="AF22" s="64">
        <f t="shared" si="7"/>
        <v>2</v>
      </c>
      <c r="AG22" s="64">
        <f t="shared" si="7"/>
        <v>2</v>
      </c>
      <c r="AH22" s="64" t="str">
        <f t="shared" si="7"/>
        <v/>
      </c>
    </row>
    <row r="23" spans="1:40" ht="18" customHeight="1" x14ac:dyDescent="0.25">
      <c r="A23" s="44"/>
      <c r="B23" s="63" t="s">
        <v>110</v>
      </c>
      <c r="C23" s="44"/>
      <c r="D23" s="68">
        <f>IF(MONTH(D6)&lt;&gt;MONTH($C$4),"",SUMPRODUCT(COUNTIF(D9:D18,Schichten!$B$6:$B$11),Schichten!$F$6:$F$11))</f>
        <v>60.5</v>
      </c>
      <c r="E23" s="68">
        <f>IF(MONTH(E6)&lt;&gt;MONTH($C$4),"",SUMPRODUCT(COUNTIF(E9:E18,Schichten!$B$6:$B$11),Schichten!$F$6:$F$11))</f>
        <v>56.5</v>
      </c>
      <c r="F23" s="68">
        <f>IF(MONTH(F6)&lt;&gt;MONTH($C$4),"",SUMPRODUCT(COUNTIF(F9:F18,Schichten!$B$6:$B$11),Schichten!$F$6:$F$11))</f>
        <v>60.5</v>
      </c>
      <c r="G23" s="68">
        <f>IF(MONTH(G6)&lt;&gt;MONTH($C$4),"",SUMPRODUCT(COUNTIF(G9:G18,Schichten!$B$6:$B$11),Schichten!$F$6:$F$11))</f>
        <v>60.5</v>
      </c>
      <c r="H23" s="68">
        <f>IF(MONTH(H6)&lt;&gt;MONTH($C$4),"",SUMPRODUCT(COUNTIF(H9:H18,Schichten!$B$6:$B$11),Schichten!$F$6:$F$11))</f>
        <v>4</v>
      </c>
      <c r="I23" s="68">
        <f>IF(MONTH(I6)&lt;&gt;MONTH($C$4),"",SUMPRODUCT(COUNTIF(I9:I18,Schichten!$B$6:$B$11),Schichten!$F$6:$F$11))</f>
        <v>4</v>
      </c>
      <c r="J23" s="68">
        <f>IF(MONTH(J6)&lt;&gt;MONTH($C$4),"",SUMPRODUCT(COUNTIF(J9:J18,Schichten!$B$6:$B$11),Schichten!$F$6:$F$11))</f>
        <v>60.5</v>
      </c>
      <c r="K23" s="68">
        <f>IF(MONTH(K6)&lt;&gt;MONTH($C$4),"",SUMPRODUCT(COUNTIF(K9:K18,Schichten!$B$6:$B$11),Schichten!$F$6:$F$11))</f>
        <v>53</v>
      </c>
      <c r="L23" s="68">
        <f>IF(MONTH(L6)&lt;&gt;MONTH($C$4),"",SUMPRODUCT(COUNTIF(L9:L18,Schichten!$B$6:$B$11),Schichten!$F$6:$F$11))</f>
        <v>49</v>
      </c>
      <c r="M23" s="68">
        <f>IF(MONTH(M6)&lt;&gt;MONTH($C$4),"",SUMPRODUCT(COUNTIF(M9:M18,Schichten!$B$6:$B$11),Schichten!$F$6:$F$11))</f>
        <v>60.5</v>
      </c>
      <c r="N23" s="68">
        <f>IF(MONTH(N6)&lt;&gt;MONTH($C$4),"",SUMPRODUCT(COUNTIF(N9:N18,Schichten!$B$6:$B$11),Schichten!$F$6:$F$11))</f>
        <v>60.5</v>
      </c>
      <c r="O23" s="68">
        <f>IF(MONTH(O6)&lt;&gt;MONTH($C$4),"",SUMPRODUCT(COUNTIF(O9:O18,Schichten!$B$6:$B$11),Schichten!$F$6:$F$11))</f>
        <v>11.5</v>
      </c>
      <c r="P23" s="68">
        <f>IF(MONTH(P6)&lt;&gt;MONTH($C$4),"",SUMPRODUCT(COUNTIF(P9:P18,Schichten!$B$6:$B$11),Schichten!$F$6:$F$11))</f>
        <v>4</v>
      </c>
      <c r="Q23" s="68">
        <f>IF(MONTH(Q6)&lt;&gt;MONTH($C$4),"",SUMPRODUCT(COUNTIF(Q9:Q18,Schichten!$B$6:$B$11),Schichten!$F$6:$F$11))</f>
        <v>53</v>
      </c>
      <c r="R23" s="68">
        <f>IF(MONTH(R6)&lt;&gt;MONTH($C$4),"",SUMPRODUCT(COUNTIF(R9:R18,Schichten!$B$6:$B$11),Schichten!$F$6:$F$11))</f>
        <v>53</v>
      </c>
      <c r="S23" s="68">
        <f>IF(MONTH(S6)&lt;&gt;MONTH($C$4),"",SUMPRODUCT(COUNTIF(S9:S18,Schichten!$B$6:$B$11),Schichten!$F$6:$F$11))</f>
        <v>49</v>
      </c>
      <c r="T23" s="68">
        <f>IF(MONTH(T6)&lt;&gt;MONTH($C$4),"",SUMPRODUCT(COUNTIF(T9:T18,Schichten!$B$6:$B$11),Schichten!$F$6:$F$11))</f>
        <v>53</v>
      </c>
      <c r="U23" s="68">
        <f>IF(MONTH(U6)&lt;&gt;MONTH($C$4),"",SUMPRODUCT(COUNTIF(U9:U18,Schichten!$B$6:$B$11),Schichten!$F$6:$F$11))</f>
        <v>60.5</v>
      </c>
      <c r="V23" s="68">
        <f>IF(MONTH(V6)&lt;&gt;MONTH($C$4),"",SUMPRODUCT(COUNTIF(V9:V18,Schichten!$B$6:$B$11),Schichten!$F$6:$F$11))</f>
        <v>4</v>
      </c>
      <c r="W23" s="68">
        <f>IF(MONTH(W6)&lt;&gt;MONTH($C$4),"",SUMPRODUCT(COUNTIF(W9:W18,Schichten!$B$6:$B$11),Schichten!$F$6:$F$11))</f>
        <v>4</v>
      </c>
      <c r="X23" s="68">
        <f>IF(MONTH(X6)&lt;&gt;MONTH($C$4),"",SUMPRODUCT(COUNTIF(X9:X18,Schichten!$B$6:$B$11),Schichten!$F$6:$F$11))</f>
        <v>59.5</v>
      </c>
      <c r="Y23" s="68">
        <f>IF(MONTH(Y6)&lt;&gt;MONTH($C$4),"",SUMPRODUCT(COUNTIF(Y9:Y18,Schichten!$B$6:$B$11),Schichten!$F$6:$F$11))</f>
        <v>59.5</v>
      </c>
      <c r="Z23" s="68">
        <f>IF(MONTH(Z6)&lt;&gt;MONTH($C$4),"",SUMPRODUCT(COUNTIF(Z9:Z18,Schichten!$B$6:$B$11),Schichten!$F$6:$F$11))</f>
        <v>56.5</v>
      </c>
      <c r="AA23" s="68">
        <f>IF(MONTH(AA6)&lt;&gt;MONTH($C$4),"",SUMPRODUCT(COUNTIF(AA9:AA18,Schichten!$B$6:$B$11),Schichten!$F$6:$F$11))</f>
        <v>60.5</v>
      </c>
      <c r="AB23" s="68">
        <f>IF(MONTH(AB6)&lt;&gt;MONTH($C$4),"",SUMPRODUCT(COUNTIF(AB9:AB18,Schichten!$B$6:$B$11),Schichten!$F$6:$F$11))</f>
        <v>60.5</v>
      </c>
      <c r="AC23" s="68">
        <f>IF(MONTH(AC6)&lt;&gt;MONTH($C$4),"",SUMPRODUCT(COUNTIF(AC9:AC18,Schichten!$B$6:$B$11),Schichten!$F$6:$F$11))</f>
        <v>11.5</v>
      </c>
      <c r="AD23" s="68">
        <f>IF(MONTH(AD6)&lt;&gt;MONTH($C$4),"",SUMPRODUCT(COUNTIF(AD9:AD18,Schichten!$B$6:$B$11),Schichten!$F$6:$F$11))</f>
        <v>4</v>
      </c>
      <c r="AE23" s="68">
        <f>IF(MONTH(AE6)&lt;&gt;MONTH($C$4),"",SUMPRODUCT(COUNTIF(AE9:AE18,Schichten!$B$6:$B$11),Schichten!$F$6:$F$11))</f>
        <v>60.5</v>
      </c>
      <c r="AF23" s="68">
        <f>IF(MONTH(AF6)&lt;&gt;MONTH($C$4),"",SUMPRODUCT(COUNTIF(AF9:AF18,Schichten!$B$6:$B$11),Schichten!$F$6:$F$11))</f>
        <v>60.5</v>
      </c>
      <c r="AG23" s="68">
        <f>IF(MONTH(AG6)&lt;&gt;MONTH($C$4),"",SUMPRODUCT(COUNTIF(AG9:AG18,Schichten!$B$6:$B$11),Schichten!$F$6:$F$11))</f>
        <v>56.5</v>
      </c>
      <c r="AH23" s="68" t="str">
        <f>IF(MONTH(AH6)&lt;&gt;MONTH($C$4),"",SUMPRODUCT(COUNTIF(AH9:AH18,Schichten!$B$6:$B$11),Schichten!$F$6:$F$11))</f>
        <v/>
      </c>
      <c r="AI23" s="69">
        <f>SUM(D23:AH23)</f>
        <v>1311</v>
      </c>
    </row>
  </sheetData>
  <mergeCells count="16">
    <mergeCell ref="AN7:AN8"/>
    <mergeCell ref="AI7:AI8"/>
    <mergeCell ref="AJ7:AJ8"/>
    <mergeCell ref="AK7:AK8"/>
    <mergeCell ref="AL7:AL8"/>
    <mergeCell ref="AM7:AM8"/>
    <mergeCell ref="AA4:AE4"/>
    <mergeCell ref="AF4:AG4"/>
    <mergeCell ref="A7:A8"/>
    <mergeCell ref="B7:B8"/>
    <mergeCell ref="C7:C8"/>
    <mergeCell ref="C4:F4"/>
    <mergeCell ref="H4:N4"/>
    <mergeCell ref="O4:P4"/>
    <mergeCell ref="R4:W4"/>
    <mergeCell ref="X4:Y4"/>
  </mergeCells>
  <conditionalFormatting sqref="D7:AH8">
    <cfRule type="expression" dxfId="16" priority="3">
      <formula>WEEKDAY(D$6,2)&gt;5</formula>
    </cfRule>
  </conditionalFormatting>
  <conditionalFormatting sqref="D7:AH18">
    <cfRule type="expression" dxfId="15" priority="2">
      <formula>MONTH(D$6)&lt;&gt;MONTH($C$4)</formula>
    </cfRule>
  </conditionalFormatting>
  <conditionalFormatting sqref="D9:AH18">
    <cfRule type="cellIs" dxfId="14" priority="5" operator="equal">
      <formula>"F"</formula>
    </cfRule>
    <cfRule type="cellIs" dxfId="13" priority="6" operator="equal">
      <formula>"S"</formula>
    </cfRule>
    <cfRule type="cellIs" dxfId="12" priority="7" operator="equal">
      <formula>"N"</formula>
    </cfRule>
    <cfRule type="cellIs" dxfId="11" priority="8" operator="equal">
      <formula>"T"</formula>
    </cfRule>
    <cfRule type="cellIs" dxfId="10" priority="9" operator="equal">
      <formula>"B"</formula>
    </cfRule>
    <cfRule type="cellIs" dxfId="9" priority="10" operator="equal">
      <formula>"FB"</formula>
    </cfRule>
    <cfRule type="cellIs" dxfId="8" priority="11" operator="equal">
      <formula>"U"</formula>
    </cfRule>
    <cfRule type="cellIs" dxfId="7" priority="12" operator="equal">
      <formula>"K"</formula>
    </cfRule>
    <cfRule type="cellIs" dxfId="6" priority="13" operator="equal">
      <formula>"FR"</formula>
    </cfRule>
    <cfRule type="cellIs" dxfId="5" priority="14" operator="equal">
      <formula>"FT"</formula>
    </cfRule>
    <cfRule type="expression" dxfId="4" priority="15">
      <formula>WEEKDAY(D$6,2)&gt;5</formula>
    </cfRule>
  </conditionalFormatting>
  <conditionalFormatting sqref="D20:AH23">
    <cfRule type="expression" dxfId="3" priority="16">
      <formula>MONTH(D$6)&lt;&gt;MONTH($C$4)</formula>
    </cfRule>
  </conditionalFormatting>
  <conditionalFormatting sqref="D22:AH22">
    <cfRule type="cellIs" dxfId="2" priority="17" operator="lessThan">
      <formula>0</formula>
    </cfRule>
    <cfRule type="cellIs" dxfId="1" priority="18" operator="greaterThanOrEqual">
      <formula>0</formula>
    </cfRule>
  </conditionalFormatting>
  <conditionalFormatting sqref="AK9:AK18">
    <cfRule type="cellIs" dxfId="0" priority="19" operator="lessThan">
      <formula>0</formula>
    </cfRule>
  </conditionalFormatting>
  <pageMargins left="0.3" right="0.3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Schichten!$B$6:$B$15</xm:f>
          </x14:formula1>
          <x14:formula2>
            <xm:f>0</xm:f>
          </x14:formula2>
          <xm:sqref>D9:AH18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0505E"/>
    <pageSetUpPr fitToPage="1"/>
  </sheetPr>
  <dimension ref="B2:I31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22" customWidth="1"/>
    <col min="3" max="4" width="11" customWidth="1"/>
    <col min="5" max="5" width="12" customWidth="1"/>
    <col min="6" max="7" width="10" customWidth="1"/>
    <col min="8" max="9" width="14" customWidth="1"/>
  </cols>
  <sheetData>
    <row r="2" spans="2:9" ht="26.25" x14ac:dyDescent="0.4">
      <c r="B2" s="15" t="s">
        <v>111</v>
      </c>
    </row>
    <row r="3" spans="2:9" x14ac:dyDescent="0.25">
      <c r="B3" s="16" t="s">
        <v>112</v>
      </c>
    </row>
    <row r="5" spans="2:9" x14ac:dyDescent="0.25">
      <c r="B5" s="6" t="s">
        <v>110</v>
      </c>
      <c r="C5" s="6"/>
      <c r="D5" s="10" t="s">
        <v>113</v>
      </c>
      <c r="E5" s="10"/>
      <c r="F5" s="5" t="s">
        <v>114</v>
      </c>
      <c r="G5" s="5"/>
    </row>
    <row r="6" spans="2:9" x14ac:dyDescent="0.25">
      <c r="B6" s="4">
        <f>SUM(Einsatzplan!AI9:AI18)</f>
        <v>1311</v>
      </c>
      <c r="C6" s="4"/>
      <c r="D6" s="3">
        <f>SUMPRODUCT(Einsatzplan!AI9:AI18,Mitarbeiter!H6:H15)</f>
        <v>32565.5</v>
      </c>
      <c r="E6" s="3"/>
      <c r="F6" s="2">
        <f>SUM(Einsatzplan!AI9:AI18)/SUM(Einsatzplan!AJ9:AJ18)</f>
        <v>0.92532467532467533</v>
      </c>
      <c r="G6" s="2"/>
    </row>
    <row r="7" spans="2:9" x14ac:dyDescent="0.25">
      <c r="B7" s="4"/>
      <c r="C7" s="4"/>
      <c r="D7" s="3"/>
      <c r="E7" s="3"/>
      <c r="F7" s="2"/>
      <c r="G7" s="2"/>
    </row>
    <row r="9" spans="2:9" x14ac:dyDescent="0.25">
      <c r="B9" s="1" t="s">
        <v>115</v>
      </c>
      <c r="C9" s="1"/>
      <c r="D9" s="1" t="s">
        <v>116</v>
      </c>
      <c r="E9" s="1"/>
    </row>
    <row r="10" spans="2:9" x14ac:dyDescent="0.25">
      <c r="B10" s="81">
        <f>SUM(Einsatzplan!AL9:AL18)</f>
        <v>5</v>
      </c>
      <c r="C10" s="81"/>
      <c r="D10" s="81">
        <f>SUM(Einsatzplan!AM9:AM18)</f>
        <v>2</v>
      </c>
      <c r="E10" s="81"/>
    </row>
    <row r="11" spans="2:9" x14ac:dyDescent="0.25">
      <c r="B11" s="81"/>
      <c r="C11" s="81"/>
      <c r="D11" s="81"/>
      <c r="E11" s="81"/>
    </row>
    <row r="14" spans="2:9" ht="27.75" customHeight="1" x14ac:dyDescent="0.25">
      <c r="B14" s="37" t="s">
        <v>58</v>
      </c>
      <c r="C14" s="37" t="s">
        <v>59</v>
      </c>
      <c r="D14" s="37" t="s">
        <v>117</v>
      </c>
      <c r="E14" s="37" t="s">
        <v>118</v>
      </c>
      <c r="F14" s="37" t="s">
        <v>119</v>
      </c>
      <c r="G14" s="37" t="s">
        <v>44</v>
      </c>
      <c r="H14" s="37" t="s">
        <v>48</v>
      </c>
      <c r="I14" s="37" t="s">
        <v>120</v>
      </c>
    </row>
    <row r="15" spans="2:9" x14ac:dyDescent="0.25">
      <c r="B15" s="57" t="str">
        <f>Mitarbeiter!C6</f>
        <v>Anna Bergmann</v>
      </c>
      <c r="C15" s="58" t="str">
        <f>Mitarbeiter!D6</f>
        <v>Team A</v>
      </c>
      <c r="D15" s="61">
        <f>Einsatzplan!AJ9</f>
        <v>176</v>
      </c>
      <c r="E15" s="62">
        <f>Einsatzplan!AI9</f>
        <v>165</v>
      </c>
      <c r="F15" s="70">
        <f t="shared" ref="F15:F25" si="0">IF(D15=0,0,E15/D15)</f>
        <v>0.9375</v>
      </c>
      <c r="G15" s="58">
        <f>Einsatzplan!AL9</f>
        <v>0</v>
      </c>
      <c r="H15" s="58">
        <f>Einsatzplan!AM9</f>
        <v>0</v>
      </c>
      <c r="I15" s="71">
        <f>E15*Mitarbeiter!H6</f>
        <v>5280</v>
      </c>
    </row>
    <row r="16" spans="2:9" x14ac:dyDescent="0.25">
      <c r="B16" s="72" t="str">
        <f>Mitarbeiter!C7</f>
        <v>Tobias Krüger</v>
      </c>
      <c r="C16" s="73" t="str">
        <f>Mitarbeiter!D7</f>
        <v>Team A</v>
      </c>
      <c r="D16" s="74">
        <f>Einsatzplan!AJ10</f>
        <v>176</v>
      </c>
      <c r="E16" s="60">
        <f>Einsatzplan!AI10</f>
        <v>180</v>
      </c>
      <c r="F16" s="75">
        <f t="shared" si="0"/>
        <v>1.0227272727272727</v>
      </c>
      <c r="G16" s="73">
        <f>Einsatzplan!AL10</f>
        <v>0</v>
      </c>
      <c r="H16" s="73">
        <f>Einsatzplan!AM10</f>
        <v>0</v>
      </c>
      <c r="I16" s="76">
        <f>E16*Mitarbeiter!H7</f>
        <v>4770</v>
      </c>
    </row>
    <row r="17" spans="2:9" x14ac:dyDescent="0.25">
      <c r="B17" s="57" t="str">
        <f>Mitarbeiter!C8</f>
        <v>Sandra Vogel</v>
      </c>
      <c r="C17" s="58" t="str">
        <f>Mitarbeiter!D8</f>
        <v>Team A</v>
      </c>
      <c r="D17" s="61">
        <f>Einsatzplan!AJ11</f>
        <v>132</v>
      </c>
      <c r="E17" s="62">
        <f>Einsatzplan!AI11</f>
        <v>105</v>
      </c>
      <c r="F17" s="70">
        <f t="shared" si="0"/>
        <v>0.79545454545454541</v>
      </c>
      <c r="G17" s="58">
        <f>Einsatzplan!AL11</f>
        <v>5</v>
      </c>
      <c r="H17" s="58">
        <f>Einsatzplan!AM11</f>
        <v>0</v>
      </c>
      <c r="I17" s="71">
        <f>E17*Mitarbeiter!H8</f>
        <v>2625</v>
      </c>
    </row>
    <row r="18" spans="2:9" x14ac:dyDescent="0.25">
      <c r="B18" s="72" t="str">
        <f>Mitarbeiter!C9</f>
        <v>Mehmet Yıldız</v>
      </c>
      <c r="C18" s="73" t="str">
        <f>Mitarbeiter!D9</f>
        <v>Team B</v>
      </c>
      <c r="D18" s="74">
        <f>Einsatzplan!AJ12</f>
        <v>176</v>
      </c>
      <c r="E18" s="60">
        <f>Einsatzplan!AI12</f>
        <v>150</v>
      </c>
      <c r="F18" s="75">
        <f t="shared" si="0"/>
        <v>0.85227272727272729</v>
      </c>
      <c r="G18" s="73">
        <f>Einsatzplan!AL12</f>
        <v>0</v>
      </c>
      <c r="H18" s="73">
        <f>Einsatzplan!AM12</f>
        <v>2</v>
      </c>
      <c r="I18" s="76">
        <f>E18*Mitarbeiter!H9</f>
        <v>3975</v>
      </c>
    </row>
    <row r="19" spans="2:9" x14ac:dyDescent="0.25">
      <c r="B19" s="57" t="str">
        <f>Mitarbeiter!C10</f>
        <v>Laura Schmitt</v>
      </c>
      <c r="C19" s="58" t="str">
        <f>Mitarbeiter!D10</f>
        <v>Team B</v>
      </c>
      <c r="D19" s="61">
        <f>Einsatzplan!AJ13</f>
        <v>110</v>
      </c>
      <c r="E19" s="62">
        <f>Einsatzplan!AI13</f>
        <v>97.5</v>
      </c>
      <c r="F19" s="70">
        <f t="shared" si="0"/>
        <v>0.88636363636363635</v>
      </c>
      <c r="G19" s="58">
        <f>Einsatzplan!AL13</f>
        <v>0</v>
      </c>
      <c r="H19" s="58">
        <f>Einsatzplan!AM13</f>
        <v>0</v>
      </c>
      <c r="I19" s="71">
        <f>E19*Mitarbeiter!H10</f>
        <v>2340</v>
      </c>
    </row>
    <row r="20" spans="2:9" x14ac:dyDescent="0.25">
      <c r="B20" s="72" t="str">
        <f>Mitarbeiter!C11</f>
        <v>Jonas Wegener</v>
      </c>
      <c r="C20" s="73" t="str">
        <f>Mitarbeiter!D11</f>
        <v>Team B</v>
      </c>
      <c r="D20" s="74">
        <f>Einsatzplan!AJ14</f>
        <v>52.8</v>
      </c>
      <c r="E20" s="60">
        <f>Einsatzplan!AI14</f>
        <v>52</v>
      </c>
      <c r="F20" s="75">
        <f t="shared" si="0"/>
        <v>0.98484848484848486</v>
      </c>
      <c r="G20" s="73">
        <f>Einsatzplan!AL14</f>
        <v>0</v>
      </c>
      <c r="H20" s="73">
        <f>Einsatzplan!AM14</f>
        <v>0</v>
      </c>
      <c r="I20" s="76">
        <f>E20*Mitarbeiter!H11</f>
        <v>806</v>
      </c>
    </row>
    <row r="21" spans="2:9" x14ac:dyDescent="0.25">
      <c r="B21" s="57" t="str">
        <f>Mitarbeiter!C12</f>
        <v>Petra Hoffmann</v>
      </c>
      <c r="C21" s="58" t="str">
        <f>Mitarbeiter!D12</f>
        <v>Team C</v>
      </c>
      <c r="D21" s="61">
        <f>Einsatzplan!AJ15</f>
        <v>176</v>
      </c>
      <c r="E21" s="62">
        <f>Einsatzplan!AI15</f>
        <v>165</v>
      </c>
      <c r="F21" s="70">
        <f t="shared" si="0"/>
        <v>0.9375</v>
      </c>
      <c r="G21" s="58">
        <f>Einsatzplan!AL15</f>
        <v>0</v>
      </c>
      <c r="H21" s="58">
        <f>Einsatzplan!AM15</f>
        <v>0</v>
      </c>
      <c r="I21" s="71">
        <f>E21*Mitarbeiter!H12</f>
        <v>5115</v>
      </c>
    </row>
    <row r="22" spans="2:9" x14ac:dyDescent="0.25">
      <c r="B22" s="72" t="str">
        <f>Mitarbeiter!C13</f>
        <v>Daniel Roth</v>
      </c>
      <c r="C22" s="73" t="str">
        <f>Mitarbeiter!D13</f>
        <v>Team C</v>
      </c>
      <c r="D22" s="74">
        <f>Einsatzplan!AJ16</f>
        <v>176</v>
      </c>
      <c r="E22" s="60">
        <f>Einsatzplan!AI16</f>
        <v>136</v>
      </c>
      <c r="F22" s="75">
        <f t="shared" si="0"/>
        <v>0.77272727272727271</v>
      </c>
      <c r="G22" s="73">
        <f>Einsatzplan!AL16</f>
        <v>0</v>
      </c>
      <c r="H22" s="73">
        <f>Einsatzplan!AM16</f>
        <v>0</v>
      </c>
      <c r="I22" s="76">
        <f>E22*Mitarbeiter!H13</f>
        <v>3536</v>
      </c>
    </row>
    <row r="23" spans="2:9" x14ac:dyDescent="0.25">
      <c r="B23" s="57" t="str">
        <f>Mitarbeiter!C14</f>
        <v>Christina Lang</v>
      </c>
      <c r="C23" s="58" t="str">
        <f>Mitarbeiter!D14</f>
        <v>Team C</v>
      </c>
      <c r="D23" s="61">
        <f>Einsatzplan!AJ17</f>
        <v>88</v>
      </c>
      <c r="E23" s="62">
        <f>Einsatzplan!AI17</f>
        <v>97.5</v>
      </c>
      <c r="F23" s="70">
        <f t="shared" si="0"/>
        <v>1.1079545454545454</v>
      </c>
      <c r="G23" s="58">
        <f>Einsatzplan!AL17</f>
        <v>0</v>
      </c>
      <c r="H23" s="58">
        <f>Einsatzplan!AM17</f>
        <v>0</v>
      </c>
      <c r="I23" s="71">
        <f>E23*Mitarbeiter!H14</f>
        <v>1755</v>
      </c>
    </row>
    <row r="24" spans="2:9" x14ac:dyDescent="0.25">
      <c r="B24" s="72" t="str">
        <f>Mitarbeiter!C15</f>
        <v>Kevin Bauer</v>
      </c>
      <c r="C24" s="73" t="str">
        <f>Mitarbeiter!D15</f>
        <v>Team A</v>
      </c>
      <c r="D24" s="74">
        <f>Einsatzplan!AJ18</f>
        <v>154</v>
      </c>
      <c r="E24" s="60">
        <f>Einsatzplan!AI18</f>
        <v>163</v>
      </c>
      <c r="F24" s="75">
        <f t="shared" si="0"/>
        <v>1.0584415584415585</v>
      </c>
      <c r="G24" s="73">
        <f>Einsatzplan!AL18</f>
        <v>0</v>
      </c>
      <c r="H24" s="73">
        <f>Einsatzplan!AM18</f>
        <v>0</v>
      </c>
      <c r="I24" s="76">
        <f>E24*Mitarbeiter!H15</f>
        <v>2363.5</v>
      </c>
    </row>
    <row r="25" spans="2:9" x14ac:dyDescent="0.25">
      <c r="B25" s="45" t="s">
        <v>121</v>
      </c>
      <c r="C25" s="44"/>
      <c r="D25" s="77">
        <f>SUM(D15:D24)</f>
        <v>1416.8</v>
      </c>
      <c r="E25" s="77">
        <f>SUM(E15:E24)</f>
        <v>1311</v>
      </c>
      <c r="F25" s="78">
        <f t="shared" si="0"/>
        <v>0.92532467532467533</v>
      </c>
      <c r="G25" s="46">
        <f>SUM(G15:G24)</f>
        <v>5</v>
      </c>
      <c r="H25" s="46">
        <f>SUM(H15:H24)</f>
        <v>2</v>
      </c>
      <c r="I25" s="79">
        <f>SUM(I15:I24)</f>
        <v>32565.5</v>
      </c>
    </row>
    <row r="27" spans="2:9" x14ac:dyDescent="0.25">
      <c r="B27" s="80" t="s">
        <v>122</v>
      </c>
    </row>
    <row r="28" spans="2:9" x14ac:dyDescent="0.25">
      <c r="B28" s="19" t="s">
        <v>59</v>
      </c>
      <c r="C28" s="19" t="s">
        <v>118</v>
      </c>
      <c r="D28" s="19" t="s">
        <v>120</v>
      </c>
    </row>
    <row r="29" spans="2:9" x14ac:dyDescent="0.25">
      <c r="B29" s="57" t="s">
        <v>67</v>
      </c>
      <c r="C29" s="61">
        <f>SUMIF(Einsatzplan!$C$9:$C$18,B29,Einsatzplan!$AI$9:$AI$18)</f>
        <v>613</v>
      </c>
      <c r="D29" s="71">
        <f>SUMPRODUCT((Einsatzplan!$C$9:$C$18=B29)*Einsatzplan!$AI$9:$AI$18*Mitarbeiter!$H$6:$H$15)</f>
        <v>15038.5</v>
      </c>
    </row>
    <row r="30" spans="2:9" x14ac:dyDescent="0.25">
      <c r="B30" s="57" t="s">
        <v>78</v>
      </c>
      <c r="C30" s="61">
        <f>SUMIF(Einsatzplan!$C$9:$C$18,B30,Einsatzplan!$AI$9:$AI$18)</f>
        <v>299.5</v>
      </c>
      <c r="D30" s="71">
        <f>SUMPRODUCT((Einsatzplan!$C$9:$C$18=B30)*Einsatzplan!$AI$9:$AI$18*Mitarbeiter!$H$6:$H$15)</f>
        <v>7121</v>
      </c>
    </row>
    <row r="31" spans="2:9" x14ac:dyDescent="0.25">
      <c r="B31" s="57" t="s">
        <v>87</v>
      </c>
      <c r="C31" s="61">
        <f>SUMIF(Einsatzplan!$C$9:$C$18,B31,Einsatzplan!$AI$9:$AI$18)</f>
        <v>398.5</v>
      </c>
      <c r="D31" s="71">
        <f>SUMPRODUCT((Einsatzplan!$C$9:$C$18=B31)*Einsatzplan!$AI$9:$AI$18*Mitarbeiter!$H$6:$H$15)</f>
        <v>10406</v>
      </c>
    </row>
  </sheetData>
  <mergeCells count="10">
    <mergeCell ref="B9:C9"/>
    <mergeCell ref="D9:E9"/>
    <mergeCell ref="B10:C11"/>
    <mergeCell ref="D10:E11"/>
    <mergeCell ref="B5:C5"/>
    <mergeCell ref="D5:E5"/>
    <mergeCell ref="F5:G5"/>
    <mergeCell ref="B6:C7"/>
    <mergeCell ref="D6:E7"/>
    <mergeCell ref="F6:G7"/>
  </mergeCells>
  <pageMargins left="0.3" right="0.3" top="0.5" bottom="0.5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Schichten</vt:lpstr>
      <vt:lpstr>Mitarbeiter</vt:lpstr>
      <vt:lpstr>Einsatzplan</vt:lpstr>
      <vt:lpstr>Auswertung</vt:lpstr>
      <vt:lpstr>Einsatzplan!Druckbereich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2026-06-30T10:14:38Z</dcterms:created>
  <dcterms:modified xsi:type="dcterms:W3CDTF">2026-06-30T11:04:53Z</dcterms:modified>
  <dc:language>en-US</dc:language>
</cp:coreProperties>
</file>