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48A5373D-AAEC-4F37-B5FA-5FAA5104599A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Bedarfsplanung 2026" sheetId="1" r:id="rId1"/>
    <sheet name="Auswertung" sheetId="2" r:id="rId2"/>
  </sheets>
  <definedNames>
    <definedName name="_xlnm._FilterDatabase" localSheetId="0" hidden="1">'Bedarfsplanung 2026'!$A$13:$R$13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2" l="1"/>
  <c r="D13" i="2"/>
  <c r="C13" i="2"/>
  <c r="D12" i="2"/>
  <c r="C12" i="2"/>
  <c r="C11" i="2"/>
  <c r="C10" i="2"/>
  <c r="J9" i="2"/>
  <c r="K9" i="2" s="1"/>
  <c r="D9" i="2"/>
  <c r="C9" i="2"/>
  <c r="J8" i="2"/>
  <c r="K8" i="2" s="1"/>
  <c r="C8" i="2"/>
  <c r="C7" i="2"/>
  <c r="J6" i="2"/>
  <c r="K6" i="2" s="1"/>
  <c r="C6" i="2"/>
  <c r="C14" i="2" s="1"/>
  <c r="M24" i="1"/>
  <c r="L24" i="1"/>
  <c r="K24" i="1"/>
  <c r="G24" i="1"/>
  <c r="F24" i="1"/>
  <c r="E24" i="1"/>
  <c r="D24" i="1"/>
  <c r="N23" i="1"/>
  <c r="H23" i="1"/>
  <c r="N22" i="1"/>
  <c r="H22" i="1"/>
  <c r="N21" i="1"/>
  <c r="H21" i="1"/>
  <c r="N20" i="1"/>
  <c r="D11" i="2" s="1"/>
  <c r="H20" i="1"/>
  <c r="N19" i="1"/>
  <c r="D10" i="2" s="1"/>
  <c r="I19" i="1"/>
  <c r="J19" i="1" s="1"/>
  <c r="H19" i="1"/>
  <c r="N18" i="1"/>
  <c r="H18" i="1"/>
  <c r="N17" i="1"/>
  <c r="D8" i="2" s="1"/>
  <c r="I17" i="1"/>
  <c r="J17" i="1" s="1"/>
  <c r="H17" i="1"/>
  <c r="N16" i="1"/>
  <c r="D7" i="2" s="1"/>
  <c r="H16" i="1"/>
  <c r="I16" i="1" s="1"/>
  <c r="J16" i="1" s="1"/>
  <c r="N15" i="1"/>
  <c r="H15" i="1"/>
  <c r="N14" i="1"/>
  <c r="E21" i="2" s="1"/>
  <c r="H14" i="1"/>
  <c r="I14" i="1" s="1"/>
  <c r="P7" i="1"/>
  <c r="C5" i="1"/>
  <c r="O19" i="1" l="1"/>
  <c r="B10" i="2"/>
  <c r="J23" i="1"/>
  <c r="B8" i="2"/>
  <c r="O17" i="1"/>
  <c r="O16" i="1"/>
  <c r="B7" i="2"/>
  <c r="J20" i="1"/>
  <c r="J14" i="1"/>
  <c r="I15" i="1"/>
  <c r="J15" i="1" s="1"/>
  <c r="O15" i="1" s="1"/>
  <c r="I18" i="1"/>
  <c r="J18" i="1" s="1"/>
  <c r="I21" i="1"/>
  <c r="J21" i="1" s="1"/>
  <c r="O21" i="1" s="1"/>
  <c r="E5" i="1"/>
  <c r="H24" i="1"/>
  <c r="I23" i="1"/>
  <c r="D6" i="2"/>
  <c r="D14" i="2" s="1"/>
  <c r="I22" i="1"/>
  <c r="J22" i="1" s="1"/>
  <c r="I20" i="1"/>
  <c r="N24" i="1"/>
  <c r="B21" i="2"/>
  <c r="F21" i="2" s="1"/>
  <c r="C21" i="2"/>
  <c r="D21" i="2"/>
  <c r="B12" i="2" l="1"/>
  <c r="O22" i="1"/>
  <c r="Q15" i="1"/>
  <c r="P15" i="1"/>
  <c r="Q21" i="1"/>
  <c r="P21" i="1"/>
  <c r="B9" i="2"/>
  <c r="O18" i="1"/>
  <c r="Q16" i="1"/>
  <c r="P16" i="1"/>
  <c r="E7" i="2"/>
  <c r="F7" i="2" s="1"/>
  <c r="I24" i="1"/>
  <c r="B13" i="2"/>
  <c r="O23" i="1"/>
  <c r="O20" i="1"/>
  <c r="B11" i="2"/>
  <c r="E19" i="2"/>
  <c r="F19" i="2" s="1"/>
  <c r="D19" i="2"/>
  <c r="O5" i="1"/>
  <c r="J24" i="1"/>
  <c r="O14" i="1"/>
  <c r="B6" i="2"/>
  <c r="C19" i="2"/>
  <c r="B19" i="2"/>
  <c r="J7" i="2"/>
  <c r="K7" i="2" s="1"/>
  <c r="A5" i="1"/>
  <c r="E8" i="2"/>
  <c r="F8" i="2" s="1"/>
  <c r="P17" i="1"/>
  <c r="Q17" i="1"/>
  <c r="Q19" i="1"/>
  <c r="P19" i="1"/>
  <c r="E10" i="2"/>
  <c r="F10" i="2" s="1"/>
  <c r="E11" i="2" l="1"/>
  <c r="F11" i="2" s="1"/>
  <c r="Q20" i="1"/>
  <c r="P20" i="1"/>
  <c r="Q18" i="1"/>
  <c r="P18" i="1"/>
  <c r="E9" i="2"/>
  <c r="F9" i="2" s="1"/>
  <c r="B14" i="2"/>
  <c r="E12" i="2"/>
  <c r="F12" i="2" s="1"/>
  <c r="P22" i="1"/>
  <c r="Q22" i="1"/>
  <c r="Q23" i="1"/>
  <c r="P23" i="1"/>
  <c r="E13" i="2"/>
  <c r="F13" i="2" s="1"/>
  <c r="O24" i="1"/>
  <c r="P14" i="1"/>
  <c r="K5" i="1"/>
  <c r="E6" i="2"/>
  <c r="Q14" i="1"/>
  <c r="I5" i="1"/>
  <c r="G5" i="1"/>
  <c r="P24" i="1" l="1"/>
  <c r="M5" i="1"/>
  <c r="E14" i="2"/>
  <c r="F14" i="2" s="1"/>
  <c r="F6" i="2"/>
</calcChain>
</file>

<file path=xl/sharedStrings.xml><?xml version="1.0" encoding="utf-8"?>
<sst xmlns="http://schemas.openxmlformats.org/spreadsheetml/2006/main" count="120" uniqueCount="103">
  <si>
    <t xml:space="preserve">  Einsatz-, Reserve- und Bruttobedarf  →  Fortgeschriebener Bestand  →  Nettobedarf  (Einstellungen / Freisetzungen)  ·  Alle Werte werden automatisch berechnet</t>
  </si>
  <si>
    <t>Bruttobedarf gesamt (MA)</t>
  </si>
  <si>
    <t>IST-Bestand (MA)</t>
  </si>
  <si>
    <t>Fortgeschr. Bestand</t>
  </si>
  <si>
    <t>Nettobedarf gesamt</t>
  </si>
  <si>
    <t>Neueinstellungen</t>
  </si>
  <si>
    <t>Freisetzungen (Überdeckung)</t>
  </si>
  <si>
    <t>Krit. Abteilungen</t>
  </si>
  <si>
    <t>Personal-Deckungsgrad (Ist / Brutto)</t>
  </si>
  <si>
    <t xml:space="preserve">  Planungszeitraum:</t>
  </si>
  <si>
    <t>01.01.2026 – 31.12.2026</t>
  </si>
  <si>
    <t>Stichtag:</t>
  </si>
  <si>
    <t>Verantwortlich:</t>
  </si>
  <si>
    <t>T. Albrecht (HR)</t>
  </si>
  <si>
    <t>Erstellt am:</t>
  </si>
  <si>
    <t xml:space="preserve">  Berechnungsschema (CPM-style, automatisiert)</t>
  </si>
  <si>
    <t xml:space="preserve">  Einsatzbedarf = Arbeitsmenge ÷ Regelarbeitszeit     Reservebedarf = Einsatzbedarf × Ausfallquote     Bruttobedarf = Einsatz + Reserve + Zusatz     Fortgeschr. Bestand = IST + Zugänge − Abgänge     Nettobedarf = Bruttobedarf − Fortgeschr. Bestand     (positiv = Einstellungen, negativ = Überdeckung)</t>
  </si>
  <si>
    <t>Stammdaten</t>
  </si>
  <si>
    <t>Eingaben Bedarf</t>
  </si>
  <si>
    <t>Bruttobedarf (auto)</t>
  </si>
  <si>
    <t>Personalbestand</t>
  </si>
  <si>
    <t>Nettobedarf (auto)</t>
  </si>
  <si>
    <t>Auswertung</t>
  </si>
  <si>
    <t>Nr.</t>
  </si>
  <si>
    <t>Abteilung</t>
  </si>
  <si>
    <t>Qualifikation</t>
  </si>
  <si>
    <t>Arbeitsmenge
(h/Jahr)</t>
  </si>
  <si>
    <t>Regelarbeitszeit
(h/MA·Jahr)</t>
  </si>
  <si>
    <t>Ausfall-quote</t>
  </si>
  <si>
    <t>Zusatz-bedarf
(MA)</t>
  </si>
  <si>
    <t>Einsatz-bedarf</t>
  </si>
  <si>
    <t>Reserve-bedarf</t>
  </si>
  <si>
    <t>Brutto-bedarf
(MA)</t>
  </si>
  <si>
    <t>IST-
Bestand</t>
  </si>
  <si>
    <t>Zugänge</t>
  </si>
  <si>
    <t>Abgänge</t>
  </si>
  <si>
    <t>Fortgeschr.
Bestand</t>
  </si>
  <si>
    <t>Netto-bedarf
(MA)</t>
  </si>
  <si>
    <t>Status</t>
  </si>
  <si>
    <t>Maßnahme</t>
  </si>
  <si>
    <t>Bemerkungen / Begründung</t>
  </si>
  <si>
    <t>Produktion</t>
  </si>
  <si>
    <t>Facharbeiter</t>
  </si>
  <si>
    <t>Auftragslage stabil, neuer Großauftrag Q2/2026</t>
  </si>
  <si>
    <t>Hilfskraft</t>
  </si>
  <si>
    <t>Saisonbedingter Mehrbedarf in Q3</t>
  </si>
  <si>
    <t>Lager &amp; Logistik</t>
  </si>
  <si>
    <t>Fachkraft Logistik</t>
  </si>
  <si>
    <t>Stabile Bedarfslage</t>
  </si>
  <si>
    <t>Vertrieb</t>
  </si>
  <si>
    <t>Account Manager</t>
  </si>
  <si>
    <t>Expansion in DACH-Region geplant</t>
  </si>
  <si>
    <t>Marketing</t>
  </si>
  <si>
    <t>Marketing Spezialist</t>
  </si>
  <si>
    <t>Neue Produktlinie ab Mitte 2026</t>
  </si>
  <si>
    <t>Kundenservice</t>
  </si>
  <si>
    <t>Servicemitarbeiter</t>
  </si>
  <si>
    <t>Bedarf konstant</t>
  </si>
  <si>
    <t>IT</t>
  </si>
  <si>
    <t>Softwareentwickler</t>
  </si>
  <si>
    <t>Digitalisierungsoffensive – zusätzl. Projekte</t>
  </si>
  <si>
    <t>Systemadministrator</t>
  </si>
  <si>
    <t>Stabil</t>
  </si>
  <si>
    <t>Personal</t>
  </si>
  <si>
    <t>HR Business Partner</t>
  </si>
  <si>
    <t>Schwangerschaftsvertretung erforderlich</t>
  </si>
  <si>
    <t>Finanzen</t>
  </si>
  <si>
    <t>Buchhalter</t>
  </si>
  <si>
    <t>Jahresabschluss-Saison Q1</t>
  </si>
  <si>
    <t>GESAMT</t>
  </si>
  <si>
    <t>Legende / Statusfarben:</t>
  </si>
  <si>
    <t>Unterdeckung – Personal fehlt, Recruiting erforderlich</t>
  </si>
  <si>
    <t>Überdeckung – Personal über Bedarf, Maßnahmen prüfen</t>
  </si>
  <si>
    <t>Bedarf gedeckt – keine Maßnahme erforderlich</t>
  </si>
  <si>
    <t>Hinweis: Eingabewerte stehen in WEISSEN Zellen (Arbeitsmenge, Regelarbeitszeit, Ausfallquote, Zusatzbedarf, IST-Bestand, Zugänge, Abgänge). Alle GELBLICHEN Zellen werden automatisch berechnet.</t>
  </si>
  <si>
    <t xml:space="preserve">  AUSWERTUNG PERSONALBEDARF   ·   Dashboard und Szenarien 2026</t>
  </si>
  <si>
    <t xml:space="preserve">  Aggregierte Sicht nach Abteilungen sowie Szenarienanalyse  ·  Alle Werte werden aus dem Hauptblatt automatisch übernommen</t>
  </si>
  <si>
    <t xml:space="preserve">  Personalbedarf nach Abteilung</t>
  </si>
  <si>
    <t xml:space="preserve">  Szenarienanalyse Ausfallquote</t>
  </si>
  <si>
    <t>Brutto-bedarf</t>
  </si>
  <si>
    <t>IST-Bestand</t>
  </si>
  <si>
    <t>Netto-bedarf</t>
  </si>
  <si>
    <t>Szenario</t>
  </si>
  <si>
    <t>Annahme Ausfall</t>
  </si>
  <si>
    <t>Optimistisch</t>
  </si>
  <si>
    <t>Realistisch</t>
  </si>
  <si>
    <t>(IST)</t>
  </si>
  <si>
    <t>Konservativ</t>
  </si>
  <si>
    <t>Worst-Case</t>
  </si>
  <si>
    <t xml:space="preserve">  Bedarfsentwicklung 2026 (Quartalssicht)</t>
  </si>
  <si>
    <t>Kennzahl</t>
  </si>
  <si>
    <t>Q1 2026</t>
  </si>
  <si>
    <t>Q2 2026</t>
  </si>
  <si>
    <t>Q3 2026</t>
  </si>
  <si>
    <t>Q4 2026</t>
  </si>
  <si>
    <t>Trend</t>
  </si>
  <si>
    <t>Bruttobedarf (MA)</t>
  </si>
  <si>
    <t>Saisonale Anpassung gemäß Auftragslage</t>
  </si>
  <si>
    <t>Netto-Einstellungen</t>
  </si>
  <si>
    <t>Fokus: Recruiting in Q2 und Q3</t>
  </si>
  <si>
    <t>Konstante Anpassung an Soll-Bedarf</t>
  </si>
  <si>
    <t>Hinweis: Die Quartalswerte sind beispielhafte Projektionen. Passen Sie die Faktoren an Ihre Auftrags- und Saisonprognosen an. Diese Auswertung dient als Frühwarnsystem für Personalengpässe.</t>
  </si>
  <si>
    <t xml:space="preserve">  PERSONALBEDARFSPLANUNG   ·   Quantitative Bedarfsermittlung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</si>
</sst>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d\.mm\.yyyy"/>
  </numFmts>
  <fonts count="32" x14ac:knownFonts="1">
    <font>
      <sz val="11"/>
      <color theme="1"/>
      <name val="Calibri"/>
      <family val="2"/>
      <charset val="1"/>
    </font>
    <font>
      <b/>
      <sz val="18"/>
      <color rgb="FFFFFFFF"/>
      <name val="Calibri"/>
      <charset val="1"/>
    </font>
    <font>
      <i/>
      <sz val="9"/>
      <color rgb="FFFFFFFF"/>
      <name val="Calibri"/>
      <charset val="1"/>
    </font>
    <font>
      <sz val="8"/>
      <color rgb="FF4E5A5E"/>
      <name val="Calibri"/>
      <charset val="1"/>
    </font>
    <font>
      <b/>
      <sz val="18"/>
      <color rgb="FF0E5C6E"/>
      <name val="Calibri"/>
      <charset val="1"/>
    </font>
    <font>
      <b/>
      <sz val="18"/>
      <color rgb="FF12262C"/>
      <name val="Calibri"/>
      <charset val="1"/>
    </font>
    <font>
      <b/>
      <sz val="18"/>
      <color rgb="FFD4A52A"/>
      <name val="Calibri"/>
      <charset val="1"/>
    </font>
    <font>
      <b/>
      <sz val="18"/>
      <color rgb="FFC0392B"/>
      <name val="Calibri"/>
      <charset val="1"/>
    </font>
    <font>
      <b/>
      <sz val="18"/>
      <color rgb="FFB7950A"/>
      <name val="Calibri"/>
      <charset val="1"/>
    </font>
    <font>
      <b/>
      <sz val="9"/>
      <color rgb="FFFFFFFF"/>
      <name val="Calibri"/>
      <charset val="1"/>
    </font>
    <font>
      <b/>
      <sz val="10"/>
      <color rgb="FF0E5C6E"/>
      <name val="Calibri"/>
      <charset val="1"/>
    </font>
    <font>
      <b/>
      <sz val="10"/>
      <color rgb="FFFFFFFF"/>
      <name val="Calibri"/>
      <charset val="1"/>
    </font>
    <font>
      <i/>
      <sz val="9"/>
      <color rgb="FF12262C"/>
      <name val="Calibri"/>
      <charset val="1"/>
    </font>
    <font>
      <b/>
      <sz val="9"/>
      <color rgb="FF12262C"/>
      <name val="Calibri"/>
      <charset val="1"/>
    </font>
    <font>
      <b/>
      <sz val="9"/>
      <color rgb="FF0E5C6E"/>
      <name val="Calibri"/>
      <charset val="1"/>
    </font>
    <font>
      <sz val="9"/>
      <color rgb="FF12262C"/>
      <name val="Calibri"/>
      <charset val="1"/>
    </font>
    <font>
      <sz val="10"/>
      <color rgb="FF12262C"/>
      <name val="Calibri"/>
      <charset val="1"/>
    </font>
    <font>
      <b/>
      <sz val="11"/>
      <color rgb="FF08404E"/>
      <name val="Calibri"/>
      <charset val="1"/>
    </font>
    <font>
      <sz val="10"/>
      <color rgb="FF1A7A4A"/>
      <name val="Calibri"/>
      <charset val="1"/>
    </font>
    <font>
      <sz val="10"/>
      <color rgb="FFC0392B"/>
      <name val="Calibri"/>
      <charset val="1"/>
    </font>
    <font>
      <b/>
      <sz val="11"/>
      <color rgb="FF0E5C6E"/>
      <name val="Calibri"/>
      <charset val="1"/>
    </font>
    <font>
      <i/>
      <sz val="9"/>
      <color rgb="FF4E5A5E"/>
      <name val="Calibri"/>
      <charset val="1"/>
    </font>
    <font>
      <sz val="9"/>
      <color rgb="FF4E5A5E"/>
      <name val="Calibri"/>
      <charset val="1"/>
    </font>
    <font>
      <b/>
      <sz val="11"/>
      <color rgb="FFFFFFFF"/>
      <name val="Calibri"/>
      <charset val="1"/>
    </font>
    <font>
      <b/>
      <sz val="8"/>
      <color rgb="FFA04000"/>
      <name val="Calibri"/>
      <charset val="1"/>
    </font>
    <font>
      <b/>
      <sz val="8"/>
      <color rgb="FFC0392B"/>
      <name val="Calibri"/>
      <charset val="1"/>
    </font>
    <font>
      <b/>
      <sz val="8"/>
      <color rgb="FF1A7A4A"/>
      <name val="Calibri"/>
      <charset val="1"/>
    </font>
    <font>
      <i/>
      <sz val="8"/>
      <color rgb="FF6B7375"/>
      <name val="Calibri"/>
      <charset val="1"/>
    </font>
    <font>
      <b/>
      <sz val="16"/>
      <color rgb="FFFFFFFF"/>
      <name val="Calibri"/>
      <charset val="1"/>
    </font>
    <font>
      <b/>
      <sz val="10"/>
      <color rgb="FF08404E"/>
      <name val="Calibri"/>
      <charset val="1"/>
    </font>
    <font>
      <b/>
      <sz val="10"/>
      <color rgb="FFD4A52A"/>
      <name val="Calibri"/>
      <charset val="1"/>
    </font>
    <font>
      <b/>
      <sz val="10"/>
      <color rgb="FFC0392B"/>
      <name val="Calibri"/>
      <charset val="1"/>
    </font>
  </fonts>
  <fills count="13">
    <fill>
      <patternFill patternType="none"/>
    </fill>
    <fill>
      <patternFill patternType="gray125"/>
    </fill>
    <fill>
      <patternFill patternType="solid">
        <fgColor rgb="FF0E5C6E"/>
        <bgColor rgb="FF08404E"/>
      </patternFill>
    </fill>
    <fill>
      <patternFill patternType="solid">
        <fgColor rgb="FF08404E"/>
        <bgColor rgb="FF12262C"/>
      </patternFill>
    </fill>
    <fill>
      <patternFill patternType="solid">
        <fgColor rgb="FFD4A52A"/>
        <bgColor rgb="FFB7950A"/>
      </patternFill>
    </fill>
    <fill>
      <patternFill patternType="solid">
        <fgColor rgb="FFF2F4F5"/>
        <bgColor rgb="FFFBF6E0"/>
      </patternFill>
    </fill>
    <fill>
      <patternFill patternType="solid">
        <fgColor rgb="FF3A8499"/>
        <bgColor rgb="FF6B7375"/>
      </patternFill>
    </fill>
    <fill>
      <patternFill patternType="solid">
        <fgColor rgb="FFF8EDC5"/>
        <bgColor rgb="FFFCE4C0"/>
      </patternFill>
    </fill>
    <fill>
      <patternFill patternType="solid">
        <fgColor rgb="FFFBF6E0"/>
        <bgColor rgb="FFF2F4F5"/>
      </patternFill>
    </fill>
    <fill>
      <patternFill patternType="solid">
        <fgColor rgb="FFFFFFFF"/>
        <bgColor rgb="FFF2F4F5"/>
      </patternFill>
    </fill>
    <fill>
      <patternFill patternType="solid">
        <fgColor rgb="FFFCE4C0"/>
        <bgColor rgb="FFF8EDC5"/>
      </patternFill>
    </fill>
    <fill>
      <patternFill patternType="solid">
        <fgColor rgb="FFFADBD8"/>
        <bgColor rgb="FFFCE4C0"/>
      </patternFill>
    </fill>
    <fill>
      <patternFill patternType="solid">
        <fgColor rgb="FFD5F5E3"/>
        <bgColor rgb="FFF2F4F5"/>
      </patternFill>
    </fill>
  </fills>
  <borders count="12">
    <border>
      <left/>
      <right/>
      <top/>
      <bottom/>
      <diagonal/>
    </border>
    <border>
      <left style="medium">
        <color rgb="FF0E5C6E"/>
      </left>
      <right/>
      <top style="medium">
        <color rgb="FF0E5C6E"/>
      </top>
      <bottom/>
      <diagonal/>
    </border>
    <border>
      <left style="medium">
        <color rgb="FF0E5C6E"/>
      </left>
      <right/>
      <top/>
      <bottom style="medium">
        <color rgb="FF0E5C6E"/>
      </bottom>
      <diagonal/>
    </border>
    <border>
      <left style="thin">
        <color rgb="FFD8DCDE"/>
      </left>
      <right/>
      <top style="thin">
        <color rgb="FFD8DCDE"/>
      </top>
      <bottom style="thin">
        <color rgb="FFD8DCDE"/>
      </bottom>
      <diagonal/>
    </border>
    <border>
      <left style="medium">
        <color rgb="FFD4A52A"/>
      </left>
      <right/>
      <top style="thin">
        <color rgb="FFD8DCDE"/>
      </top>
      <bottom style="thin">
        <color rgb="FFD8DCDE"/>
      </bottom>
      <diagonal/>
    </border>
    <border>
      <left/>
      <right/>
      <top/>
      <bottom style="medium">
        <color rgb="FF08404E"/>
      </bottom>
      <diagonal/>
    </border>
    <border>
      <left/>
      <right style="thin">
        <color rgb="FFFFFFFF"/>
      </right>
      <top/>
      <bottom style="medium">
        <color rgb="FFD4A52A"/>
      </bottom>
      <diagonal/>
    </border>
    <border>
      <left/>
      <right/>
      <top/>
      <bottom style="thin">
        <color rgb="FFDDDDDD"/>
      </bottom>
      <diagonal/>
    </border>
    <border>
      <left style="thin">
        <color rgb="FFD8DCDE"/>
      </left>
      <right style="thin">
        <color rgb="FFD8DCDE"/>
      </right>
      <top style="thin">
        <color rgb="FFD8DCDE"/>
      </top>
      <bottom style="thin">
        <color rgb="FFD8DCDE"/>
      </bottom>
      <diagonal/>
    </border>
    <border>
      <left style="medium">
        <color rgb="FFA04000"/>
      </left>
      <right/>
      <top style="thin">
        <color rgb="FFD8DCDE"/>
      </top>
      <bottom style="thin">
        <color rgb="FFD8DCDE"/>
      </bottom>
      <diagonal/>
    </border>
    <border>
      <left style="medium">
        <color rgb="FFC0392B"/>
      </left>
      <right/>
      <top style="thin">
        <color rgb="FFD8DCDE"/>
      </top>
      <bottom style="thin">
        <color rgb="FFD8DCDE"/>
      </bottom>
      <diagonal/>
    </border>
    <border>
      <left style="medium">
        <color rgb="FF1A7A4A"/>
      </left>
      <right/>
      <top style="thin">
        <color rgb="FFD8DCDE"/>
      </top>
      <bottom style="thin">
        <color rgb="FFD8DCDE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2" fillId="7" borderId="4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165" fontId="10" fillId="7" borderId="3" xfId="0" applyNumberFormat="1" applyFont="1" applyFill="1" applyBorder="1" applyAlignment="1">
      <alignment horizontal="left" vertical="center"/>
    </xf>
    <xf numFmtId="0" fontId="10" fillId="7" borderId="3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164" fontId="4" fillId="5" borderId="2" xfId="0" applyNumberFormat="1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4" borderId="0" xfId="0" applyFill="1"/>
    <xf numFmtId="0" fontId="9" fillId="2" borderId="6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left" vertical="center"/>
    </xf>
    <xf numFmtId="0" fontId="15" fillId="8" borderId="7" xfId="0" applyFont="1" applyFill="1" applyBorder="1" applyAlignment="1">
      <alignment horizontal="left" vertical="center"/>
    </xf>
    <xf numFmtId="3" fontId="16" fillId="9" borderId="7" xfId="0" applyNumberFormat="1" applyFont="1" applyFill="1" applyBorder="1" applyAlignment="1">
      <alignment horizontal="right" vertical="center"/>
    </xf>
    <xf numFmtId="9" fontId="16" fillId="9" borderId="7" xfId="0" applyNumberFormat="1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2" fontId="10" fillId="7" borderId="7" xfId="0" applyNumberFormat="1" applyFont="1" applyFill="1" applyBorder="1" applyAlignment="1">
      <alignment horizontal="center" vertical="center"/>
    </xf>
    <xf numFmtId="1" fontId="17" fillId="7" borderId="7" xfId="0" applyNumberFormat="1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20" fillId="7" borderId="7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left" vertical="center"/>
    </xf>
    <xf numFmtId="0" fontId="22" fillId="8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left" vertical="center"/>
    </xf>
    <xf numFmtId="0" fontId="15" fillId="9" borderId="7" xfId="0" applyFont="1" applyFill="1" applyBorder="1" applyAlignment="1">
      <alignment horizontal="left" vertical="center"/>
    </xf>
    <xf numFmtId="0" fontId="13" fillId="9" borderId="7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left" vertical="center"/>
    </xf>
    <xf numFmtId="0" fontId="22" fillId="9" borderId="7" xfId="0" applyFont="1" applyFill="1" applyBorder="1" applyAlignment="1">
      <alignment horizontal="left" vertical="center" wrapText="1"/>
    </xf>
    <xf numFmtId="3" fontId="11" fillId="3" borderId="8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9" fontId="11" fillId="3" borderId="8" xfId="0" applyNumberFormat="1" applyFont="1" applyFill="1" applyBorder="1" applyAlignment="1">
      <alignment horizontal="center" vertical="center"/>
    </xf>
    <xf numFmtId="1" fontId="11" fillId="3" borderId="8" xfId="0" applyNumberFormat="1" applyFont="1" applyFill="1" applyBorder="1" applyAlignment="1">
      <alignment horizontal="center" vertical="center"/>
    </xf>
    <xf numFmtId="2" fontId="11" fillId="3" borderId="8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0" fillId="3" borderId="8" xfId="0" applyFill="1" applyBorder="1"/>
    <xf numFmtId="0" fontId="9" fillId="3" borderId="8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left" vertical="center"/>
    </xf>
    <xf numFmtId="0" fontId="29" fillId="8" borderId="8" xfId="0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9" fontId="16" fillId="8" borderId="8" xfId="0" applyNumberFormat="1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left" vertical="center"/>
    </xf>
    <xf numFmtId="0" fontId="29" fillId="9" borderId="8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9" fontId="16" fillId="9" borderId="8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right" vertical="center"/>
    </xf>
    <xf numFmtId="0" fontId="13" fillId="8" borderId="8" xfId="0" applyFont="1" applyFill="1" applyBorder="1" applyAlignment="1">
      <alignment horizontal="left" vertical="center"/>
    </xf>
    <xf numFmtId="0" fontId="30" fillId="8" borderId="8" xfId="0" applyFont="1" applyFill="1" applyBorder="1" applyAlignment="1">
      <alignment horizontal="center" vertical="center"/>
    </xf>
    <xf numFmtId="0" fontId="0" fillId="9" borderId="0" xfId="0" applyFill="1"/>
    <xf numFmtId="0" fontId="13" fillId="9" borderId="8" xfId="0" applyFont="1" applyFill="1" applyBorder="1" applyAlignment="1">
      <alignment horizontal="left" vertical="center"/>
    </xf>
    <xf numFmtId="0" fontId="31" fillId="9" borderId="8" xfId="0" applyFont="1" applyFill="1" applyBorder="1" applyAlignment="1">
      <alignment horizontal="center" vertical="center"/>
    </xf>
    <xf numFmtId="0" fontId="30" fillId="9" borderId="8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24" fillId="10" borderId="9" xfId="0" applyFont="1" applyFill="1" applyBorder="1" applyAlignment="1">
      <alignment horizontal="left" vertical="center"/>
    </xf>
    <xf numFmtId="0" fontId="25" fillId="11" borderId="10" xfId="0" applyFont="1" applyFill="1" applyBorder="1" applyAlignment="1">
      <alignment horizontal="left" vertical="center"/>
    </xf>
    <xf numFmtId="0" fontId="26" fillId="12" borderId="11" xfId="0" applyFont="1" applyFill="1" applyBorder="1" applyAlignment="1">
      <alignment horizontal="left" vertical="center"/>
    </xf>
    <xf numFmtId="0" fontId="27" fillId="5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0" fontId="21" fillId="9" borderId="3" xfId="0" applyFont="1" applyFill="1" applyBorder="1" applyAlignment="1">
      <alignment horizontal="left" vertical="center"/>
    </xf>
  </cellXfs>
  <cellStyles count="1">
    <cellStyle name="Standard" xfId="0" builtinId="0"/>
  </cellStyles>
  <dxfs count="9">
    <dxf>
      <fill>
        <patternFill>
          <bgColor rgb="FFD5F5E3"/>
        </patternFill>
      </fill>
    </dxf>
    <dxf>
      <fill>
        <patternFill>
          <bgColor rgb="FFFADBD8"/>
        </patternFill>
      </fill>
    </dxf>
    <dxf>
      <fill>
        <patternFill>
          <bgColor rgb="FFFCE4C0"/>
        </patternFill>
      </fill>
    </dxf>
    <dxf>
      <font>
        <b/>
        <sz val="11"/>
        <color rgb="FF1A7A4A"/>
        <name val="Calibri"/>
        <charset val="1"/>
      </font>
    </dxf>
    <dxf>
      <font>
        <b/>
        <sz val="11"/>
        <color rgb="FFB7950A"/>
        <name val="Calibri"/>
        <charset val="1"/>
      </font>
    </dxf>
    <dxf>
      <font>
        <b/>
        <sz val="11"/>
        <color rgb="FFC0392B"/>
        <name val="Calibri"/>
        <charset val="1"/>
      </font>
    </dxf>
    <dxf>
      <fill>
        <patternFill>
          <bgColor rgb="FFD5F5E3"/>
        </patternFill>
      </fill>
    </dxf>
    <dxf>
      <fill>
        <patternFill>
          <bgColor rgb="FFFADBD8"/>
        </patternFill>
      </fill>
    </dxf>
    <dxf>
      <fill>
        <patternFill>
          <bgColor rgb="FFFCE4C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7950A"/>
      <rgbColor rgb="FF800080"/>
      <rgbColor rgb="FF1A7A4A"/>
      <rgbColor rgb="FFDDDDDD"/>
      <rgbColor rgb="FF6B7375"/>
      <rgbColor rgb="FF9999FF"/>
      <rgbColor rgb="FFC0392B"/>
      <rgbColor rgb="FFFBF6E0"/>
      <rgbColor rgb="FFF2F4F5"/>
      <rgbColor rgb="FF660066"/>
      <rgbColor rgb="FFFF8080"/>
      <rgbColor rgb="FF0066CC"/>
      <rgbColor rgb="FFD8DCDE"/>
      <rgbColor rgb="FF000080"/>
      <rgbColor rgb="FFFF00FF"/>
      <rgbColor rgb="FFFFFF00"/>
      <rgbColor rgb="FF00FFFF"/>
      <rgbColor rgb="FF800080"/>
      <rgbColor rgb="FF800000"/>
      <rgbColor rgb="FF0E5C6E"/>
      <rgbColor rgb="FF0000FF"/>
      <rgbColor rgb="FF00CCFF"/>
      <rgbColor rgb="FFFADBD8"/>
      <rgbColor rgb="FFD5F5E3"/>
      <rgbColor rgb="FFF8EDC5"/>
      <rgbColor rgb="FF99CCFF"/>
      <rgbColor rgb="FFFF99CC"/>
      <rgbColor rgb="FFCC99FF"/>
      <rgbColor rgb="FFFCE4C0"/>
      <rgbColor rgb="FF3366FF"/>
      <rgbColor rgb="FF33CCCC"/>
      <rgbColor rgb="FF99CC00"/>
      <rgbColor rgb="FFFFCC00"/>
      <rgbColor rgb="FFD4A52A"/>
      <rgbColor rgb="FFFF6600"/>
      <rgbColor rgb="FF4E5A5E"/>
      <rgbColor rgb="FF969696"/>
      <rgbColor rgb="FF08404E"/>
      <rgbColor rgb="FF3A8499"/>
      <rgbColor rgb="FF12262C"/>
      <rgbColor rgb="FF333300"/>
      <rgbColor rgb="FFA040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E5C6E"/>
  </sheetPr>
  <dimension ref="A1:U29"/>
  <sheetViews>
    <sheetView tabSelected="1" zoomScaleNormal="100" workbookViewId="0">
      <pane xSplit="3" ySplit="13" topLeftCell="D21" activePane="bottomRight" state="frozen"/>
      <selection pane="topRight" activeCell="D1" sqref="D1"/>
      <selection pane="bottomLeft" activeCell="A14" sqref="A14"/>
      <selection pane="bottomRight" activeCell="P26" sqref="P26"/>
    </sheetView>
  </sheetViews>
  <sheetFormatPr baseColWidth="10" defaultColWidth="8.7109375" defaultRowHeight="15" x14ac:dyDescent="0.25"/>
  <cols>
    <col min="1" max="1" width="5" customWidth="1"/>
    <col min="2" max="2" width="16" customWidth="1"/>
    <col min="3" max="3" width="22" customWidth="1"/>
    <col min="4" max="4" width="13" customWidth="1"/>
    <col min="5" max="5" width="14" customWidth="1"/>
    <col min="6" max="9" width="11" customWidth="1"/>
    <col min="10" max="10" width="12" customWidth="1"/>
    <col min="11" max="11" width="10" customWidth="1"/>
    <col min="12" max="13" width="9" customWidth="1"/>
    <col min="14" max="14" width="13" customWidth="1"/>
    <col min="15" max="15" width="12" customWidth="1"/>
    <col min="16" max="16" width="16" customWidth="1"/>
    <col min="17" max="17" width="20" customWidth="1"/>
    <col min="18" max="18" width="32" customWidth="1"/>
  </cols>
  <sheetData>
    <row r="1" spans="1:18" ht="48" customHeight="1" x14ac:dyDescent="0.25">
      <c r="A1" s="14" t="s">
        <v>102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21.75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4.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ht="18" customHeight="1" x14ac:dyDescent="0.25">
      <c r="A4" s="12" t="s">
        <v>1</v>
      </c>
      <c r="B4" s="12"/>
      <c r="C4" s="12" t="s">
        <v>2</v>
      </c>
      <c r="D4" s="12"/>
      <c r="E4" s="12" t="s">
        <v>3</v>
      </c>
      <c r="F4" s="12"/>
      <c r="G4" s="12" t="s">
        <v>4</v>
      </c>
      <c r="H4" s="12"/>
      <c r="I4" s="12" t="s">
        <v>5</v>
      </c>
      <c r="J4" s="12"/>
      <c r="K4" s="12" t="s">
        <v>6</v>
      </c>
      <c r="L4" s="12"/>
      <c r="M4" s="12" t="s">
        <v>7</v>
      </c>
      <c r="N4" s="12"/>
      <c r="O4" s="12" t="s">
        <v>8</v>
      </c>
      <c r="P4" s="12"/>
      <c r="Q4" s="12"/>
      <c r="R4" s="12"/>
    </row>
    <row r="5" spans="1:18" ht="27.75" customHeight="1" x14ac:dyDescent="0.25">
      <c r="A5" s="11">
        <f>SUM(J14:J23)</f>
        <v>98</v>
      </c>
      <c r="B5" s="11"/>
      <c r="C5" s="10">
        <f>SUM(K14:K23)</f>
        <v>83</v>
      </c>
      <c r="D5" s="10"/>
      <c r="E5" s="10">
        <f>SUM(N14:N23)</f>
        <v>80</v>
      </c>
      <c r="F5" s="10"/>
      <c r="G5" s="9">
        <f>SUM(O14:O23)</f>
        <v>18</v>
      </c>
      <c r="H5" s="9"/>
      <c r="I5" s="8">
        <f>SUMIF(O14:O23,"&gt;0")</f>
        <v>18</v>
      </c>
      <c r="J5" s="8"/>
      <c r="K5" s="7">
        <f>-SUMIF(O14:O23,"&lt;0")</f>
        <v>0</v>
      </c>
      <c r="L5" s="7"/>
      <c r="M5" s="11">
        <f>COUNTIF(P14:P23,"Unterdeckung")</f>
        <v>9</v>
      </c>
      <c r="N5" s="11"/>
      <c r="O5" s="6">
        <f>IFERROR(SUM(K14:K23)/MAX(1,SUM(J14:J23)),"–")</f>
        <v>0.84693877551020413</v>
      </c>
      <c r="P5" s="6"/>
      <c r="Q5" s="6"/>
      <c r="R5" s="6"/>
    </row>
    <row r="6" spans="1:18" ht="9.75" customHeight="1" x14ac:dyDescent="0.25"/>
    <row r="7" spans="1:18" ht="24" customHeight="1" x14ac:dyDescent="0.25">
      <c r="A7" s="5" t="s">
        <v>9</v>
      </c>
      <c r="B7" s="5"/>
      <c r="C7" s="4" t="s">
        <v>10</v>
      </c>
      <c r="D7" s="4"/>
      <c r="E7" s="4"/>
      <c r="F7" s="5" t="s">
        <v>11</v>
      </c>
      <c r="G7" s="5"/>
      <c r="H7" s="3">
        <v>46023</v>
      </c>
      <c r="I7" s="3"/>
      <c r="J7" s="5" t="s">
        <v>12</v>
      </c>
      <c r="K7" s="5"/>
      <c r="L7" s="4" t="s">
        <v>13</v>
      </c>
      <c r="M7" s="4"/>
      <c r="N7" s="5" t="s">
        <v>14</v>
      </c>
      <c r="O7" s="5"/>
      <c r="P7" s="3">
        <f ca="1">TODAY()</f>
        <v>46203</v>
      </c>
      <c r="Q7" s="3"/>
      <c r="R7" s="3"/>
    </row>
    <row r="8" spans="1:18" ht="9.75" customHeight="1" x14ac:dyDescent="0.25"/>
    <row r="9" spans="1:18" ht="21.75" customHeight="1" x14ac:dyDescent="0.25">
      <c r="A9" s="2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5.5" customHeight="1" x14ac:dyDescent="0.25">
      <c r="A10" s="1" t="s">
        <v>16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9.75" customHeight="1" x14ac:dyDescent="0.25"/>
    <row r="12" spans="1:18" ht="21.75" customHeight="1" x14ac:dyDescent="0.25">
      <c r="A12" s="67" t="s">
        <v>17</v>
      </c>
      <c r="B12" s="67"/>
      <c r="C12" s="67"/>
      <c r="D12" s="68" t="s">
        <v>18</v>
      </c>
      <c r="E12" s="68"/>
      <c r="F12" s="68"/>
      <c r="G12" s="68"/>
      <c r="H12" s="69" t="s">
        <v>19</v>
      </c>
      <c r="I12" s="69"/>
      <c r="J12" s="69"/>
      <c r="K12" s="68" t="s">
        <v>20</v>
      </c>
      <c r="L12" s="68"/>
      <c r="M12" s="68"/>
      <c r="N12" s="69" t="s">
        <v>21</v>
      </c>
      <c r="O12" s="69"/>
      <c r="P12" s="67" t="s">
        <v>22</v>
      </c>
      <c r="Q12" s="67"/>
      <c r="R12" s="67"/>
    </row>
    <row r="13" spans="1:18" ht="36" customHeight="1" x14ac:dyDescent="0.25">
      <c r="A13" s="16" t="s">
        <v>23</v>
      </c>
      <c r="B13" s="16" t="s">
        <v>24</v>
      </c>
      <c r="C13" s="16" t="s">
        <v>25</v>
      </c>
      <c r="D13" s="16" t="s">
        <v>26</v>
      </c>
      <c r="E13" s="16" t="s">
        <v>27</v>
      </c>
      <c r="F13" s="16" t="s">
        <v>28</v>
      </c>
      <c r="G13" s="16" t="s">
        <v>29</v>
      </c>
      <c r="H13" s="17" t="s">
        <v>30</v>
      </c>
      <c r="I13" s="17" t="s">
        <v>31</v>
      </c>
      <c r="J13" s="17" t="s">
        <v>32</v>
      </c>
      <c r="K13" s="16" t="s">
        <v>33</v>
      </c>
      <c r="L13" s="16" t="s">
        <v>34</v>
      </c>
      <c r="M13" s="16" t="s">
        <v>35</v>
      </c>
      <c r="N13" s="17" t="s">
        <v>36</v>
      </c>
      <c r="O13" s="17" t="s">
        <v>37</v>
      </c>
      <c r="P13" s="16" t="s">
        <v>38</v>
      </c>
      <c r="Q13" s="16" t="s">
        <v>39</v>
      </c>
      <c r="R13" s="16" t="s">
        <v>40</v>
      </c>
    </row>
    <row r="14" spans="1:18" ht="25.5" customHeight="1" x14ac:dyDescent="0.25">
      <c r="A14" s="18">
        <v>1</v>
      </c>
      <c r="B14" s="19" t="s">
        <v>41</v>
      </c>
      <c r="C14" s="20" t="s">
        <v>42</v>
      </c>
      <c r="D14" s="21">
        <v>34000</v>
      </c>
      <c r="E14" s="21">
        <v>1700</v>
      </c>
      <c r="F14" s="22">
        <v>0.18</v>
      </c>
      <c r="G14" s="23">
        <v>1</v>
      </c>
      <c r="H14" s="24">
        <f t="shared" ref="H14:H23" si="0">IFERROR(D14/E14,0)</f>
        <v>20</v>
      </c>
      <c r="I14" s="24">
        <f t="shared" ref="I14:I23" si="1">H14*F14</f>
        <v>3.5999999999999996</v>
      </c>
      <c r="J14" s="25">
        <f t="shared" ref="J14:J23" si="2">ROUNDUP(H14+I14+G14,0)</f>
        <v>25</v>
      </c>
      <c r="K14" s="23">
        <v>22</v>
      </c>
      <c r="L14" s="26">
        <v>1</v>
      </c>
      <c r="M14" s="27">
        <v>3</v>
      </c>
      <c r="N14" s="28">
        <f t="shared" ref="N14:N23" si="3">K14+L14-M14</f>
        <v>20</v>
      </c>
      <c r="O14" s="29">
        <f t="shared" ref="O14:O23" si="4">J14-N14</f>
        <v>5</v>
      </c>
      <c r="P14" s="30" t="str">
        <f t="shared" ref="P14:P23" si="5">IF(O14&gt;0,"Unterdeckung",IF(O14&lt;0,"Überdeckung","Bedarf gedeckt"))</f>
        <v>Unterdeckung</v>
      </c>
      <c r="Q14" s="31" t="str">
        <f t="shared" ref="Q14:Q23" si="6">IF(O14&gt;0,"Recruiting starten ("&amp;O14&amp;" MA)",IF(O14&lt;0,"Umstrukturierung prüfen","Keine Maßnahme erforderlich"))</f>
        <v>Recruiting starten (5 MA)</v>
      </c>
      <c r="R14" s="32" t="s">
        <v>43</v>
      </c>
    </row>
    <row r="15" spans="1:18" ht="25.5" customHeight="1" x14ac:dyDescent="0.25">
      <c r="A15" s="33">
        <v>2</v>
      </c>
      <c r="B15" s="34" t="s">
        <v>41</v>
      </c>
      <c r="C15" s="35" t="s">
        <v>44</v>
      </c>
      <c r="D15" s="21">
        <v>18000</v>
      </c>
      <c r="E15" s="21">
        <v>1700</v>
      </c>
      <c r="F15" s="22">
        <v>0.22</v>
      </c>
      <c r="G15" s="23">
        <v>0</v>
      </c>
      <c r="H15" s="24">
        <f t="shared" si="0"/>
        <v>10.588235294117647</v>
      </c>
      <c r="I15" s="24">
        <f t="shared" si="1"/>
        <v>2.3294117647058825</v>
      </c>
      <c r="J15" s="25">
        <f t="shared" si="2"/>
        <v>13</v>
      </c>
      <c r="K15" s="23">
        <v>12</v>
      </c>
      <c r="L15" s="26">
        <v>2</v>
      </c>
      <c r="M15" s="27">
        <v>1</v>
      </c>
      <c r="N15" s="28">
        <f t="shared" si="3"/>
        <v>13</v>
      </c>
      <c r="O15" s="29">
        <f t="shared" si="4"/>
        <v>0</v>
      </c>
      <c r="P15" s="36" t="str">
        <f t="shared" si="5"/>
        <v>Bedarf gedeckt</v>
      </c>
      <c r="Q15" s="37" t="str">
        <f t="shared" si="6"/>
        <v>Keine Maßnahme erforderlich</v>
      </c>
      <c r="R15" s="38" t="s">
        <v>45</v>
      </c>
    </row>
    <row r="16" spans="1:18" ht="25.5" customHeight="1" x14ac:dyDescent="0.25">
      <c r="A16" s="18">
        <v>3</v>
      </c>
      <c r="B16" s="19" t="s">
        <v>46</v>
      </c>
      <c r="C16" s="20" t="s">
        <v>47</v>
      </c>
      <c r="D16" s="21">
        <v>14400</v>
      </c>
      <c r="E16" s="21">
        <v>1700</v>
      </c>
      <c r="F16" s="22">
        <v>0.15</v>
      </c>
      <c r="G16" s="23">
        <v>0</v>
      </c>
      <c r="H16" s="24">
        <f t="shared" si="0"/>
        <v>8.4705882352941178</v>
      </c>
      <c r="I16" s="24">
        <f t="shared" si="1"/>
        <v>1.2705882352941176</v>
      </c>
      <c r="J16" s="25">
        <f t="shared" si="2"/>
        <v>10</v>
      </c>
      <c r="K16" s="23">
        <v>9</v>
      </c>
      <c r="L16" s="26">
        <v>0</v>
      </c>
      <c r="M16" s="27">
        <v>1</v>
      </c>
      <c r="N16" s="28">
        <f t="shared" si="3"/>
        <v>8</v>
      </c>
      <c r="O16" s="29">
        <f t="shared" si="4"/>
        <v>2</v>
      </c>
      <c r="P16" s="30" t="str">
        <f t="shared" si="5"/>
        <v>Unterdeckung</v>
      </c>
      <c r="Q16" s="31" t="str">
        <f t="shared" si="6"/>
        <v>Recruiting starten (2 MA)</v>
      </c>
      <c r="R16" s="32" t="s">
        <v>48</v>
      </c>
    </row>
    <row r="17" spans="1:21" ht="25.5" customHeight="1" x14ac:dyDescent="0.25">
      <c r="A17" s="33">
        <v>4</v>
      </c>
      <c r="B17" s="34" t="s">
        <v>49</v>
      </c>
      <c r="C17" s="35" t="s">
        <v>50</v>
      </c>
      <c r="D17" s="21">
        <v>12750</v>
      </c>
      <c r="E17" s="21">
        <v>1700</v>
      </c>
      <c r="F17" s="22">
        <v>0.12</v>
      </c>
      <c r="G17" s="23">
        <v>1</v>
      </c>
      <c r="H17" s="24">
        <f t="shared" si="0"/>
        <v>7.5</v>
      </c>
      <c r="I17" s="24">
        <f t="shared" si="1"/>
        <v>0.89999999999999991</v>
      </c>
      <c r="J17" s="25">
        <f t="shared" si="2"/>
        <v>10</v>
      </c>
      <c r="K17" s="23">
        <v>8</v>
      </c>
      <c r="L17" s="26">
        <v>1</v>
      </c>
      <c r="M17" s="27">
        <v>2</v>
      </c>
      <c r="N17" s="28">
        <f t="shared" si="3"/>
        <v>7</v>
      </c>
      <c r="O17" s="29">
        <f t="shared" si="4"/>
        <v>3</v>
      </c>
      <c r="P17" s="36" t="str">
        <f t="shared" si="5"/>
        <v>Unterdeckung</v>
      </c>
      <c r="Q17" s="37" t="str">
        <f t="shared" si="6"/>
        <v>Recruiting starten (3 MA)</v>
      </c>
      <c r="R17" s="38" t="s">
        <v>51</v>
      </c>
    </row>
    <row r="18" spans="1:21" ht="25.5" customHeight="1" x14ac:dyDescent="0.25">
      <c r="A18" s="18">
        <v>5</v>
      </c>
      <c r="B18" s="19" t="s">
        <v>52</v>
      </c>
      <c r="C18" s="20" t="s">
        <v>53</v>
      </c>
      <c r="D18" s="21">
        <v>7650</v>
      </c>
      <c r="E18" s="21">
        <v>1700</v>
      </c>
      <c r="F18" s="22">
        <v>0.14000000000000001</v>
      </c>
      <c r="G18" s="23">
        <v>0</v>
      </c>
      <c r="H18" s="24">
        <f t="shared" si="0"/>
        <v>4.5</v>
      </c>
      <c r="I18" s="24">
        <f t="shared" si="1"/>
        <v>0.63000000000000012</v>
      </c>
      <c r="J18" s="25">
        <f t="shared" si="2"/>
        <v>6</v>
      </c>
      <c r="K18" s="23">
        <v>5</v>
      </c>
      <c r="L18" s="26">
        <v>1</v>
      </c>
      <c r="M18" s="27">
        <v>1</v>
      </c>
      <c r="N18" s="28">
        <f t="shared" si="3"/>
        <v>5</v>
      </c>
      <c r="O18" s="29">
        <f t="shared" si="4"/>
        <v>1</v>
      </c>
      <c r="P18" s="30" t="str">
        <f t="shared" si="5"/>
        <v>Unterdeckung</v>
      </c>
      <c r="Q18" s="31" t="str">
        <f t="shared" si="6"/>
        <v>Recruiting starten (1 MA)</v>
      </c>
      <c r="R18" s="32" t="s">
        <v>54</v>
      </c>
    </row>
    <row r="19" spans="1:21" ht="25.5" customHeight="1" x14ac:dyDescent="0.25">
      <c r="A19" s="33">
        <v>6</v>
      </c>
      <c r="B19" s="34" t="s">
        <v>55</v>
      </c>
      <c r="C19" s="35" t="s">
        <v>56</v>
      </c>
      <c r="D19" s="21">
        <v>13600</v>
      </c>
      <c r="E19" s="21">
        <v>1700</v>
      </c>
      <c r="F19" s="22">
        <v>0.2</v>
      </c>
      <c r="G19" s="23">
        <v>0</v>
      </c>
      <c r="H19" s="24">
        <f t="shared" si="0"/>
        <v>8</v>
      </c>
      <c r="I19" s="24">
        <f t="shared" si="1"/>
        <v>1.6</v>
      </c>
      <c r="J19" s="25">
        <f t="shared" si="2"/>
        <v>10</v>
      </c>
      <c r="K19" s="23">
        <v>9</v>
      </c>
      <c r="L19" s="26">
        <v>0</v>
      </c>
      <c r="M19" s="27">
        <v>0</v>
      </c>
      <c r="N19" s="28">
        <f t="shared" si="3"/>
        <v>9</v>
      </c>
      <c r="O19" s="29">
        <f t="shared" si="4"/>
        <v>1</v>
      </c>
      <c r="P19" s="36" t="str">
        <f t="shared" si="5"/>
        <v>Unterdeckung</v>
      </c>
      <c r="Q19" s="37" t="str">
        <f t="shared" si="6"/>
        <v>Recruiting starten (1 MA)</v>
      </c>
      <c r="R19" s="38" t="s">
        <v>57</v>
      </c>
    </row>
    <row r="20" spans="1:21" ht="25.5" customHeight="1" x14ac:dyDescent="0.25">
      <c r="A20" s="18">
        <v>7</v>
      </c>
      <c r="B20" s="19" t="s">
        <v>58</v>
      </c>
      <c r="C20" s="20" t="s">
        <v>59</v>
      </c>
      <c r="D20" s="21">
        <v>11900</v>
      </c>
      <c r="E20" s="21">
        <v>1700</v>
      </c>
      <c r="F20" s="22">
        <v>0.1</v>
      </c>
      <c r="G20" s="23">
        <v>2</v>
      </c>
      <c r="H20" s="24">
        <f t="shared" si="0"/>
        <v>7</v>
      </c>
      <c r="I20" s="24">
        <f t="shared" si="1"/>
        <v>0.70000000000000007</v>
      </c>
      <c r="J20" s="25">
        <f t="shared" si="2"/>
        <v>10</v>
      </c>
      <c r="K20" s="23">
        <v>6</v>
      </c>
      <c r="L20" s="26">
        <v>1</v>
      </c>
      <c r="M20" s="27">
        <v>0</v>
      </c>
      <c r="N20" s="28">
        <f t="shared" si="3"/>
        <v>7</v>
      </c>
      <c r="O20" s="29">
        <f t="shared" si="4"/>
        <v>3</v>
      </c>
      <c r="P20" s="30" t="str">
        <f t="shared" si="5"/>
        <v>Unterdeckung</v>
      </c>
      <c r="Q20" s="31" t="str">
        <f t="shared" si="6"/>
        <v>Recruiting starten (3 MA)</v>
      </c>
      <c r="R20" s="32" t="s">
        <v>60</v>
      </c>
    </row>
    <row r="21" spans="1:21" ht="25.5" customHeight="1" x14ac:dyDescent="0.25">
      <c r="A21" s="33">
        <v>8</v>
      </c>
      <c r="B21" s="34" t="s">
        <v>58</v>
      </c>
      <c r="C21" s="35" t="s">
        <v>61</v>
      </c>
      <c r="D21" s="21">
        <v>5100</v>
      </c>
      <c r="E21" s="21">
        <v>1700</v>
      </c>
      <c r="F21" s="22">
        <v>0.1</v>
      </c>
      <c r="G21" s="23">
        <v>0</v>
      </c>
      <c r="H21" s="24">
        <f t="shared" si="0"/>
        <v>3</v>
      </c>
      <c r="I21" s="24">
        <f t="shared" si="1"/>
        <v>0.30000000000000004</v>
      </c>
      <c r="J21" s="25">
        <f t="shared" si="2"/>
        <v>4</v>
      </c>
      <c r="K21" s="23">
        <v>3</v>
      </c>
      <c r="L21" s="26">
        <v>0</v>
      </c>
      <c r="M21" s="27">
        <v>0</v>
      </c>
      <c r="N21" s="28">
        <f t="shared" si="3"/>
        <v>3</v>
      </c>
      <c r="O21" s="29">
        <f t="shared" si="4"/>
        <v>1</v>
      </c>
      <c r="P21" s="36" t="str">
        <f t="shared" si="5"/>
        <v>Unterdeckung</v>
      </c>
      <c r="Q21" s="37" t="str">
        <f t="shared" si="6"/>
        <v>Recruiting starten (1 MA)</v>
      </c>
      <c r="R21" s="38" t="s">
        <v>62</v>
      </c>
    </row>
    <row r="22" spans="1:21" ht="25.5" customHeight="1" x14ac:dyDescent="0.25">
      <c r="A22" s="18">
        <v>9</v>
      </c>
      <c r="B22" s="19" t="s">
        <v>63</v>
      </c>
      <c r="C22" s="20" t="s">
        <v>64</v>
      </c>
      <c r="D22" s="21">
        <v>5950</v>
      </c>
      <c r="E22" s="21">
        <v>1700</v>
      </c>
      <c r="F22" s="22">
        <v>0.12</v>
      </c>
      <c r="G22" s="23">
        <v>0</v>
      </c>
      <c r="H22" s="24">
        <f t="shared" si="0"/>
        <v>3.5</v>
      </c>
      <c r="I22" s="24">
        <f t="shared" si="1"/>
        <v>0.42</v>
      </c>
      <c r="J22" s="25">
        <f t="shared" si="2"/>
        <v>4</v>
      </c>
      <c r="K22" s="23">
        <v>4</v>
      </c>
      <c r="L22" s="26">
        <v>0</v>
      </c>
      <c r="M22" s="27">
        <v>1</v>
      </c>
      <c r="N22" s="28">
        <f t="shared" si="3"/>
        <v>3</v>
      </c>
      <c r="O22" s="29">
        <f t="shared" si="4"/>
        <v>1</v>
      </c>
      <c r="P22" s="30" t="str">
        <f t="shared" si="5"/>
        <v>Unterdeckung</v>
      </c>
      <c r="Q22" s="31" t="str">
        <f t="shared" si="6"/>
        <v>Recruiting starten (1 MA)</v>
      </c>
      <c r="R22" s="32" t="s">
        <v>65</v>
      </c>
    </row>
    <row r="23" spans="1:21" ht="25.5" customHeight="1" x14ac:dyDescent="0.25">
      <c r="A23" s="33">
        <v>10</v>
      </c>
      <c r="B23" s="34" t="s">
        <v>66</v>
      </c>
      <c r="C23" s="35" t="s">
        <v>67</v>
      </c>
      <c r="D23" s="21">
        <v>8500</v>
      </c>
      <c r="E23" s="21">
        <v>1700</v>
      </c>
      <c r="F23" s="22">
        <v>0.13</v>
      </c>
      <c r="G23" s="23">
        <v>0</v>
      </c>
      <c r="H23" s="24">
        <f t="shared" si="0"/>
        <v>5</v>
      </c>
      <c r="I23" s="24">
        <f t="shared" si="1"/>
        <v>0.65</v>
      </c>
      <c r="J23" s="25">
        <f t="shared" si="2"/>
        <v>6</v>
      </c>
      <c r="K23" s="23">
        <v>5</v>
      </c>
      <c r="L23" s="26">
        <v>1</v>
      </c>
      <c r="M23" s="27">
        <v>1</v>
      </c>
      <c r="N23" s="28">
        <f t="shared" si="3"/>
        <v>5</v>
      </c>
      <c r="O23" s="29">
        <f t="shared" si="4"/>
        <v>1</v>
      </c>
      <c r="P23" s="36" t="str">
        <f t="shared" si="5"/>
        <v>Unterdeckung</v>
      </c>
      <c r="Q23" s="37" t="str">
        <f t="shared" si="6"/>
        <v>Recruiting starten (1 MA)</v>
      </c>
      <c r="R23" s="38" t="s">
        <v>68</v>
      </c>
    </row>
    <row r="24" spans="1:21" ht="27.75" customHeight="1" x14ac:dyDescent="0.25">
      <c r="A24" s="70" t="s">
        <v>69</v>
      </c>
      <c r="B24" s="70"/>
      <c r="C24" s="70"/>
      <c r="D24" s="39">
        <f>SUM(D14:D23)</f>
        <v>131850</v>
      </c>
      <c r="E24" s="40">
        <f>AVERAGE(E14:E23)</f>
        <v>1700</v>
      </c>
      <c r="F24" s="41">
        <f>AVERAGE(F14:F23)</f>
        <v>0.14599999999999999</v>
      </c>
      <c r="G24" s="42">
        <f t="shared" ref="G24:O24" si="7">SUM(G14:G23)</f>
        <v>4</v>
      </c>
      <c r="H24" s="43">
        <f t="shared" si="7"/>
        <v>77.558823529411768</v>
      </c>
      <c r="I24" s="43">
        <f t="shared" si="7"/>
        <v>12.4</v>
      </c>
      <c r="J24" s="42">
        <f t="shared" si="7"/>
        <v>98</v>
      </c>
      <c r="K24" s="42">
        <f t="shared" si="7"/>
        <v>83</v>
      </c>
      <c r="L24" s="42">
        <f t="shared" si="7"/>
        <v>7</v>
      </c>
      <c r="M24" s="42">
        <f t="shared" si="7"/>
        <v>10</v>
      </c>
      <c r="N24" s="42">
        <f t="shared" si="7"/>
        <v>80</v>
      </c>
      <c r="O24" s="42">
        <f t="shared" si="7"/>
        <v>18</v>
      </c>
      <c r="P24" s="44" t="str">
        <f>COUNTIF(P14:P23,"Unterdeckung")&amp;" / "&amp;COUNTA(P14:P23)</f>
        <v>9 / 10</v>
      </c>
      <c r="Q24" s="45"/>
      <c r="R24" s="45"/>
    </row>
    <row r="27" spans="1:21" ht="24" customHeight="1" x14ac:dyDescent="0.25">
      <c r="A27" s="71" t="s">
        <v>70</v>
      </c>
      <c r="B27" s="71"/>
      <c r="C27" s="71"/>
      <c r="D27" s="72" t="s">
        <v>71</v>
      </c>
      <c r="E27" s="72"/>
      <c r="F27" s="72"/>
      <c r="G27" s="72"/>
      <c r="H27" s="72"/>
      <c r="I27" s="72"/>
      <c r="J27" s="73" t="s">
        <v>72</v>
      </c>
      <c r="K27" s="73"/>
      <c r="L27" s="73"/>
      <c r="M27" s="73"/>
      <c r="N27" s="73"/>
      <c r="O27" s="73"/>
      <c r="P27" s="74" t="s">
        <v>73</v>
      </c>
      <c r="Q27" s="74"/>
      <c r="R27" s="74"/>
      <c r="S27" s="74"/>
      <c r="T27" s="74"/>
      <c r="U27" s="74"/>
    </row>
    <row r="29" spans="1:21" ht="21.75" customHeight="1" x14ac:dyDescent="0.25">
      <c r="A29" s="75" t="s">
        <v>74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</row>
  </sheetData>
  <autoFilter ref="A13:R13" xr:uid="{00000000-0009-0000-0000-000000000000}"/>
  <mergeCells count="40">
    <mergeCell ref="A29:R29"/>
    <mergeCell ref="A24:C24"/>
    <mergeCell ref="A27:C27"/>
    <mergeCell ref="D27:I27"/>
    <mergeCell ref="J27:O27"/>
    <mergeCell ref="P27:U27"/>
    <mergeCell ref="A9:R9"/>
    <mergeCell ref="A10:R10"/>
    <mergeCell ref="A12:C12"/>
    <mergeCell ref="D12:G12"/>
    <mergeCell ref="H12:J12"/>
    <mergeCell ref="K12:M12"/>
    <mergeCell ref="N12:O12"/>
    <mergeCell ref="P12:R12"/>
    <mergeCell ref="K5:L5"/>
    <mergeCell ref="M5:N5"/>
    <mergeCell ref="O5:R5"/>
    <mergeCell ref="A7:B7"/>
    <mergeCell ref="C7:E7"/>
    <mergeCell ref="F7:G7"/>
    <mergeCell ref="H7:I7"/>
    <mergeCell ref="J7:K7"/>
    <mergeCell ref="L7:M7"/>
    <mergeCell ref="N7:O7"/>
    <mergeCell ref="P7:R7"/>
    <mergeCell ref="A5:B5"/>
    <mergeCell ref="C5:D5"/>
    <mergeCell ref="E5:F5"/>
    <mergeCell ref="G5:H5"/>
    <mergeCell ref="I5:J5"/>
    <mergeCell ref="A1:R1"/>
    <mergeCell ref="A2:R2"/>
    <mergeCell ref="A4:B4"/>
    <mergeCell ref="C4:D4"/>
    <mergeCell ref="E4:F4"/>
    <mergeCell ref="G4:H4"/>
    <mergeCell ref="I4:J4"/>
    <mergeCell ref="K4:L4"/>
    <mergeCell ref="M4:N4"/>
    <mergeCell ref="O4:R4"/>
  </mergeCells>
  <conditionalFormatting sqref="A14:R23">
    <cfRule type="expression" dxfId="8" priority="2">
      <formula>$P14="Unterdeckung"</formula>
    </cfRule>
    <cfRule type="expression" dxfId="7" priority="3">
      <formula>$P14="Überdeckung"</formula>
    </cfRule>
    <cfRule type="expression" dxfId="6" priority="4">
      <formula>$P14="Bedarf gedeckt"</formula>
    </cfRule>
  </conditionalFormatting>
  <conditionalFormatting sqref="O14:O23">
    <cfRule type="expression" dxfId="5" priority="5">
      <formula>$O14&gt;0</formula>
    </cfRule>
    <cfRule type="expression" dxfId="4" priority="6">
      <formula>$O14&lt;0</formula>
    </cfRule>
    <cfRule type="expression" dxfId="3" priority="7">
      <formula>$O14=0</formula>
    </cfRule>
  </conditionalFormatting>
  <dataValidations count="2">
    <dataValidation type="list" allowBlank="1" sqref="B14:B500" xr:uid="{00000000-0002-0000-0000-000000000000}">
      <formula1>"Produktion,Lager &amp; Logistik,Vertrieb,Marketing,Kundenservice,IT,Personal,Finanzen,Verwaltung,Forschung &amp; Entwicklung,Sonstiges"</formula1>
      <formula2>0</formula2>
    </dataValidation>
    <dataValidation type="decimal" allowBlank="1" errorTitle="Wert prüfen" error="Ausfallquote sollte zwischen 0% und 50% liegen." sqref="F14:F500" xr:uid="{00000000-0002-0000-0000-000001000000}">
      <formula1>0</formula1>
      <formula2>0.5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4A52A"/>
  </sheetPr>
  <dimension ref="A1:K23"/>
  <sheetViews>
    <sheetView zoomScaleNormal="100" workbookViewId="0">
      <pane ySplit="3" topLeftCell="A4" activePane="bottomLeft" state="frozen"/>
      <selection pane="bottomLeft"/>
    </sheetView>
  </sheetViews>
  <sheetFormatPr baseColWidth="10" defaultColWidth="8.7109375" defaultRowHeight="15" x14ac:dyDescent="0.25"/>
  <cols>
    <col min="1" max="1" width="20" customWidth="1"/>
    <col min="2" max="5" width="14" customWidth="1"/>
    <col min="6" max="6" width="18" customWidth="1"/>
    <col min="7" max="7" width="3" customWidth="1"/>
    <col min="8" max="8" width="20" customWidth="1"/>
    <col min="9" max="11" width="14" customWidth="1"/>
  </cols>
  <sheetData>
    <row r="1" spans="1:11" ht="45.75" customHeight="1" x14ac:dyDescent="0.25">
      <c r="A1" s="76" t="s">
        <v>75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1.75" customHeight="1" x14ac:dyDescent="0.25">
      <c r="A2" s="13" t="s">
        <v>76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.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4" customHeight="1" x14ac:dyDescent="0.25">
      <c r="A4" s="77" t="s">
        <v>77</v>
      </c>
      <c r="B4" s="77"/>
      <c r="C4" s="77"/>
      <c r="D4" s="77"/>
      <c r="E4" s="77"/>
      <c r="F4" s="77"/>
      <c r="H4" s="77" t="s">
        <v>78</v>
      </c>
      <c r="I4" s="77"/>
      <c r="J4" s="77"/>
      <c r="K4" s="77"/>
    </row>
    <row r="5" spans="1:11" ht="27.75" customHeight="1" x14ac:dyDescent="0.25">
      <c r="A5" s="46" t="s">
        <v>24</v>
      </c>
      <c r="B5" s="46" t="s">
        <v>79</v>
      </c>
      <c r="C5" s="46" t="s">
        <v>80</v>
      </c>
      <c r="D5" s="46" t="s">
        <v>3</v>
      </c>
      <c r="E5" s="46" t="s">
        <v>81</v>
      </c>
      <c r="F5" s="46" t="s">
        <v>38</v>
      </c>
      <c r="H5" s="46" t="s">
        <v>82</v>
      </c>
      <c r="I5" s="46" t="s">
        <v>83</v>
      </c>
      <c r="J5" s="46" t="s">
        <v>79</v>
      </c>
      <c r="K5" s="46" t="s">
        <v>81</v>
      </c>
    </row>
    <row r="6" spans="1:11" ht="21.75" customHeight="1" x14ac:dyDescent="0.25">
      <c r="A6" s="47" t="s">
        <v>41</v>
      </c>
      <c r="B6" s="48">
        <f>SUMIF('Bedarfsplanung 2026'!B$14:B$23,A6,'Bedarfsplanung 2026'!J$14:J$23)</f>
        <v>38</v>
      </c>
      <c r="C6" s="49">
        <f>SUMIF('Bedarfsplanung 2026'!B$14:B$23,A6,'Bedarfsplanung 2026'!K$14:K$23)</f>
        <v>34</v>
      </c>
      <c r="D6" s="49">
        <f>SUMIF('Bedarfsplanung 2026'!B$14:B$23,A6,'Bedarfsplanung 2026'!N$14:N$23)</f>
        <v>33</v>
      </c>
      <c r="E6" s="50">
        <f>SUMIF('Bedarfsplanung 2026'!B$14:B$23,A6,'Bedarfsplanung 2026'!O$14:O$23)</f>
        <v>5</v>
      </c>
      <c r="F6" s="51" t="str">
        <f t="shared" ref="F6:F13" si="0">IF(E6&gt;0,"Unterdeckung",IF(E6&lt;0,"Überdeckung","Bedarf gedeckt"))</f>
        <v>Unterdeckung</v>
      </c>
      <c r="H6" s="47" t="s">
        <v>84</v>
      </c>
      <c r="I6" s="52">
        <v>0.08</v>
      </c>
      <c r="J6" s="50">
        <f>SUMPRODUCT(CEILING(('Bedarfsplanung 2026'!D$14:D$23/'Bedarfsplanung 2026'!E$14:E$23)*(1+0.08)+'Bedarfsplanung 2026'!G$14:G$23,1))</f>
        <v>93</v>
      </c>
      <c r="K6" s="50">
        <f>J6-SUM('Bedarfsplanung 2026'!N$14:N$23)</f>
        <v>13</v>
      </c>
    </row>
    <row r="7" spans="1:11" ht="21.75" customHeight="1" x14ac:dyDescent="0.25">
      <c r="A7" s="53" t="s">
        <v>46</v>
      </c>
      <c r="B7" s="54">
        <f>SUMIF('Bedarfsplanung 2026'!B$14:B$23,A7,'Bedarfsplanung 2026'!J$14:J$23)</f>
        <v>10</v>
      </c>
      <c r="C7" s="55">
        <f>SUMIF('Bedarfsplanung 2026'!B$14:B$23,A7,'Bedarfsplanung 2026'!K$14:K$23)</f>
        <v>9</v>
      </c>
      <c r="D7" s="55">
        <f>SUMIF('Bedarfsplanung 2026'!B$14:B$23,A7,'Bedarfsplanung 2026'!N$14:N$23)</f>
        <v>8</v>
      </c>
      <c r="E7" s="56">
        <f>SUMIF('Bedarfsplanung 2026'!B$14:B$23,A7,'Bedarfsplanung 2026'!O$14:O$23)</f>
        <v>2</v>
      </c>
      <c r="F7" s="57" t="str">
        <f t="shared" si="0"/>
        <v>Unterdeckung</v>
      </c>
      <c r="H7" s="53" t="s">
        <v>85</v>
      </c>
      <c r="I7" s="58" t="s">
        <v>86</v>
      </c>
      <c r="J7" s="56">
        <f>SUM('Bedarfsplanung 2026'!J$14:J$23)</f>
        <v>98</v>
      </c>
      <c r="K7" s="56">
        <f>J7-SUM('Bedarfsplanung 2026'!N$14:N$23)</f>
        <v>18</v>
      </c>
    </row>
    <row r="8" spans="1:11" ht="21.75" customHeight="1" x14ac:dyDescent="0.25">
      <c r="A8" s="47" t="s">
        <v>49</v>
      </c>
      <c r="B8" s="48">
        <f>SUMIF('Bedarfsplanung 2026'!B$14:B$23,A8,'Bedarfsplanung 2026'!J$14:J$23)</f>
        <v>10</v>
      </c>
      <c r="C8" s="49">
        <f>SUMIF('Bedarfsplanung 2026'!B$14:B$23,A8,'Bedarfsplanung 2026'!K$14:K$23)</f>
        <v>8</v>
      </c>
      <c r="D8" s="49">
        <f>SUMIF('Bedarfsplanung 2026'!B$14:B$23,A8,'Bedarfsplanung 2026'!N$14:N$23)</f>
        <v>7</v>
      </c>
      <c r="E8" s="50">
        <f>SUMIF('Bedarfsplanung 2026'!B$14:B$23,A8,'Bedarfsplanung 2026'!O$14:O$23)</f>
        <v>3</v>
      </c>
      <c r="F8" s="51" t="str">
        <f t="shared" si="0"/>
        <v>Unterdeckung</v>
      </c>
      <c r="H8" s="47" t="s">
        <v>87</v>
      </c>
      <c r="I8" s="52">
        <v>0.2</v>
      </c>
      <c r="J8" s="50">
        <f>SUMPRODUCT(CEILING(('Bedarfsplanung 2026'!D$14:D$23/'Bedarfsplanung 2026'!E$14:E$23)*(1+0.2)+'Bedarfsplanung 2026'!G$14:G$23,1))</f>
        <v>101</v>
      </c>
      <c r="K8" s="50">
        <f>J8-SUM('Bedarfsplanung 2026'!N$14:N$23)</f>
        <v>21</v>
      </c>
    </row>
    <row r="9" spans="1:11" ht="21.75" customHeight="1" x14ac:dyDescent="0.25">
      <c r="A9" s="53" t="s">
        <v>52</v>
      </c>
      <c r="B9" s="54">
        <f>SUMIF('Bedarfsplanung 2026'!B$14:B$23,A9,'Bedarfsplanung 2026'!J$14:J$23)</f>
        <v>6</v>
      </c>
      <c r="C9" s="55">
        <f>SUMIF('Bedarfsplanung 2026'!B$14:B$23,A9,'Bedarfsplanung 2026'!K$14:K$23)</f>
        <v>5</v>
      </c>
      <c r="D9" s="55">
        <f>SUMIF('Bedarfsplanung 2026'!B$14:B$23,A9,'Bedarfsplanung 2026'!N$14:N$23)</f>
        <v>5</v>
      </c>
      <c r="E9" s="56">
        <f>SUMIF('Bedarfsplanung 2026'!B$14:B$23,A9,'Bedarfsplanung 2026'!O$14:O$23)</f>
        <v>1</v>
      </c>
      <c r="F9" s="57" t="str">
        <f t="shared" si="0"/>
        <v>Unterdeckung</v>
      </c>
      <c r="H9" s="53" t="s">
        <v>88</v>
      </c>
      <c r="I9" s="59">
        <v>0.3</v>
      </c>
      <c r="J9" s="56">
        <f>SUMPRODUCT(CEILING(('Bedarfsplanung 2026'!D$14:D$23/'Bedarfsplanung 2026'!E$14:E$23)*(1+0.3)+'Bedarfsplanung 2026'!G$14:G$23,1))</f>
        <v>109</v>
      </c>
      <c r="K9" s="56">
        <f>J9-SUM('Bedarfsplanung 2026'!N$14:N$23)</f>
        <v>29</v>
      </c>
    </row>
    <row r="10" spans="1:11" ht="21.75" customHeight="1" x14ac:dyDescent="0.25">
      <c r="A10" s="47" t="s">
        <v>55</v>
      </c>
      <c r="B10" s="48">
        <f>SUMIF('Bedarfsplanung 2026'!B$14:B$23,A10,'Bedarfsplanung 2026'!J$14:J$23)</f>
        <v>10</v>
      </c>
      <c r="C10" s="49">
        <f>SUMIF('Bedarfsplanung 2026'!B$14:B$23,A10,'Bedarfsplanung 2026'!K$14:K$23)</f>
        <v>9</v>
      </c>
      <c r="D10" s="49">
        <f>SUMIF('Bedarfsplanung 2026'!B$14:B$23,A10,'Bedarfsplanung 2026'!N$14:N$23)</f>
        <v>9</v>
      </c>
      <c r="E10" s="50">
        <f>SUMIF('Bedarfsplanung 2026'!B$14:B$23,A10,'Bedarfsplanung 2026'!O$14:O$23)</f>
        <v>1</v>
      </c>
      <c r="F10" s="51" t="str">
        <f t="shared" si="0"/>
        <v>Unterdeckung</v>
      </c>
    </row>
    <row r="11" spans="1:11" ht="21.75" customHeight="1" x14ac:dyDescent="0.25">
      <c r="A11" s="53" t="s">
        <v>58</v>
      </c>
      <c r="B11" s="54">
        <f>SUMIF('Bedarfsplanung 2026'!B$14:B$23,A11,'Bedarfsplanung 2026'!J$14:J$23)</f>
        <v>14</v>
      </c>
      <c r="C11" s="55">
        <f>SUMIF('Bedarfsplanung 2026'!B$14:B$23,A11,'Bedarfsplanung 2026'!K$14:K$23)</f>
        <v>9</v>
      </c>
      <c r="D11" s="55">
        <f>SUMIF('Bedarfsplanung 2026'!B$14:B$23,A11,'Bedarfsplanung 2026'!N$14:N$23)</f>
        <v>10</v>
      </c>
      <c r="E11" s="56">
        <f>SUMIF('Bedarfsplanung 2026'!B$14:B$23,A11,'Bedarfsplanung 2026'!O$14:O$23)</f>
        <v>4</v>
      </c>
      <c r="F11" s="57" t="str">
        <f t="shared" si="0"/>
        <v>Unterdeckung</v>
      </c>
    </row>
    <row r="12" spans="1:11" ht="21.75" customHeight="1" x14ac:dyDescent="0.25">
      <c r="A12" s="47" t="s">
        <v>63</v>
      </c>
      <c r="B12" s="48">
        <f>SUMIF('Bedarfsplanung 2026'!B$14:B$23,A12,'Bedarfsplanung 2026'!J$14:J$23)</f>
        <v>4</v>
      </c>
      <c r="C12" s="49">
        <f>SUMIF('Bedarfsplanung 2026'!B$14:B$23,A12,'Bedarfsplanung 2026'!K$14:K$23)</f>
        <v>4</v>
      </c>
      <c r="D12" s="49">
        <f>SUMIF('Bedarfsplanung 2026'!B$14:B$23,A12,'Bedarfsplanung 2026'!N$14:N$23)</f>
        <v>3</v>
      </c>
      <c r="E12" s="50">
        <f>SUMIF('Bedarfsplanung 2026'!B$14:B$23,A12,'Bedarfsplanung 2026'!O$14:O$23)</f>
        <v>1</v>
      </c>
      <c r="F12" s="51" t="str">
        <f t="shared" si="0"/>
        <v>Unterdeckung</v>
      </c>
    </row>
    <row r="13" spans="1:11" ht="21.75" customHeight="1" x14ac:dyDescent="0.25">
      <c r="A13" s="53" t="s">
        <v>66</v>
      </c>
      <c r="B13" s="54">
        <f>SUMIF('Bedarfsplanung 2026'!B$14:B$23,A13,'Bedarfsplanung 2026'!J$14:J$23)</f>
        <v>6</v>
      </c>
      <c r="C13" s="55">
        <f>SUMIF('Bedarfsplanung 2026'!B$14:B$23,A13,'Bedarfsplanung 2026'!K$14:K$23)</f>
        <v>5</v>
      </c>
      <c r="D13" s="55">
        <f>SUMIF('Bedarfsplanung 2026'!B$14:B$23,A13,'Bedarfsplanung 2026'!N$14:N$23)</f>
        <v>5</v>
      </c>
      <c r="E13" s="56">
        <f>SUMIF('Bedarfsplanung 2026'!B$14:B$23,A13,'Bedarfsplanung 2026'!O$14:O$23)</f>
        <v>1</v>
      </c>
      <c r="F13" s="57" t="str">
        <f t="shared" si="0"/>
        <v>Unterdeckung</v>
      </c>
    </row>
    <row r="14" spans="1:11" ht="24" customHeight="1" x14ac:dyDescent="0.25">
      <c r="A14" s="60" t="s">
        <v>69</v>
      </c>
      <c r="B14" s="40">
        <f>SUM(B6:B13)</f>
        <v>98</v>
      </c>
      <c r="C14" s="40">
        <f>SUM(C6:C13)</f>
        <v>83</v>
      </c>
      <c r="D14" s="40">
        <f>SUM(D6:D13)</f>
        <v>80</v>
      </c>
      <c r="E14" s="40">
        <f>SUM(E6:E13)</f>
        <v>18</v>
      </c>
      <c r="F14" s="40" t="str">
        <f>IF(E14&gt;0,"Unterdeckung",IF(E14&lt;0,"Überdeckung","Gedeckt"))</f>
        <v>Unterdeckung</v>
      </c>
    </row>
    <row r="17" spans="1:11" ht="24" customHeight="1" x14ac:dyDescent="0.25">
      <c r="A17" s="77" t="s">
        <v>89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</row>
    <row r="18" spans="1:11" ht="27.75" customHeight="1" x14ac:dyDescent="0.25">
      <c r="A18" s="44" t="s">
        <v>90</v>
      </c>
      <c r="B18" s="44" t="s">
        <v>91</v>
      </c>
      <c r="C18" s="44" t="s">
        <v>92</v>
      </c>
      <c r="D18" s="44" t="s">
        <v>93</v>
      </c>
      <c r="E18" s="44" t="s">
        <v>94</v>
      </c>
      <c r="F18" s="44" t="s">
        <v>95</v>
      </c>
    </row>
    <row r="19" spans="1:11" ht="21.75" customHeight="1" x14ac:dyDescent="0.25">
      <c r="A19" s="61" t="s">
        <v>96</v>
      </c>
      <c r="B19" s="49">
        <f>ROUND((SUM('Bedarfsplanung 2026'!J$14:J$23))*0.92,0)</f>
        <v>90</v>
      </c>
      <c r="C19" s="49">
        <f>ROUND((SUM('Bedarfsplanung 2026'!J$14:J$23))*0.96,0)</f>
        <v>94</v>
      </c>
      <c r="D19" s="49">
        <f>ROUND((SUM('Bedarfsplanung 2026'!J$14:J$23))*1,0)</f>
        <v>98</v>
      </c>
      <c r="E19" s="49">
        <f>ROUND((SUM('Bedarfsplanung 2026'!J$14:J$23))*1.04,0)</f>
        <v>102</v>
      </c>
      <c r="F19" s="62" t="str">
        <f>IF(E19&gt;B19,"↑ steigend",IF(E19&lt;B19,"↓ sinkend","→ stabil"))</f>
        <v>↑ steigend</v>
      </c>
      <c r="G19" s="63"/>
      <c r="H19" s="78" t="s">
        <v>97</v>
      </c>
      <c r="I19" s="78"/>
      <c r="J19" s="78"/>
      <c r="K19" s="78"/>
    </row>
    <row r="20" spans="1:11" ht="21.75" customHeight="1" x14ac:dyDescent="0.25">
      <c r="A20" s="64" t="s">
        <v>98</v>
      </c>
      <c r="B20" s="65">
        <v>2</v>
      </c>
      <c r="C20" s="65">
        <v>3</v>
      </c>
      <c r="D20" s="65">
        <v>3</v>
      </c>
      <c r="E20" s="65">
        <v>2</v>
      </c>
      <c r="F20" s="66" t="str">
        <f>IF(E20&gt;B20,"↑ steigend",IF(E20&lt;B20,"↓ sinkend","→ stabil"))</f>
        <v>→ stabil</v>
      </c>
      <c r="G20" s="63"/>
      <c r="H20" s="79" t="s">
        <v>99</v>
      </c>
      <c r="I20" s="79"/>
      <c r="J20" s="79"/>
      <c r="K20" s="79"/>
    </row>
    <row r="21" spans="1:11" ht="21.75" customHeight="1" x14ac:dyDescent="0.25">
      <c r="A21" s="61" t="s">
        <v>20</v>
      </c>
      <c r="B21" s="49">
        <f>ROUND((SUM('Bedarfsplanung 2026'!N$14:N$23))*0.96,0)</f>
        <v>77</v>
      </c>
      <c r="C21" s="49">
        <f>ROUND((SUM('Bedarfsplanung 2026'!N$14:N$23))*0.98,0)</f>
        <v>78</v>
      </c>
      <c r="D21" s="49">
        <f>ROUND((SUM('Bedarfsplanung 2026'!N$14:N$23))*1,0)</f>
        <v>80</v>
      </c>
      <c r="E21" s="49">
        <f>ROUND((SUM('Bedarfsplanung 2026'!N$14:N$23))*1.02,0)</f>
        <v>82</v>
      </c>
      <c r="F21" s="62" t="str">
        <f>IF(E21&gt;B21,"↑ steigend",IF(E21&lt;B21,"↓ sinkend","→ stabil"))</f>
        <v>↑ steigend</v>
      </c>
      <c r="G21" s="63"/>
      <c r="H21" s="78" t="s">
        <v>100</v>
      </c>
      <c r="I21" s="78"/>
      <c r="J21" s="78"/>
      <c r="K21" s="78"/>
    </row>
    <row r="23" spans="1:11" ht="21.75" customHeight="1" x14ac:dyDescent="0.25">
      <c r="A23" s="75" t="s">
        <v>101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</row>
  </sheetData>
  <mergeCells count="9">
    <mergeCell ref="H19:K19"/>
    <mergeCell ref="H20:K20"/>
    <mergeCell ref="H21:K21"/>
    <mergeCell ref="A23:K23"/>
    <mergeCell ref="A1:K1"/>
    <mergeCell ref="A2:K2"/>
    <mergeCell ref="A4:F4"/>
    <mergeCell ref="H4:K4"/>
    <mergeCell ref="A17:K17"/>
  </mergeCells>
  <conditionalFormatting sqref="F6:F13">
    <cfRule type="expression" dxfId="2" priority="2">
      <formula>F6="Unterdeckung"</formula>
    </cfRule>
    <cfRule type="expression" dxfId="1" priority="3">
      <formula>F6="Überdeckung"</formula>
    </cfRule>
    <cfRule type="expression" dxfId="0" priority="4">
      <formula>F6="Bedarf gedeckt"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Bedarfsplanung 2026</vt:lpstr>
      <vt:lpstr>Auswertung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2026-06-25T15:21:30Z</dcterms:created>
  <dcterms:modified xsi:type="dcterms:W3CDTF">2026-06-30T09:43:24Z</dcterms:modified>
  <dc:language>en-US</dc:language>
</cp:coreProperties>
</file>