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E12C7A4-5212-40E1-8353-362A11D63FD6}" xr6:coauthVersionLast="47" xr6:coauthVersionMax="47" xr10:uidLastSave="{00000000-0000-0000-0000-000000000000}"/>
  <bookViews>
    <workbookView xWindow="1725" yWindow="1725" windowWidth="25500" windowHeight="13500" tabRatio="500" xr2:uid="{00000000-000D-0000-FFFF-FFFF00000000}"/>
  </bookViews>
  <sheets>
    <sheet name="Offene Posten" sheetId="1" r:id="rId1"/>
    <sheet name="Auswertung" sheetId="2" r:id="rId2"/>
    <sheet name="Anleitu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2" l="1"/>
  <c r="C18" i="2"/>
  <c r="C17" i="2"/>
  <c r="D16" i="2"/>
  <c r="C16" i="2"/>
  <c r="C15" i="2"/>
  <c r="C14" i="2"/>
  <c r="C13" i="2"/>
  <c r="H28" i="1"/>
  <c r="G28" i="1"/>
  <c r="I27" i="1"/>
  <c r="F27" i="1"/>
  <c r="I26" i="1"/>
  <c r="J26" i="1" s="1"/>
  <c r="K26" i="1" s="1"/>
  <c r="F26" i="1"/>
  <c r="J25" i="1"/>
  <c r="I25" i="1"/>
  <c r="K25" i="1" s="1"/>
  <c r="F25" i="1"/>
  <c r="I24" i="1"/>
  <c r="J24" i="1" s="1"/>
  <c r="F24" i="1"/>
  <c r="I23" i="1"/>
  <c r="F23" i="1"/>
  <c r="J22" i="1"/>
  <c r="I22" i="1"/>
  <c r="F22" i="1"/>
  <c r="I21" i="1"/>
  <c r="K21" i="1" s="1"/>
  <c r="F21" i="1"/>
  <c r="I20" i="1"/>
  <c r="J20" i="1" s="1"/>
  <c r="F20" i="1"/>
  <c r="I19" i="1"/>
  <c r="J19" i="1" s="1"/>
  <c r="F19" i="1"/>
  <c r="I18" i="1"/>
  <c r="F18" i="1"/>
  <c r="I17" i="1"/>
  <c r="K17" i="1" s="1"/>
  <c r="F17" i="1"/>
  <c r="I16" i="1"/>
  <c r="F16" i="1"/>
  <c r="I15" i="1"/>
  <c r="J15" i="1" s="1"/>
  <c r="F15" i="1"/>
  <c r="I14" i="1"/>
  <c r="J14" i="1" s="1"/>
  <c r="F14" i="1"/>
  <c r="I13" i="1"/>
  <c r="F13" i="1"/>
  <c r="I12" i="1"/>
  <c r="F12" i="1"/>
  <c r="I11" i="1"/>
  <c r="F11" i="1"/>
  <c r="I10" i="1"/>
  <c r="J10" i="1" s="1"/>
  <c r="F10" i="1"/>
  <c r="I9" i="1"/>
  <c r="D13" i="2" s="1"/>
  <c r="F9" i="1"/>
  <c r="I8" i="1"/>
  <c r="F8" i="1"/>
  <c r="K22" i="1" l="1"/>
  <c r="I5" i="1"/>
  <c r="J12" i="1"/>
  <c r="K12" i="1" s="1"/>
  <c r="J27" i="1"/>
  <c r="K27" i="1" s="1"/>
  <c r="D14" i="2"/>
  <c r="J17" i="1"/>
  <c r="D15" i="2"/>
  <c r="I28" i="1"/>
  <c r="D17" i="2"/>
  <c r="J8" i="1"/>
  <c r="J13" i="1"/>
  <c r="K13" i="1" s="1"/>
  <c r="J18" i="1"/>
  <c r="K18" i="1" s="1"/>
  <c r="J23" i="1"/>
  <c r="K23" i="1" s="1"/>
  <c r="K9" i="1"/>
  <c r="K14" i="1"/>
  <c r="K19" i="1"/>
  <c r="K24" i="1"/>
  <c r="A5" i="1"/>
  <c r="J11" i="1"/>
  <c r="K11" i="1" s="1"/>
  <c r="J16" i="1"/>
  <c r="K16" i="1" s="1"/>
  <c r="J21" i="1"/>
  <c r="K10" i="1"/>
  <c r="K15" i="1"/>
  <c r="K20" i="1"/>
  <c r="J9" i="1"/>
  <c r="C25" i="2" l="1"/>
  <c r="D24" i="2"/>
  <c r="D25" i="2"/>
  <c r="C24" i="2"/>
  <c r="D23" i="2"/>
  <c r="C23" i="2"/>
  <c r="D27" i="2"/>
  <c r="C27" i="2"/>
  <c r="G5" i="1"/>
  <c r="C26" i="2"/>
  <c r="D26" i="2"/>
  <c r="E26" i="2" s="1"/>
  <c r="K8" i="1"/>
  <c r="C5" i="1" l="1"/>
  <c r="D8" i="2"/>
  <c r="C8" i="2"/>
  <c r="D7" i="2"/>
  <c r="C7" i="2"/>
  <c r="D6" i="2"/>
  <c r="C6" i="2"/>
  <c r="K5" i="1"/>
  <c r="E5" i="1"/>
  <c r="E27" i="2"/>
  <c r="E25" i="2"/>
  <c r="E24" i="2"/>
  <c r="E23" i="2"/>
  <c r="C9" i="2" l="1"/>
  <c r="D9" i="2"/>
  <c r="E6" i="2"/>
  <c r="E7" i="2"/>
  <c r="E8" i="2"/>
</calcChain>
</file>

<file path=xl/sharedStrings.xml><?xml version="1.0" encoding="utf-8"?>
<sst xmlns="http://schemas.openxmlformats.org/spreadsheetml/2006/main" count="164" uniqueCount="121">
  <si>
    <t>Gesamtforderungen</t>
  </si>
  <si>
    <t>Überfällig (Σ)</t>
  </si>
  <si>
    <t>Anzahl offen</t>
  </si>
  <si>
    <t>Ø Verzugstage</t>
  </si>
  <si>
    <t>Höchster Posten</t>
  </si>
  <si>
    <t>Bezahlt (Periode)</t>
  </si>
  <si>
    <t>#</t>
  </si>
  <si>
    <t>Rechnungs-Nr.</t>
  </si>
  <si>
    <t>Debitor / Kunde</t>
  </si>
  <si>
    <t>Rechnungsdatum</t>
  </si>
  <si>
    <t>Zahlungsziel (Tage)</t>
  </si>
  <si>
    <t>Fälligkeitsdatum</t>
  </si>
  <si>
    <t>Betrag (Brutto €)</t>
  </si>
  <si>
    <t>Zahlung erhalten €</t>
  </si>
  <si>
    <t>Offener Betrag €</t>
  </si>
  <si>
    <t>Tage überfällig</t>
  </si>
  <si>
    <t>Status</t>
  </si>
  <si>
    <t>Mahnstufe</t>
  </si>
  <si>
    <t>Notiz / Maßnahme</t>
  </si>
  <si>
    <t>RE-2026-0101</t>
  </si>
  <si>
    <t>Muster GmbH</t>
  </si>
  <si>
    <t>—</t>
  </si>
  <si>
    <t>RE-2026-0102</t>
  </si>
  <si>
    <t>Technik Vertriebs AG</t>
  </si>
  <si>
    <t>Teilzahlung 15.02.</t>
  </si>
  <si>
    <t>RE-2026-0103</t>
  </si>
  <si>
    <t>Handels KG</t>
  </si>
  <si>
    <t>Vollständig beglichen</t>
  </si>
  <si>
    <t>RE-2026-0104</t>
  </si>
  <si>
    <t>Service &amp; Support OHG</t>
  </si>
  <si>
    <t>Mahnung 1</t>
  </si>
  <si>
    <t>1. Mahnung versendet</t>
  </si>
  <si>
    <t>RE-2026-0105</t>
  </si>
  <si>
    <t>Bau &amp; Planung GmbH</t>
  </si>
  <si>
    <t>RE-2026-0106</t>
  </si>
  <si>
    <t>Nord Logistik GmbH</t>
  </si>
  <si>
    <t>Teilzahlung</t>
  </si>
  <si>
    <t>Restzahlung ausstehend</t>
  </si>
  <si>
    <t>RE-2026-0107</t>
  </si>
  <si>
    <t>Süd Handel AG</t>
  </si>
  <si>
    <t>Bezahlt</t>
  </si>
  <si>
    <t>RE-2026-0108</t>
  </si>
  <si>
    <t>Ost Technik GmbH</t>
  </si>
  <si>
    <t>Mahnung 2</t>
  </si>
  <si>
    <t>2. Mahnung am 01.04.</t>
  </si>
  <si>
    <t>RE-2026-0109</t>
  </si>
  <si>
    <t>West IT Solutions</t>
  </si>
  <si>
    <t>RE-2026-0110</t>
  </si>
  <si>
    <t>Zentral Vertriebs GmbH</t>
  </si>
  <si>
    <t>RE-2026-0111</t>
  </si>
  <si>
    <t>Alpha Dienstleist. OHG</t>
  </si>
  <si>
    <t>Inkasso</t>
  </si>
  <si>
    <t>Inkasso beauftragt</t>
  </si>
  <si>
    <t>RE-2026-0112</t>
  </si>
  <si>
    <t>Beta Produktions GmbH</t>
  </si>
  <si>
    <t>RE-2026-0113</t>
  </si>
  <si>
    <t>Gamma Systeme AG</t>
  </si>
  <si>
    <t>Teilzahlung 05.05.</t>
  </si>
  <si>
    <t>RE-2026-0114</t>
  </si>
  <si>
    <t>Delta Services KG</t>
  </si>
  <si>
    <t>RE-2026-0115</t>
  </si>
  <si>
    <t>Epsilon Handel GmbH</t>
  </si>
  <si>
    <t>RE-2026-0116</t>
  </si>
  <si>
    <t>Zeta Consulting AG</t>
  </si>
  <si>
    <t>RE-2026-0117</t>
  </si>
  <si>
    <t>Eta Logistik OHG</t>
  </si>
  <si>
    <t>Teilzahlung 10.06.</t>
  </si>
  <si>
    <t>RE-2026-0118</t>
  </si>
  <si>
    <t>Theta Bau GmbH</t>
  </si>
  <si>
    <t>RE-2026-0119</t>
  </si>
  <si>
    <t>Iota Technik KG</t>
  </si>
  <si>
    <t>RE-2026-0120</t>
  </si>
  <si>
    <t>Kappa Vertriebs AG</t>
  </si>
  <si>
    <t>SUMME / GESAMT</t>
  </si>
  <si>
    <t>ℹ  Hinweis: Fälligkeitsdatum und Tage überfällig werden automatisch berechnet. Mahnstufe manuell auswählen. Status wird per Formel gesetzt (Bezahlt / Offen / Überfällig). Stand: Juni 2026</t>
  </si>
  <si>
    <t>AUSWERTUNG  ·  Forderungsanalyse 2026</t>
  </si>
  <si>
    <t>Übersicht nach Status</t>
  </si>
  <si>
    <t>Anzahl Posten</t>
  </si>
  <si>
    <t>Gesamtbetrag €</t>
  </si>
  <si>
    <t>Anteil (%)</t>
  </si>
  <si>
    <t>Offen</t>
  </si>
  <si>
    <t>Überfällig</t>
  </si>
  <si>
    <t>Gesamt</t>
  </si>
  <si>
    <t>100%</t>
  </si>
  <si>
    <t>Übersicht nach Mahnstufe</t>
  </si>
  <si>
    <t>Anzahl</t>
  </si>
  <si>
    <t>Mahnung 3</t>
  </si>
  <si>
    <t>Forderungsalterung (Aging-Analyse)</t>
  </si>
  <si>
    <t>Verzugszeitraum</t>
  </si>
  <si>
    <t>Nicht überfällig</t>
  </si>
  <si>
    <t>1–30 Tage</t>
  </si>
  <si>
    <t>31–60 Tage</t>
  </si>
  <si>
    <t>61–90 Tage</t>
  </si>
  <si>
    <t>&gt; 90 Tage</t>
  </si>
  <si>
    <t>Alle Werte werden automatisch aus dem Tabellenblatt 'Offene Posten' berechnet. Stand: Juni 2026</t>
  </si>
  <si>
    <t>ANLEITUNG  ·  So verwenden Sie diese Vorlage</t>
  </si>
  <si>
    <t>SPALTEN IM ÜBERBLICK</t>
  </si>
  <si>
    <t>Eindeutige Kennnummer der Rechnung (z. B. RE-2026-0001). Manuell eingeben.</t>
  </si>
  <si>
    <t>Name des zahlungspflichtigen Kunden oder Unternehmens.</t>
  </si>
  <si>
    <t>Datum der Rechnungsausstellung. Format: TT.MM.JJJJ.</t>
  </si>
  <si>
    <t>Vereinbarte Zahlungsfrist in Tagen (z. B. 14, 30, 60).</t>
  </si>
  <si>
    <t>Wird automatisch berechnet: Rechnungsdatum + Zahlungsziel.</t>
  </si>
  <si>
    <t>Gesamtbetrag der Rechnung inkl. MwSt. Manuell eingeben.</t>
  </si>
  <si>
    <t>Eingegangener Zahlungsbetrag. Bei Teilzahlung nur den erhaltenen Teil eintragen.</t>
  </si>
  <si>
    <t>Automatisch berechnet: Bruttobetrag minus erhaltene Zahlung.</t>
  </si>
  <si>
    <t>Automatisch berechnet ab dem heutigen Datum (TODAY()-Funktion).</t>
  </si>
  <si>
    <t>Automatisch: 'Bezahlt' / 'Offen' / 'Überfällig' – keine manuelle Eingabe nötig.</t>
  </si>
  <si>
    <t>Dropdown-Auswahl: —, Mahnung 1, Mahnung 2, Mahnung 3, Inkasso, Teilzahlung.</t>
  </si>
  <si>
    <t>Freitextfeld für interne Vermerke, Kontakthistorie oder nächste Schritte.</t>
  </si>
  <si>
    <t>TIPPS &amp; HINWEISE</t>
  </si>
  <si>
    <t>Neue Zeilen hinzufügen</t>
  </si>
  <si>
    <t>Kopieren Sie eine bestehende Zeile und fügen Sie sie darunter ein. Formeln werden automatisch übernommen.</t>
  </si>
  <si>
    <t>Bedingte Formatierung</t>
  </si>
  <si>
    <t>Status-Zellen werden automatisch grün (Bezahlt), orange (Offen) oder rot (Überfällig) eingefärbt.</t>
  </si>
  <si>
    <t>Auswertung</t>
  </si>
  <si>
    <t>Im Tabellenblatt 'Auswertung' finden Sie automatische Zusammenfassungen nach Status, Mahnstufe und Forderungsalterung.</t>
  </si>
  <si>
    <t>Datum aktuell halten</t>
  </si>
  <si>
    <t>Die Spalte 'Tage überfällig' verwendet TODAY() – sie aktualisiert sich täglich beim Öffnen der Datei.</t>
  </si>
  <si>
    <t>Sortierung &amp; Filter</t>
  </si>
  <si>
    <t>Aktivieren Sie AutoFilter (Daten → Filter) für flexible Sortierungen nach Fälligkeit, Betrag oder Status.</t>
  </si>
  <si>
    <t>OFFENE-POSTEN-LISTE  ·  Debitorenmanagement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</si>
</sst>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0.0"/>
    <numFmt numFmtId="166" formatCode="dd\.mm\.yyyy"/>
    <numFmt numFmtId="167" formatCode="0.0%"/>
  </numFmts>
  <fonts count="23" x14ac:knownFonts="1">
    <font>
      <sz val="11"/>
      <color theme="1"/>
      <name val="Calibri"/>
      <family val="2"/>
      <charset val="1"/>
    </font>
    <font>
      <sz val="8"/>
      <color rgb="FFA0B4BC"/>
      <name val="Calibri"/>
      <charset val="1"/>
    </font>
    <font>
      <b/>
      <sz val="15"/>
      <color rgb="FFD4A843"/>
      <name val="Calibri"/>
      <charset val="1"/>
    </font>
    <font>
      <b/>
      <sz val="9"/>
      <color rgb="FFFFFFFF"/>
      <name val="Calibri"/>
      <charset val="1"/>
    </font>
    <font>
      <sz val="10"/>
      <color rgb="FF1C2833"/>
      <name val="Calibri"/>
      <charset val="1"/>
    </font>
    <font>
      <b/>
      <sz val="9"/>
      <color rgb="FF2E6B7E"/>
      <name val="Calibri"/>
      <charset val="1"/>
    </font>
    <font>
      <b/>
      <sz val="10"/>
      <color rgb="FF1C2833"/>
      <name val="Calibri"/>
      <charset val="1"/>
    </font>
    <font>
      <i/>
      <sz val="9"/>
      <color rgb="FF5D6D7E"/>
      <name val="Calibri"/>
      <charset val="1"/>
    </font>
    <font>
      <b/>
      <sz val="10"/>
      <color rgb="FFFFFFFF"/>
      <name val="Calibri"/>
      <charset val="1"/>
    </font>
    <font>
      <b/>
      <sz val="11"/>
      <color rgb="FF1A3C4A"/>
      <name val="Calibri"/>
      <charset val="1"/>
    </font>
    <font>
      <i/>
      <sz val="8"/>
      <color rgb="FF7F8C8D"/>
      <name val="Calibri"/>
      <charset val="1"/>
    </font>
    <font>
      <b/>
      <sz val="16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E07B39"/>
      <name val="Calibri"/>
      <charset val="1"/>
    </font>
    <font>
      <b/>
      <sz val="10"/>
      <color rgb="FFC0392B"/>
      <name val="Calibri"/>
      <charset val="1"/>
    </font>
    <font>
      <b/>
      <sz val="10"/>
      <color rgb="FF1E8449"/>
      <name val="Calibri"/>
      <charset val="1"/>
    </font>
    <font>
      <b/>
      <sz val="10"/>
      <color rgb="FF1A3C4A"/>
      <name val="Calibri"/>
      <charset val="1"/>
    </font>
    <font>
      <sz val="9"/>
      <color rgb="FF1C2833"/>
      <name val="Calibri"/>
      <charset val="1"/>
    </font>
    <font>
      <sz val="9"/>
      <color rgb="FF1E8449"/>
      <name val="Calibri"/>
      <charset val="1"/>
    </font>
    <font>
      <sz val="9"/>
      <color rgb="FFE07B39"/>
      <name val="Calibri"/>
      <charset val="1"/>
    </font>
    <font>
      <b/>
      <sz val="9"/>
      <color rgb="FFC0392B"/>
      <name val="Calibri"/>
      <charset val="1"/>
    </font>
    <font>
      <b/>
      <sz val="9"/>
      <color rgb="FF1A3C4A"/>
      <name val="Calibri"/>
      <charset val="1"/>
    </font>
    <font>
      <b/>
      <sz val="22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A3C4A"/>
        <bgColor rgb="FF1C2833"/>
      </patternFill>
    </fill>
    <fill>
      <patternFill patternType="solid">
        <fgColor rgb="FF2E6B7E"/>
        <bgColor rgb="FF5D6D7E"/>
      </patternFill>
    </fill>
    <fill>
      <patternFill patternType="solid">
        <fgColor rgb="FFD6EAF0"/>
        <bgColor rgb="FFDCE7EA"/>
      </patternFill>
    </fill>
    <fill>
      <patternFill patternType="solid">
        <fgColor rgb="FFFFFFFF"/>
        <bgColor rgb="FFFDF3DC"/>
      </patternFill>
    </fill>
    <fill>
      <patternFill patternType="solid">
        <fgColor rgb="FFD4A843"/>
        <bgColor rgb="FFE07B39"/>
      </patternFill>
    </fill>
    <fill>
      <patternFill patternType="solid">
        <fgColor rgb="FFFDF3DC"/>
        <bgColor rgb="FFFDEBD0"/>
      </patternFill>
    </fill>
    <fill>
      <patternFill patternType="solid">
        <fgColor rgb="FFFADBD8"/>
        <bgColor rgb="FFFDEBD0"/>
      </patternFill>
    </fill>
    <fill>
      <patternFill patternType="solid">
        <fgColor rgb="FFD5F5E3"/>
        <bgColor rgb="FFD6EAF0"/>
      </patternFill>
    </fill>
    <fill>
      <patternFill patternType="solid">
        <fgColor rgb="FFFDEBD0"/>
        <bgColor rgb="FFFDF3DC"/>
      </patternFill>
    </fill>
  </fills>
  <borders count="7">
    <border>
      <left/>
      <right/>
      <top/>
      <bottom/>
      <diagonal/>
    </border>
    <border>
      <left/>
      <right/>
      <top/>
      <bottom style="thick">
        <color rgb="FFD4A843"/>
      </bottom>
      <diagonal/>
    </border>
    <border>
      <left style="thin">
        <color rgb="FF1A3C4A"/>
      </left>
      <right style="thin">
        <color rgb="FF1A3C4A"/>
      </right>
      <top style="thin">
        <color rgb="FF2E6B7E"/>
      </top>
      <bottom style="medium">
        <color rgb="FFD4A843"/>
      </bottom>
      <diagonal/>
    </border>
    <border>
      <left style="thin">
        <color rgb="FFDCE7EA"/>
      </left>
      <right style="thin">
        <color rgb="FFDCE7EA"/>
      </right>
      <top style="thin">
        <color rgb="FFDCE7EA"/>
      </top>
      <bottom style="thin">
        <color rgb="FFDCE7EA"/>
      </bottom>
      <diagonal/>
    </border>
    <border>
      <left style="thin">
        <color rgb="FFBDC3C7"/>
      </left>
      <right/>
      <top style="thin">
        <color rgb="FFBDC3C7"/>
      </top>
      <bottom style="thin">
        <color rgb="FFBDC3C7"/>
      </bottom>
      <diagonal/>
    </border>
    <border>
      <left style="thin">
        <color rgb="FFBDC3C7"/>
      </left>
      <right style="thin">
        <color rgb="FFBDC3C7"/>
      </right>
      <top style="medium">
        <color rgb="FFD4A843"/>
      </top>
      <bottom style="medium">
        <color rgb="FFD4A843"/>
      </bottom>
      <diagonal/>
    </border>
    <border>
      <left/>
      <right/>
      <top/>
      <bottom style="medium">
        <color rgb="FFD4A843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8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6" borderId="4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top"/>
    </xf>
    <xf numFmtId="1" fontId="2" fillId="2" borderId="0" xfId="0" applyNumberFormat="1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4" fillId="4" borderId="3" xfId="0" applyFont="1" applyFill="1" applyBorder="1"/>
    <xf numFmtId="166" fontId="4" fillId="4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5" fillId="5" borderId="3" xfId="0" applyFont="1" applyFill="1" applyBorder="1"/>
    <xf numFmtId="0" fontId="4" fillId="5" borderId="3" xfId="0" applyFont="1" applyFill="1" applyBorder="1"/>
    <xf numFmtId="166" fontId="4" fillId="5" borderId="3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right" vertical="center"/>
    </xf>
    <xf numFmtId="164" fontId="6" fillId="5" borderId="3" xfId="0" applyNumberFormat="1" applyFont="1" applyFill="1" applyBorder="1" applyAlignment="1">
      <alignment horizontal="right" vertical="center"/>
    </xf>
    <xf numFmtId="0" fontId="7" fillId="5" borderId="3" xfId="0" applyFont="1" applyFill="1" applyBorder="1" applyAlignment="1">
      <alignment horizontal="left" vertical="center" wrapText="1"/>
    </xf>
    <xf numFmtId="164" fontId="9" fillId="7" borderId="5" xfId="0" applyNumberFormat="1" applyFont="1" applyFill="1" applyBorder="1" applyAlignment="1">
      <alignment horizontal="right" vertical="center"/>
    </xf>
    <xf numFmtId="0" fontId="0" fillId="7" borderId="5" xfId="0" applyFill="1" applyBorder="1"/>
    <xf numFmtId="0" fontId="3" fillId="2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167" fontId="4" fillId="5" borderId="3" xfId="0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164" fontId="16" fillId="7" borderId="3" xfId="0" applyNumberFormat="1" applyFont="1" applyFill="1" applyBorder="1" applyAlignment="1">
      <alignment horizontal="right" vertical="center"/>
    </xf>
    <xf numFmtId="167" fontId="16" fillId="7" borderId="3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164" fontId="17" fillId="4" borderId="3" xfId="0" applyNumberFormat="1" applyFont="1" applyFill="1" applyBorder="1" applyAlignment="1">
      <alignment horizontal="right" vertical="center"/>
    </xf>
    <xf numFmtId="0" fontId="17" fillId="5" borderId="3" xfId="0" applyFont="1" applyFill="1" applyBorder="1" applyAlignment="1">
      <alignment horizontal="center" vertical="center"/>
    </xf>
    <xf numFmtId="164" fontId="17" fillId="5" borderId="3" xfId="0" applyNumberFormat="1" applyFont="1" applyFill="1" applyBorder="1" applyAlignment="1">
      <alignment horizontal="right" vertical="center"/>
    </xf>
    <xf numFmtId="167" fontId="17" fillId="5" borderId="3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164" fontId="18" fillId="9" borderId="3" xfId="0" applyNumberFormat="1" applyFont="1" applyFill="1" applyBorder="1" applyAlignment="1">
      <alignment horizontal="right" vertical="center"/>
    </xf>
    <xf numFmtId="167" fontId="17" fillId="9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164" fontId="19" fillId="7" borderId="3" xfId="0" applyNumberFormat="1" applyFont="1" applyFill="1" applyBorder="1" applyAlignment="1">
      <alignment horizontal="right" vertical="center"/>
    </xf>
    <xf numFmtId="167" fontId="17" fillId="7" borderId="3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164" fontId="19" fillId="10" borderId="3" xfId="0" applyNumberFormat="1" applyFont="1" applyFill="1" applyBorder="1" applyAlignment="1">
      <alignment horizontal="right" vertical="center"/>
    </xf>
    <xf numFmtId="167" fontId="17" fillId="10" borderId="3" xfId="0" applyNumberFormat="1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4" fontId="20" fillId="8" borderId="3" xfId="0" applyNumberFormat="1" applyFont="1" applyFill="1" applyBorder="1" applyAlignment="1">
      <alignment horizontal="right" vertical="center"/>
    </xf>
    <xf numFmtId="167" fontId="17" fillId="8" borderId="3" xfId="0" applyNumberFormat="1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left" vertical="center"/>
    </xf>
    <xf numFmtId="0" fontId="17" fillId="5" borderId="3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/>
    </xf>
  </cellXfs>
  <cellStyles count="1">
    <cellStyle name="Standard" xfId="0" builtinId="0"/>
  </cellStyles>
  <dxfs count="3">
    <dxf>
      <font>
        <b/>
        <color rgb="FFE07B39"/>
        <name val="Calibri"/>
        <charset val="1"/>
      </font>
      <fill>
        <patternFill>
          <bgColor rgb="FFFDEBD0"/>
        </patternFill>
      </fill>
    </dxf>
    <dxf>
      <font>
        <b/>
        <color rgb="FFC0392B"/>
        <name val="Calibri"/>
        <charset val="1"/>
      </font>
      <fill>
        <patternFill>
          <bgColor rgb="FFFADBD8"/>
        </patternFill>
      </fill>
    </dxf>
    <dxf>
      <font>
        <b/>
        <color rgb="FF1E8449"/>
        <name val="Calibri"/>
        <charset val="1"/>
      </font>
      <fill>
        <patternFill>
          <bgColor rgb="FFD5F5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6B7E"/>
      <rgbColor rgb="FFBDC3C7"/>
      <rgbColor rgb="FF7F8C8D"/>
      <rgbColor rgb="FF9999FF"/>
      <rgbColor rgb="FF993366"/>
      <rgbColor rgb="FFFDF3DC"/>
      <rgbColor rgb="FFD6EAF0"/>
      <rgbColor rgb="FF660066"/>
      <rgbColor rgb="FFE07B3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7EA"/>
      <rgbColor rgb="FFD5F5E3"/>
      <rgbColor rgb="FFFDEBD0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D4A843"/>
      <rgbColor rgb="FFFF6600"/>
      <rgbColor rgb="FF5D6D7E"/>
      <rgbColor rgb="FFA0B4BC"/>
      <rgbColor rgb="FF1A3C4A"/>
      <rgbColor rgb="FF1E8449"/>
      <rgbColor rgb="FF003300"/>
      <rgbColor rgb="FF333300"/>
      <rgbColor rgb="FFC0392B"/>
      <rgbColor rgb="FF993366"/>
      <rgbColor rgb="FF333399"/>
      <rgbColor rgb="FF1C28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zoomScaleNormal="100" workbookViewId="0">
      <pane ySplit="7" topLeftCell="A8" activePane="bottomLeft" state="frozen"/>
      <selection pane="bottomLeft" activeCell="M43" sqref="M43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22" customWidth="1"/>
    <col min="4" max="9" width="14" customWidth="1"/>
    <col min="10" max="10" width="12" customWidth="1"/>
    <col min="11" max="11" width="14" customWidth="1"/>
    <col min="12" max="12" width="12" customWidth="1"/>
    <col min="13" max="13" width="20" customWidth="1"/>
  </cols>
  <sheetData>
    <row r="1" spans="1:13" ht="7.5" customHeight="1" x14ac:dyDescent="0.25"/>
    <row r="2" spans="1:13" ht="43.5" customHeight="1" x14ac:dyDescent="0.25">
      <c r="A2" s="61" t="s">
        <v>120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6" customHeight="1" x14ac:dyDescent="0.25"/>
    <row r="4" spans="1:13" ht="21.75" customHeight="1" x14ac:dyDescent="0.25">
      <c r="A4" s="9" t="s">
        <v>0</v>
      </c>
      <c r="B4" s="9"/>
      <c r="C4" s="9" t="s">
        <v>1</v>
      </c>
      <c r="D4" s="9"/>
      <c r="E4" s="9" t="s">
        <v>2</v>
      </c>
      <c r="F4" s="9"/>
      <c r="G4" s="9" t="s">
        <v>3</v>
      </c>
      <c r="H4" s="9"/>
      <c r="I4" s="9" t="s">
        <v>4</v>
      </c>
      <c r="J4" s="9"/>
      <c r="K4" s="9" t="s">
        <v>5</v>
      </c>
      <c r="L4" s="9"/>
      <c r="M4" s="9"/>
    </row>
    <row r="5" spans="1:13" ht="21.75" customHeight="1" x14ac:dyDescent="0.25">
      <c r="A5" s="8">
        <f>SUMIF(I8:I27,"&gt;0",I8:I27)</f>
        <v>35385.5</v>
      </c>
      <c r="B5" s="8"/>
      <c r="C5" s="8">
        <f ca="1">SUMIF(K8:K27,"Überfällig",I8:I27)</f>
        <v>31195.5</v>
      </c>
      <c r="D5" s="8"/>
      <c r="E5" s="7">
        <f ca="1">COUNTIF(K8:K27,"Offen")+COUNTIF(K8:K27,"Überfällig")</f>
        <v>14</v>
      </c>
      <c r="F5" s="7"/>
      <c r="G5" s="6">
        <f ca="1">IFERROR(AVERAGEIF(J8:J27,"&gt;0",J8:J27),0)</f>
        <v>74.583333333333329</v>
      </c>
      <c r="H5" s="6"/>
      <c r="I5" s="8">
        <f>IFERROR(MAX(I8:I27),0)</f>
        <v>6200</v>
      </c>
      <c r="J5" s="8"/>
      <c r="K5" s="8">
        <f ca="1">SUMIF(K8:K27,"Bezahlt",G8:G27)</f>
        <v>21070</v>
      </c>
      <c r="L5" s="8"/>
      <c r="M5" s="8"/>
    </row>
    <row r="6" spans="1:13" ht="7.5" customHeight="1" x14ac:dyDescent="0.25"/>
    <row r="7" spans="1:13" ht="31.5" customHeight="1" x14ac:dyDescent="0.25">
      <c r="A7" s="10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</row>
    <row r="8" spans="1:13" ht="19.5" customHeight="1" x14ac:dyDescent="0.25">
      <c r="A8" s="11">
        <v>1</v>
      </c>
      <c r="B8" s="12" t="s">
        <v>19</v>
      </c>
      <c r="C8" s="13" t="s">
        <v>20</v>
      </c>
      <c r="D8" s="14">
        <v>46032</v>
      </c>
      <c r="E8" s="11">
        <v>30</v>
      </c>
      <c r="F8" s="14">
        <f t="shared" ref="F8:F27" si="0">D8+E8</f>
        <v>46062</v>
      </c>
      <c r="G8" s="15">
        <v>2340</v>
      </c>
      <c r="H8" s="15">
        <v>0</v>
      </c>
      <c r="I8" s="16">
        <f t="shared" ref="I8:I27" si="1">G8-H8</f>
        <v>2340</v>
      </c>
      <c r="J8" s="11">
        <f t="shared" ref="J8:J27" ca="1" si="2">IF(I8&lt;=0,0,MAX(0,TODAY()-F8))</f>
        <v>133</v>
      </c>
      <c r="K8" s="11" t="str">
        <f t="shared" ref="K8:K27" ca="1" si="3">IF(I8&lt;=0,"Bezahlt",IF(J8&gt;0,"Überfällig","Offen"))</f>
        <v>Überfällig</v>
      </c>
      <c r="L8" s="11" t="s">
        <v>21</v>
      </c>
      <c r="M8" s="17"/>
    </row>
    <row r="9" spans="1:13" ht="19.5" customHeight="1" x14ac:dyDescent="0.25">
      <c r="A9" s="18">
        <v>2</v>
      </c>
      <c r="B9" s="19" t="s">
        <v>22</v>
      </c>
      <c r="C9" s="20" t="s">
        <v>23</v>
      </c>
      <c r="D9" s="21">
        <v>46037</v>
      </c>
      <c r="E9" s="18">
        <v>14</v>
      </c>
      <c r="F9" s="21">
        <f t="shared" si="0"/>
        <v>46051</v>
      </c>
      <c r="G9" s="22">
        <v>1450</v>
      </c>
      <c r="H9" s="22">
        <v>1450</v>
      </c>
      <c r="I9" s="23">
        <f t="shared" si="1"/>
        <v>0</v>
      </c>
      <c r="J9" s="18">
        <f t="shared" ca="1" si="2"/>
        <v>0</v>
      </c>
      <c r="K9" s="18" t="str">
        <f t="shared" si="3"/>
        <v>Bezahlt</v>
      </c>
      <c r="L9" s="18" t="s">
        <v>21</v>
      </c>
      <c r="M9" s="24" t="s">
        <v>24</v>
      </c>
    </row>
    <row r="10" spans="1:13" ht="19.5" customHeight="1" x14ac:dyDescent="0.25">
      <c r="A10" s="11">
        <v>3</v>
      </c>
      <c r="B10" s="12" t="s">
        <v>25</v>
      </c>
      <c r="C10" s="13" t="s">
        <v>26</v>
      </c>
      <c r="D10" s="14">
        <v>46044</v>
      </c>
      <c r="E10" s="11">
        <v>30</v>
      </c>
      <c r="F10" s="14">
        <f t="shared" si="0"/>
        <v>46074</v>
      </c>
      <c r="G10" s="15">
        <v>2890</v>
      </c>
      <c r="H10" s="15">
        <v>2890</v>
      </c>
      <c r="I10" s="16">
        <f t="shared" si="1"/>
        <v>0</v>
      </c>
      <c r="J10" s="11">
        <f t="shared" ca="1" si="2"/>
        <v>0</v>
      </c>
      <c r="K10" s="11" t="str">
        <f t="shared" si="3"/>
        <v>Bezahlt</v>
      </c>
      <c r="L10" s="11" t="s">
        <v>21</v>
      </c>
      <c r="M10" s="17" t="s">
        <v>27</v>
      </c>
    </row>
    <row r="11" spans="1:13" ht="19.5" customHeight="1" x14ac:dyDescent="0.25">
      <c r="A11" s="18">
        <v>4</v>
      </c>
      <c r="B11" s="19" t="s">
        <v>28</v>
      </c>
      <c r="C11" s="20" t="s">
        <v>29</v>
      </c>
      <c r="D11" s="21">
        <v>46054</v>
      </c>
      <c r="E11" s="18">
        <v>30</v>
      </c>
      <c r="F11" s="21">
        <f t="shared" si="0"/>
        <v>46084</v>
      </c>
      <c r="G11" s="22">
        <v>1875.5</v>
      </c>
      <c r="H11" s="22">
        <v>0</v>
      </c>
      <c r="I11" s="23">
        <f t="shared" si="1"/>
        <v>1875.5</v>
      </c>
      <c r="J11" s="18">
        <f t="shared" ca="1" si="2"/>
        <v>111</v>
      </c>
      <c r="K11" s="18" t="str">
        <f t="shared" ca="1" si="3"/>
        <v>Überfällig</v>
      </c>
      <c r="L11" s="18" t="s">
        <v>30</v>
      </c>
      <c r="M11" s="24" t="s">
        <v>31</v>
      </c>
    </row>
    <row r="12" spans="1:13" ht="19.5" customHeight="1" x14ac:dyDescent="0.25">
      <c r="A12" s="11">
        <v>5</v>
      </c>
      <c r="B12" s="12" t="s">
        <v>32</v>
      </c>
      <c r="C12" s="13" t="s">
        <v>33</v>
      </c>
      <c r="D12" s="14">
        <v>46061</v>
      </c>
      <c r="E12" s="11">
        <v>14</v>
      </c>
      <c r="F12" s="14">
        <f t="shared" si="0"/>
        <v>46075</v>
      </c>
      <c r="G12" s="15">
        <v>3120</v>
      </c>
      <c r="H12" s="15">
        <v>0</v>
      </c>
      <c r="I12" s="16">
        <f t="shared" si="1"/>
        <v>3120</v>
      </c>
      <c r="J12" s="11">
        <f t="shared" ca="1" si="2"/>
        <v>120</v>
      </c>
      <c r="K12" s="11" t="str">
        <f t="shared" ca="1" si="3"/>
        <v>Überfällig</v>
      </c>
      <c r="L12" s="11" t="s">
        <v>21</v>
      </c>
      <c r="M12" s="17"/>
    </row>
    <row r="13" spans="1:13" ht="19.5" customHeight="1" x14ac:dyDescent="0.25">
      <c r="A13" s="18">
        <v>6</v>
      </c>
      <c r="B13" s="19" t="s">
        <v>34</v>
      </c>
      <c r="C13" s="20" t="s">
        <v>35</v>
      </c>
      <c r="D13" s="21">
        <v>46067</v>
      </c>
      <c r="E13" s="18">
        <v>30</v>
      </c>
      <c r="F13" s="21">
        <f t="shared" si="0"/>
        <v>46097</v>
      </c>
      <c r="G13" s="22">
        <v>1560</v>
      </c>
      <c r="H13" s="22">
        <v>760</v>
      </c>
      <c r="I13" s="23">
        <f t="shared" si="1"/>
        <v>800</v>
      </c>
      <c r="J13" s="18">
        <f t="shared" ca="1" si="2"/>
        <v>98</v>
      </c>
      <c r="K13" s="18" t="str">
        <f t="shared" ca="1" si="3"/>
        <v>Überfällig</v>
      </c>
      <c r="L13" s="18" t="s">
        <v>36</v>
      </c>
      <c r="M13" s="24" t="s">
        <v>37</v>
      </c>
    </row>
    <row r="14" spans="1:13" ht="19.5" customHeight="1" x14ac:dyDescent="0.25">
      <c r="A14" s="11">
        <v>7</v>
      </c>
      <c r="B14" s="12" t="s">
        <v>38</v>
      </c>
      <c r="C14" s="13" t="s">
        <v>39</v>
      </c>
      <c r="D14" s="14">
        <v>46073</v>
      </c>
      <c r="E14" s="11">
        <v>30</v>
      </c>
      <c r="F14" s="14">
        <f t="shared" si="0"/>
        <v>46103</v>
      </c>
      <c r="G14" s="15">
        <v>3200</v>
      </c>
      <c r="H14" s="15">
        <v>3200</v>
      </c>
      <c r="I14" s="16">
        <f t="shared" si="1"/>
        <v>0</v>
      </c>
      <c r="J14" s="11">
        <f t="shared" ca="1" si="2"/>
        <v>0</v>
      </c>
      <c r="K14" s="11" t="str">
        <f t="shared" si="3"/>
        <v>Bezahlt</v>
      </c>
      <c r="L14" s="11" t="s">
        <v>21</v>
      </c>
      <c r="M14" s="17" t="s">
        <v>40</v>
      </c>
    </row>
    <row r="15" spans="1:13" ht="19.5" customHeight="1" x14ac:dyDescent="0.25">
      <c r="A15" s="18">
        <v>8</v>
      </c>
      <c r="B15" s="19" t="s">
        <v>41</v>
      </c>
      <c r="C15" s="20" t="s">
        <v>42</v>
      </c>
      <c r="D15" s="21">
        <v>46084</v>
      </c>
      <c r="E15" s="18">
        <v>14</v>
      </c>
      <c r="F15" s="21">
        <f t="shared" si="0"/>
        <v>46098</v>
      </c>
      <c r="G15" s="22">
        <v>4450</v>
      </c>
      <c r="H15" s="22">
        <v>0</v>
      </c>
      <c r="I15" s="23">
        <f t="shared" si="1"/>
        <v>4450</v>
      </c>
      <c r="J15" s="18">
        <f t="shared" ca="1" si="2"/>
        <v>97</v>
      </c>
      <c r="K15" s="18" t="str">
        <f t="shared" ca="1" si="3"/>
        <v>Überfällig</v>
      </c>
      <c r="L15" s="18" t="s">
        <v>43</v>
      </c>
      <c r="M15" s="24" t="s">
        <v>44</v>
      </c>
    </row>
    <row r="16" spans="1:13" ht="19.5" customHeight="1" x14ac:dyDescent="0.25">
      <c r="A16" s="11">
        <v>9</v>
      </c>
      <c r="B16" s="12" t="s">
        <v>45</v>
      </c>
      <c r="C16" s="13" t="s">
        <v>46</v>
      </c>
      <c r="D16" s="14">
        <v>46091</v>
      </c>
      <c r="E16" s="11">
        <v>30</v>
      </c>
      <c r="F16" s="14">
        <f t="shared" si="0"/>
        <v>46121</v>
      </c>
      <c r="G16" s="15">
        <v>2780</v>
      </c>
      <c r="H16" s="15">
        <v>0</v>
      </c>
      <c r="I16" s="16">
        <f t="shared" si="1"/>
        <v>2780</v>
      </c>
      <c r="J16" s="11">
        <f t="shared" ca="1" si="2"/>
        <v>74</v>
      </c>
      <c r="K16" s="11" t="str">
        <f t="shared" ca="1" si="3"/>
        <v>Überfällig</v>
      </c>
      <c r="L16" s="11" t="s">
        <v>21</v>
      </c>
      <c r="M16" s="17"/>
    </row>
    <row r="17" spans="1:13" ht="19.5" customHeight="1" x14ac:dyDescent="0.25">
      <c r="A17" s="18">
        <v>10</v>
      </c>
      <c r="B17" s="19" t="s">
        <v>47</v>
      </c>
      <c r="C17" s="20" t="s">
        <v>48</v>
      </c>
      <c r="D17" s="21">
        <v>46099</v>
      </c>
      <c r="E17" s="18">
        <v>30</v>
      </c>
      <c r="F17" s="21">
        <f t="shared" si="0"/>
        <v>46129</v>
      </c>
      <c r="G17" s="22">
        <v>5100</v>
      </c>
      <c r="H17" s="22">
        <v>5100</v>
      </c>
      <c r="I17" s="23">
        <f t="shared" si="1"/>
        <v>0</v>
      </c>
      <c r="J17" s="18">
        <f t="shared" ca="1" si="2"/>
        <v>0</v>
      </c>
      <c r="K17" s="18" t="str">
        <f t="shared" si="3"/>
        <v>Bezahlt</v>
      </c>
      <c r="L17" s="18" t="s">
        <v>21</v>
      </c>
      <c r="M17" s="24" t="s">
        <v>27</v>
      </c>
    </row>
    <row r="18" spans="1:13" ht="19.5" customHeight="1" x14ac:dyDescent="0.25">
      <c r="A18" s="11">
        <v>11</v>
      </c>
      <c r="B18" s="12" t="s">
        <v>49</v>
      </c>
      <c r="C18" s="13" t="s">
        <v>50</v>
      </c>
      <c r="D18" s="14">
        <v>46106</v>
      </c>
      <c r="E18" s="11">
        <v>14</v>
      </c>
      <c r="F18" s="14">
        <f t="shared" si="0"/>
        <v>46120</v>
      </c>
      <c r="G18" s="15">
        <v>940</v>
      </c>
      <c r="H18" s="15">
        <v>0</v>
      </c>
      <c r="I18" s="16">
        <f t="shared" si="1"/>
        <v>940</v>
      </c>
      <c r="J18" s="11">
        <f t="shared" ca="1" si="2"/>
        <v>75</v>
      </c>
      <c r="K18" s="11" t="str">
        <f t="shared" ca="1" si="3"/>
        <v>Überfällig</v>
      </c>
      <c r="L18" s="11" t="s">
        <v>51</v>
      </c>
      <c r="M18" s="17" t="s">
        <v>52</v>
      </c>
    </row>
    <row r="19" spans="1:13" ht="19.5" customHeight="1" x14ac:dyDescent="0.25">
      <c r="A19" s="18">
        <v>12</v>
      </c>
      <c r="B19" s="19" t="s">
        <v>53</v>
      </c>
      <c r="C19" s="20" t="s">
        <v>54</v>
      </c>
      <c r="D19" s="21">
        <v>46114</v>
      </c>
      <c r="E19" s="18">
        <v>30</v>
      </c>
      <c r="F19" s="21">
        <f t="shared" si="0"/>
        <v>46144</v>
      </c>
      <c r="G19" s="22">
        <v>6200</v>
      </c>
      <c r="H19" s="22">
        <v>0</v>
      </c>
      <c r="I19" s="23">
        <f t="shared" si="1"/>
        <v>6200</v>
      </c>
      <c r="J19" s="18">
        <f t="shared" ca="1" si="2"/>
        <v>51</v>
      </c>
      <c r="K19" s="18" t="str">
        <f t="shared" ca="1" si="3"/>
        <v>Überfällig</v>
      </c>
      <c r="L19" s="18" t="s">
        <v>21</v>
      </c>
      <c r="M19" s="24"/>
    </row>
    <row r="20" spans="1:13" ht="19.5" customHeight="1" x14ac:dyDescent="0.25">
      <c r="A20" s="11">
        <v>13</v>
      </c>
      <c r="B20" s="12" t="s">
        <v>55</v>
      </c>
      <c r="C20" s="13" t="s">
        <v>56</v>
      </c>
      <c r="D20" s="14">
        <v>46121</v>
      </c>
      <c r="E20" s="11">
        <v>14</v>
      </c>
      <c r="F20" s="14">
        <f t="shared" si="0"/>
        <v>46135</v>
      </c>
      <c r="G20" s="15">
        <v>1780</v>
      </c>
      <c r="H20" s="15">
        <v>890</v>
      </c>
      <c r="I20" s="16">
        <f t="shared" si="1"/>
        <v>890</v>
      </c>
      <c r="J20" s="11">
        <f t="shared" ca="1" si="2"/>
        <v>60</v>
      </c>
      <c r="K20" s="11" t="str">
        <f t="shared" ca="1" si="3"/>
        <v>Überfällig</v>
      </c>
      <c r="L20" s="11" t="s">
        <v>36</v>
      </c>
      <c r="M20" s="17" t="s">
        <v>57</v>
      </c>
    </row>
    <row r="21" spans="1:13" ht="19.5" customHeight="1" x14ac:dyDescent="0.25">
      <c r="A21" s="18">
        <v>14</v>
      </c>
      <c r="B21" s="19" t="s">
        <v>58</v>
      </c>
      <c r="C21" s="20" t="s">
        <v>59</v>
      </c>
      <c r="D21" s="21">
        <v>46127</v>
      </c>
      <c r="E21" s="18">
        <v>30</v>
      </c>
      <c r="F21" s="21">
        <f t="shared" si="0"/>
        <v>46157</v>
      </c>
      <c r="G21" s="22">
        <v>4750</v>
      </c>
      <c r="H21" s="22">
        <v>4750</v>
      </c>
      <c r="I21" s="23">
        <f t="shared" si="1"/>
        <v>0</v>
      </c>
      <c r="J21" s="18">
        <f t="shared" ca="1" si="2"/>
        <v>0</v>
      </c>
      <c r="K21" s="18" t="str">
        <f t="shared" si="3"/>
        <v>Bezahlt</v>
      </c>
      <c r="L21" s="18" t="s">
        <v>21</v>
      </c>
      <c r="M21" s="24" t="s">
        <v>27</v>
      </c>
    </row>
    <row r="22" spans="1:13" ht="19.5" customHeight="1" x14ac:dyDescent="0.25">
      <c r="A22" s="11">
        <v>15</v>
      </c>
      <c r="B22" s="12" t="s">
        <v>60</v>
      </c>
      <c r="C22" s="13" t="s">
        <v>61</v>
      </c>
      <c r="D22" s="14">
        <v>46134</v>
      </c>
      <c r="E22" s="11">
        <v>30</v>
      </c>
      <c r="F22" s="14">
        <f t="shared" si="0"/>
        <v>46164</v>
      </c>
      <c r="G22" s="15">
        <v>2390</v>
      </c>
      <c r="H22" s="15">
        <v>0</v>
      </c>
      <c r="I22" s="16">
        <f t="shared" si="1"/>
        <v>2390</v>
      </c>
      <c r="J22" s="11">
        <f t="shared" ca="1" si="2"/>
        <v>31</v>
      </c>
      <c r="K22" s="11" t="str">
        <f t="shared" ca="1" si="3"/>
        <v>Überfällig</v>
      </c>
      <c r="L22" s="11" t="s">
        <v>30</v>
      </c>
      <c r="M22" s="17" t="s">
        <v>31</v>
      </c>
    </row>
    <row r="23" spans="1:13" ht="19.5" customHeight="1" x14ac:dyDescent="0.25">
      <c r="A23" s="18">
        <v>16</v>
      </c>
      <c r="B23" s="19" t="s">
        <v>62</v>
      </c>
      <c r="C23" s="20" t="s">
        <v>63</v>
      </c>
      <c r="D23" s="21">
        <v>46147</v>
      </c>
      <c r="E23" s="18">
        <v>14</v>
      </c>
      <c r="F23" s="21">
        <f t="shared" si="0"/>
        <v>46161</v>
      </c>
      <c r="G23" s="22">
        <v>3310</v>
      </c>
      <c r="H23" s="22">
        <v>0</v>
      </c>
      <c r="I23" s="23">
        <f t="shared" si="1"/>
        <v>3310</v>
      </c>
      <c r="J23" s="18">
        <f t="shared" ca="1" si="2"/>
        <v>34</v>
      </c>
      <c r="K23" s="18" t="str">
        <f t="shared" ca="1" si="3"/>
        <v>Überfällig</v>
      </c>
      <c r="L23" s="18" t="s">
        <v>21</v>
      </c>
      <c r="M23" s="24"/>
    </row>
    <row r="24" spans="1:13" ht="19.5" customHeight="1" x14ac:dyDescent="0.25">
      <c r="A24" s="11">
        <v>17</v>
      </c>
      <c r="B24" s="12" t="s">
        <v>64</v>
      </c>
      <c r="C24" s="13" t="s">
        <v>65</v>
      </c>
      <c r="D24" s="14">
        <v>46154</v>
      </c>
      <c r="E24" s="11">
        <v>30</v>
      </c>
      <c r="F24" s="14">
        <f t="shared" si="0"/>
        <v>46184</v>
      </c>
      <c r="G24" s="15">
        <v>4200</v>
      </c>
      <c r="H24" s="15">
        <v>2100</v>
      </c>
      <c r="I24" s="16">
        <f t="shared" si="1"/>
        <v>2100</v>
      </c>
      <c r="J24" s="11">
        <f t="shared" ca="1" si="2"/>
        <v>11</v>
      </c>
      <c r="K24" s="11" t="str">
        <f t="shared" ca="1" si="3"/>
        <v>Überfällig</v>
      </c>
      <c r="L24" s="11" t="s">
        <v>36</v>
      </c>
      <c r="M24" s="17" t="s">
        <v>66</v>
      </c>
    </row>
    <row r="25" spans="1:13" ht="19.5" customHeight="1" x14ac:dyDescent="0.25">
      <c r="A25" s="18">
        <v>18</v>
      </c>
      <c r="B25" s="19" t="s">
        <v>67</v>
      </c>
      <c r="C25" s="20" t="s">
        <v>68</v>
      </c>
      <c r="D25" s="21">
        <v>46162</v>
      </c>
      <c r="E25" s="18">
        <v>14</v>
      </c>
      <c r="F25" s="21">
        <f t="shared" si="0"/>
        <v>46176</v>
      </c>
      <c r="G25" s="22">
        <v>3680</v>
      </c>
      <c r="H25" s="22">
        <v>3680</v>
      </c>
      <c r="I25" s="23">
        <f t="shared" si="1"/>
        <v>0</v>
      </c>
      <c r="J25" s="18">
        <f t="shared" ca="1" si="2"/>
        <v>0</v>
      </c>
      <c r="K25" s="18" t="str">
        <f t="shared" si="3"/>
        <v>Bezahlt</v>
      </c>
      <c r="L25" s="18" t="s">
        <v>21</v>
      </c>
      <c r="M25" s="24" t="s">
        <v>27</v>
      </c>
    </row>
    <row r="26" spans="1:13" ht="19.5" customHeight="1" x14ac:dyDescent="0.25">
      <c r="A26" s="11">
        <v>19</v>
      </c>
      <c r="B26" s="12" t="s">
        <v>69</v>
      </c>
      <c r="C26" s="13" t="s">
        <v>70</v>
      </c>
      <c r="D26" s="14">
        <v>46174</v>
      </c>
      <c r="E26" s="11">
        <v>30</v>
      </c>
      <c r="F26" s="14">
        <f t="shared" si="0"/>
        <v>46204</v>
      </c>
      <c r="G26" s="15">
        <v>1540</v>
      </c>
      <c r="H26" s="15">
        <v>0</v>
      </c>
      <c r="I26" s="16">
        <f t="shared" si="1"/>
        <v>1540</v>
      </c>
      <c r="J26" s="11">
        <f t="shared" ca="1" si="2"/>
        <v>0</v>
      </c>
      <c r="K26" s="11" t="str">
        <f t="shared" ca="1" si="3"/>
        <v>Offen</v>
      </c>
      <c r="L26" s="11" t="s">
        <v>21</v>
      </c>
      <c r="M26" s="17"/>
    </row>
    <row r="27" spans="1:13" ht="19.5" customHeight="1" x14ac:dyDescent="0.25">
      <c r="A27" s="18">
        <v>20</v>
      </c>
      <c r="B27" s="19" t="s">
        <v>71</v>
      </c>
      <c r="C27" s="20" t="s">
        <v>72</v>
      </c>
      <c r="D27" s="21">
        <v>46183</v>
      </c>
      <c r="E27" s="18">
        <v>14</v>
      </c>
      <c r="F27" s="21">
        <f t="shared" si="0"/>
        <v>46197</v>
      </c>
      <c r="G27" s="22">
        <v>2650</v>
      </c>
      <c r="H27" s="22">
        <v>0</v>
      </c>
      <c r="I27" s="23">
        <f t="shared" si="1"/>
        <v>2650</v>
      </c>
      <c r="J27" s="18">
        <f t="shared" ca="1" si="2"/>
        <v>0</v>
      </c>
      <c r="K27" s="18" t="str">
        <f t="shared" ca="1" si="3"/>
        <v>Offen</v>
      </c>
      <c r="L27" s="18" t="s">
        <v>21</v>
      </c>
      <c r="M27" s="24"/>
    </row>
    <row r="28" spans="1:13" ht="24" customHeight="1" x14ac:dyDescent="0.25">
      <c r="A28" s="5" t="s">
        <v>73</v>
      </c>
      <c r="B28" s="5"/>
      <c r="C28" s="5"/>
      <c r="D28" s="5"/>
      <c r="E28" s="5"/>
      <c r="F28" s="5"/>
      <c r="G28" s="25">
        <f>SUM(G8:G27)</f>
        <v>60205.5</v>
      </c>
      <c r="H28" s="25">
        <f>SUM(H8:H27)</f>
        <v>24820</v>
      </c>
      <c r="I28" s="25">
        <f>SUM(I8:I27)</f>
        <v>35385.5</v>
      </c>
      <c r="J28" s="26"/>
      <c r="K28" s="26"/>
      <c r="L28" s="26"/>
      <c r="M28" s="26"/>
    </row>
    <row r="30" spans="1:13" ht="13.5" customHeight="1" x14ac:dyDescent="0.25">
      <c r="A30" s="4" t="s">
        <v>74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</sheetData>
  <mergeCells count="15">
    <mergeCell ref="K5:M5"/>
    <mergeCell ref="A28:F28"/>
    <mergeCell ref="A30:M30"/>
    <mergeCell ref="A5:B5"/>
    <mergeCell ref="C5:D5"/>
    <mergeCell ref="E5:F5"/>
    <mergeCell ref="G5:H5"/>
    <mergeCell ref="I5:J5"/>
    <mergeCell ref="A2:M2"/>
    <mergeCell ref="A4:B4"/>
    <mergeCell ref="C4:D4"/>
    <mergeCell ref="E4:F4"/>
    <mergeCell ref="G4:H4"/>
    <mergeCell ref="I4:J4"/>
    <mergeCell ref="K4:M4"/>
  </mergeCells>
  <conditionalFormatting sqref="J8:J27">
    <cfRule type="colorScale" priority="5">
      <colorScale>
        <cfvo type="num" val="0"/>
        <cfvo type="num" val="90"/>
        <color rgb="FFFFFFFF"/>
        <color rgb="FFC0392B"/>
      </colorScale>
    </cfRule>
  </conditionalFormatting>
  <conditionalFormatting sqref="K8:K27">
    <cfRule type="expression" dxfId="2" priority="2">
      <formula>K8="Bezahlt"</formula>
    </cfRule>
    <cfRule type="expression" dxfId="1" priority="3">
      <formula>K8="Überfällig"</formula>
    </cfRule>
    <cfRule type="expression" dxfId="0" priority="4">
      <formula>K8="Offen"</formula>
    </cfRule>
  </conditionalFormatting>
  <dataValidations count="1">
    <dataValidation type="list" allowBlank="1" sqref="L8:L27" xr:uid="{00000000-0002-0000-0000-000000000000}">
      <formula1>"—,Mahnung 1,Mahnung 2,Mahnung 3,Inkasso,Teilzahlung"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showGridLines="0" zoomScaleNormal="100" workbookViewId="0"/>
  </sheetViews>
  <sheetFormatPr baseColWidth="10" defaultColWidth="8.7109375" defaultRowHeight="15" x14ac:dyDescent="0.25"/>
  <cols>
    <col min="1" max="1" width="5" customWidth="1"/>
    <col min="2" max="2" width="26" customWidth="1"/>
    <col min="3" max="5" width="18" customWidth="1"/>
    <col min="6" max="6" width="5" customWidth="1"/>
  </cols>
  <sheetData>
    <row r="1" spans="1:6" ht="7.5" customHeight="1" x14ac:dyDescent="0.25"/>
    <row r="2" spans="1:6" ht="37.5" customHeight="1" x14ac:dyDescent="0.25">
      <c r="A2" s="3" t="s">
        <v>75</v>
      </c>
      <c r="B2" s="3"/>
      <c r="C2" s="3"/>
      <c r="D2" s="3"/>
      <c r="E2" s="3"/>
      <c r="F2" s="3"/>
    </row>
    <row r="3" spans="1:6" ht="7.5" customHeight="1" x14ac:dyDescent="0.25"/>
    <row r="4" spans="1:6" ht="21.75" customHeight="1" x14ac:dyDescent="0.25">
      <c r="B4" s="2" t="s">
        <v>76</v>
      </c>
      <c r="C4" s="2"/>
      <c r="D4" s="2"/>
      <c r="E4" s="2"/>
    </row>
    <row r="5" spans="1:6" ht="19.5" customHeight="1" x14ac:dyDescent="0.25">
      <c r="B5" s="27" t="s">
        <v>16</v>
      </c>
      <c r="C5" s="27" t="s">
        <v>77</v>
      </c>
      <c r="D5" s="27" t="s">
        <v>78</v>
      </c>
      <c r="E5" s="27" t="s">
        <v>79</v>
      </c>
    </row>
    <row r="6" spans="1:6" ht="19.5" customHeight="1" x14ac:dyDescent="0.25">
      <c r="B6" s="28" t="s">
        <v>80</v>
      </c>
      <c r="C6" s="18">
        <f ca="1">COUNTIF('Offene Posten'!K8:K27,"Offen")</f>
        <v>2</v>
      </c>
      <c r="D6" s="23">
        <f ca="1">SUMIF('Offene Posten'!K8:K27,"Offen",'Offene Posten'!I8:I27)</f>
        <v>4190</v>
      </c>
      <c r="E6" s="29">
        <f ca="1">IFERROR(D6/SUM(D6:D8),0)</f>
        <v>7.4217746720868644E-2</v>
      </c>
    </row>
    <row r="7" spans="1:6" ht="19.5" customHeight="1" x14ac:dyDescent="0.25">
      <c r="B7" s="30" t="s">
        <v>81</v>
      </c>
      <c r="C7" s="18">
        <f ca="1">COUNTIF('Offene Posten'!K8:K27,"Überfällig")</f>
        <v>12</v>
      </c>
      <c r="D7" s="23">
        <f ca="1">SUMIF('Offene Posten'!K8:K27,"Überfällig",'Offene Posten'!I8:I27)</f>
        <v>31195.5</v>
      </c>
      <c r="E7" s="29">
        <f ca="1">IFERROR(D7/SUM(D6:D8),0)</f>
        <v>0.55256795174960804</v>
      </c>
    </row>
    <row r="8" spans="1:6" ht="19.5" customHeight="1" x14ac:dyDescent="0.25">
      <c r="B8" s="31" t="s">
        <v>40</v>
      </c>
      <c r="C8" s="18">
        <f ca="1">COUNTIF('Offene Posten'!K8:K27,"Bezahlt")</f>
        <v>6</v>
      </c>
      <c r="D8" s="23">
        <f ca="1">SUMIF('Offene Posten'!K8:K27,"Bezahlt",'Offene Posten'!G8:G27)</f>
        <v>21070</v>
      </c>
      <c r="E8" s="29">
        <f ca="1">IFERROR(D8/SUM(D6:D8),0)</f>
        <v>0.37321430152952323</v>
      </c>
    </row>
    <row r="9" spans="1:6" ht="21.75" customHeight="1" x14ac:dyDescent="0.25">
      <c r="B9" s="32" t="s">
        <v>82</v>
      </c>
      <c r="C9" s="33">
        <f ca="1">SUM(C6:C8)</f>
        <v>20</v>
      </c>
      <c r="D9" s="34">
        <f ca="1">SUM(D6:D8)</f>
        <v>56455.5</v>
      </c>
      <c r="E9" s="35" t="s">
        <v>83</v>
      </c>
    </row>
    <row r="11" spans="1:6" ht="21.75" customHeight="1" x14ac:dyDescent="0.25">
      <c r="B11" s="2" t="s">
        <v>84</v>
      </c>
      <c r="C11" s="2"/>
      <c r="D11" s="2"/>
      <c r="E11" s="2"/>
    </row>
    <row r="12" spans="1:6" ht="18" customHeight="1" x14ac:dyDescent="0.25">
      <c r="B12" s="27" t="s">
        <v>17</v>
      </c>
      <c r="C12" s="27" t="s">
        <v>85</v>
      </c>
      <c r="D12" s="27" t="s">
        <v>14</v>
      </c>
    </row>
    <row r="13" spans="1:6" ht="18" customHeight="1" x14ac:dyDescent="0.25">
      <c r="B13" s="36" t="s">
        <v>21</v>
      </c>
      <c r="C13" s="36">
        <f>COUNTIF('Offene Posten'!L8:L27,"—")</f>
        <v>13</v>
      </c>
      <c r="D13" s="37">
        <f>SUMIF('Offene Posten'!L8:L27,"—",'Offene Posten'!I8:I27)</f>
        <v>21940</v>
      </c>
    </row>
    <row r="14" spans="1:6" ht="18" customHeight="1" x14ac:dyDescent="0.25">
      <c r="B14" s="38" t="s">
        <v>30</v>
      </c>
      <c r="C14" s="38">
        <f>COUNTIF('Offene Posten'!L8:L27,"Mahnung 1")</f>
        <v>2</v>
      </c>
      <c r="D14" s="39">
        <f>SUMIF('Offene Posten'!L8:L27,"Mahnung 1",'Offene Posten'!I8:I27)</f>
        <v>4265.5</v>
      </c>
    </row>
    <row r="15" spans="1:6" ht="18" customHeight="1" x14ac:dyDescent="0.25">
      <c r="B15" s="36" t="s">
        <v>43</v>
      </c>
      <c r="C15" s="36">
        <f>COUNTIF('Offene Posten'!L8:L27,"Mahnung 2")</f>
        <v>1</v>
      </c>
      <c r="D15" s="37">
        <f>SUMIF('Offene Posten'!L8:L27,"Mahnung 2",'Offene Posten'!I8:I27)</f>
        <v>4450</v>
      </c>
    </row>
    <row r="16" spans="1:6" ht="18" customHeight="1" x14ac:dyDescent="0.25">
      <c r="B16" s="38" t="s">
        <v>86</v>
      </c>
      <c r="C16" s="38">
        <f>COUNTIF('Offene Posten'!L8:L27,"Mahnung 3")</f>
        <v>0</v>
      </c>
      <c r="D16" s="39">
        <f>SUMIF('Offene Posten'!L8:L27,"Mahnung 3",'Offene Posten'!I8:I27)</f>
        <v>0</v>
      </c>
    </row>
    <row r="17" spans="2:5" ht="18" customHeight="1" x14ac:dyDescent="0.25">
      <c r="B17" s="36" t="s">
        <v>51</v>
      </c>
      <c r="C17" s="36">
        <f>COUNTIF('Offene Posten'!L8:L27,"Inkasso")</f>
        <v>1</v>
      </c>
      <c r="D17" s="37">
        <f>SUMIF('Offene Posten'!L8:L27,"Inkasso",'Offene Posten'!I8:I27)</f>
        <v>940</v>
      </c>
    </row>
    <row r="18" spans="2:5" ht="18" customHeight="1" x14ac:dyDescent="0.25">
      <c r="B18" s="38" t="s">
        <v>36</v>
      </c>
      <c r="C18" s="38">
        <f>COUNTIF('Offene Posten'!L8:L27,"Teilzahlung")</f>
        <v>3</v>
      </c>
      <c r="D18" s="39">
        <f>SUMIF('Offene Posten'!L8:L27,"Teilzahlung",'Offene Posten'!I8:I27)</f>
        <v>3790</v>
      </c>
    </row>
    <row r="21" spans="2:5" ht="21.75" customHeight="1" x14ac:dyDescent="0.25">
      <c r="B21" s="2" t="s">
        <v>87</v>
      </c>
      <c r="C21" s="2"/>
      <c r="D21" s="2"/>
      <c r="E21" s="2"/>
    </row>
    <row r="22" spans="2:5" ht="18" customHeight="1" x14ac:dyDescent="0.25">
      <c r="B22" s="27" t="s">
        <v>88</v>
      </c>
      <c r="C22" s="27" t="s">
        <v>85</v>
      </c>
      <c r="D22" s="27" t="s">
        <v>14</v>
      </c>
      <c r="E22" s="27" t="s">
        <v>79</v>
      </c>
    </row>
    <row r="23" spans="2:5" ht="19.5" customHeight="1" x14ac:dyDescent="0.25">
      <c r="B23" s="38" t="s">
        <v>89</v>
      </c>
      <c r="C23" s="38">
        <f ca="1">COUNTIFS('Offene Posten'!J8:J27,"=0",'Offene Posten'!I8:I27,"&gt;0")</f>
        <v>2</v>
      </c>
      <c r="D23" s="39">
        <f ca="1">SUMIF('Offene Posten'!J8:J27,0,'Offene Posten'!I8:I27)</f>
        <v>4190</v>
      </c>
      <c r="E23" s="40">
        <f ca="1">IFERROR(D23/SUM(D23:D27),0)</f>
        <v>0.11841008322618021</v>
      </c>
    </row>
    <row r="24" spans="2:5" ht="19.5" customHeight="1" x14ac:dyDescent="0.25">
      <c r="B24" s="41" t="s">
        <v>90</v>
      </c>
      <c r="C24" s="42">
        <f ca="1">COUNTIFS('Offene Posten'!J8:J27,"&gt;0",'Offene Posten'!J8:J27,"&lt;=30")</f>
        <v>1</v>
      </c>
      <c r="D24" s="43">
        <f ca="1">SUMPRODUCT(('Offene Posten'!J8:J27&gt;0)*('Offene Posten'!J8:J27&lt;=30)*('Offene Posten'!I8:I27))</f>
        <v>2100</v>
      </c>
      <c r="E24" s="44">
        <f ca="1">IFERROR(D24/SUM(D23:D27),0)</f>
        <v>5.9346342428395815E-2</v>
      </c>
    </row>
    <row r="25" spans="2:5" ht="19.5" customHeight="1" x14ac:dyDescent="0.25">
      <c r="B25" s="45" t="s">
        <v>91</v>
      </c>
      <c r="C25" s="46">
        <f ca="1">COUNTIFS('Offene Posten'!J8:J27,"&gt;30",'Offene Posten'!J8:J27,"&lt;=60")</f>
        <v>4</v>
      </c>
      <c r="D25" s="47">
        <f ca="1">SUMPRODUCT(('Offene Posten'!J8:J27&gt;30)*('Offene Posten'!J8:J27&lt;=60)*('Offene Posten'!I8:I27))</f>
        <v>12790</v>
      </c>
      <c r="E25" s="48">
        <f ca="1">IFERROR(D25/SUM(D23:D27),0)</f>
        <v>0.36144748555199163</v>
      </c>
    </row>
    <row r="26" spans="2:5" ht="19.5" customHeight="1" x14ac:dyDescent="0.25">
      <c r="B26" s="49" t="s">
        <v>92</v>
      </c>
      <c r="C26" s="50">
        <f ca="1">COUNTIFS('Offene Posten'!J8:J27,"&gt;60",'Offene Posten'!J8:J27,"&lt;=90")</f>
        <v>2</v>
      </c>
      <c r="D26" s="51">
        <f ca="1">SUMPRODUCT(('Offene Posten'!J8:J27&gt;60)*('Offene Posten'!J8:J27&lt;=90)*('Offene Posten'!I8:I27))</f>
        <v>3720</v>
      </c>
      <c r="E26" s="52">
        <f ca="1">IFERROR(D26/SUM(D23:D27),0)</f>
        <v>0.10512780658744401</v>
      </c>
    </row>
    <row r="27" spans="2:5" ht="19.5" customHeight="1" x14ac:dyDescent="0.25">
      <c r="B27" s="53" t="s">
        <v>93</v>
      </c>
      <c r="C27" s="54">
        <f ca="1">COUNTIF('Offene Posten'!J8:J27,"&gt;90")</f>
        <v>5</v>
      </c>
      <c r="D27" s="55">
        <f ca="1">SUMPRODUCT(('Offene Posten'!J8:J27&gt;90)*('Offene Posten'!I8:I27))</f>
        <v>12585.5</v>
      </c>
      <c r="E27" s="56">
        <f ca="1">IFERROR(D27/SUM(D23:D27),0)</f>
        <v>0.35566828220598834</v>
      </c>
    </row>
    <row r="30" spans="2:5" ht="13.5" customHeight="1" x14ac:dyDescent="0.25">
      <c r="B30" s="4" t="s">
        <v>94</v>
      </c>
      <c r="C30" s="4"/>
      <c r="D30" s="4"/>
      <c r="E30" s="4"/>
    </row>
  </sheetData>
  <mergeCells count="5">
    <mergeCell ref="A2:F2"/>
    <mergeCell ref="B4:E4"/>
    <mergeCell ref="B11:E11"/>
    <mergeCell ref="B21:E21"/>
    <mergeCell ref="B30:E30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28" customWidth="1"/>
    <col min="3" max="3" width="55" customWidth="1"/>
    <col min="4" max="4" width="4" customWidth="1"/>
  </cols>
  <sheetData>
    <row r="1" spans="1:4" ht="7.5" customHeight="1" x14ac:dyDescent="0.25"/>
    <row r="2" spans="1:4" ht="37.5" customHeight="1" x14ac:dyDescent="0.25">
      <c r="A2" s="3" t="s">
        <v>95</v>
      </c>
      <c r="B2" s="3"/>
      <c r="C2" s="3"/>
      <c r="D2" s="3"/>
    </row>
    <row r="4" spans="1:4" ht="25.5" customHeight="1" x14ac:dyDescent="0.25">
      <c r="B4" s="1" t="s">
        <v>96</v>
      </c>
      <c r="C4" s="1"/>
    </row>
    <row r="5" spans="1:4" ht="19.5" customHeight="1" x14ac:dyDescent="0.25">
      <c r="B5" s="57" t="s">
        <v>7</v>
      </c>
      <c r="C5" s="58" t="s">
        <v>97</v>
      </c>
    </row>
    <row r="6" spans="1:4" ht="19.5" customHeight="1" x14ac:dyDescent="0.25">
      <c r="B6" s="59" t="s">
        <v>8</v>
      </c>
      <c r="C6" s="60" t="s">
        <v>98</v>
      </c>
    </row>
    <row r="7" spans="1:4" ht="19.5" customHeight="1" x14ac:dyDescent="0.25">
      <c r="B7" s="57" t="s">
        <v>9</v>
      </c>
      <c r="C7" s="58" t="s">
        <v>99</v>
      </c>
    </row>
    <row r="8" spans="1:4" ht="19.5" customHeight="1" x14ac:dyDescent="0.25">
      <c r="B8" s="59" t="s">
        <v>10</v>
      </c>
      <c r="C8" s="60" t="s">
        <v>100</v>
      </c>
    </row>
    <row r="9" spans="1:4" ht="19.5" customHeight="1" x14ac:dyDescent="0.25">
      <c r="B9" s="57" t="s">
        <v>11</v>
      </c>
      <c r="C9" s="58" t="s">
        <v>101</v>
      </c>
    </row>
    <row r="10" spans="1:4" ht="19.5" customHeight="1" x14ac:dyDescent="0.25">
      <c r="B10" s="59" t="s">
        <v>12</v>
      </c>
      <c r="C10" s="60" t="s">
        <v>102</v>
      </c>
    </row>
    <row r="11" spans="1:4" ht="19.5" customHeight="1" x14ac:dyDescent="0.25">
      <c r="B11" s="57" t="s">
        <v>13</v>
      </c>
      <c r="C11" s="58" t="s">
        <v>103</v>
      </c>
    </row>
    <row r="12" spans="1:4" ht="19.5" customHeight="1" x14ac:dyDescent="0.25">
      <c r="B12" s="59" t="s">
        <v>14</v>
      </c>
      <c r="C12" s="60" t="s">
        <v>104</v>
      </c>
    </row>
    <row r="13" spans="1:4" ht="19.5" customHeight="1" x14ac:dyDescent="0.25">
      <c r="B13" s="57" t="s">
        <v>15</v>
      </c>
      <c r="C13" s="58" t="s">
        <v>105</v>
      </c>
    </row>
    <row r="14" spans="1:4" ht="19.5" customHeight="1" x14ac:dyDescent="0.25">
      <c r="B14" s="59" t="s">
        <v>16</v>
      </c>
      <c r="C14" s="60" t="s">
        <v>106</v>
      </c>
    </row>
    <row r="15" spans="1:4" ht="19.5" customHeight="1" x14ac:dyDescent="0.25">
      <c r="B15" s="57" t="s">
        <v>17</v>
      </c>
      <c r="C15" s="58" t="s">
        <v>107</v>
      </c>
    </row>
    <row r="16" spans="1:4" ht="19.5" customHeight="1" x14ac:dyDescent="0.25">
      <c r="B16" s="59" t="s">
        <v>18</v>
      </c>
      <c r="C16" s="60" t="s">
        <v>108</v>
      </c>
    </row>
    <row r="17" spans="2:3" ht="25.5" customHeight="1" x14ac:dyDescent="0.25">
      <c r="B17" s="1" t="s">
        <v>109</v>
      </c>
      <c r="C17" s="1"/>
    </row>
    <row r="18" spans="2:3" ht="19.5" customHeight="1" x14ac:dyDescent="0.25">
      <c r="B18" s="59" t="s">
        <v>110</v>
      </c>
      <c r="C18" s="60" t="s">
        <v>111</v>
      </c>
    </row>
    <row r="19" spans="2:3" ht="19.5" customHeight="1" x14ac:dyDescent="0.25">
      <c r="B19" s="57" t="s">
        <v>112</v>
      </c>
      <c r="C19" s="58" t="s">
        <v>113</v>
      </c>
    </row>
    <row r="20" spans="2:3" ht="19.5" customHeight="1" x14ac:dyDescent="0.25">
      <c r="B20" s="59" t="s">
        <v>114</v>
      </c>
      <c r="C20" s="60" t="s">
        <v>115</v>
      </c>
    </row>
    <row r="21" spans="2:3" ht="19.5" customHeight="1" x14ac:dyDescent="0.25">
      <c r="B21" s="57" t="s">
        <v>116</v>
      </c>
      <c r="C21" s="58" t="s">
        <v>117</v>
      </c>
    </row>
    <row r="22" spans="2:3" ht="19.5" customHeight="1" x14ac:dyDescent="0.25">
      <c r="B22" s="59" t="s">
        <v>118</v>
      </c>
      <c r="C22" s="60" t="s">
        <v>119</v>
      </c>
    </row>
  </sheetData>
  <mergeCells count="3">
    <mergeCell ref="A2:D2"/>
    <mergeCell ref="B4:C4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Offene Posten</vt:lpstr>
      <vt:lpstr>Auswertung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2026-06-22T05:29:24Z</dcterms:created>
  <dcterms:modified xsi:type="dcterms:W3CDTF">2026-06-22T06:52:20Z</dcterms:modified>
  <dc:language>en-US</dc:language>
</cp:coreProperties>
</file>