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2CAB309-EE49-472C-BDFF-1D4257C1D030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Dashboard" sheetId="1" r:id="rId1"/>
    <sheet name="OEE-Erfassung 2026" sheetId="2" r:id="rId2"/>
    <sheet name="Stillstandsanalyse" sheetId="3" r:id="rId3"/>
    <sheet name="Stammdaten" sheetId="4" r:id="rId4"/>
  </sheets>
  <definedNames>
    <definedName name="Maschinen">Stammdaten!$C$8:$C$15</definedName>
    <definedName name="MaschinenIDs">Stammdaten!$B$8:$B$15</definedName>
    <definedName name="Schichten">Stammdaten!$B$19:$B$21</definedName>
    <definedName name="Stillstandsgruende">Stammdaten!$E$19:$E$29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3" l="1"/>
  <c r="B18" i="3"/>
  <c r="E18" i="3" s="1"/>
  <c r="C17" i="3"/>
  <c r="B17" i="3"/>
  <c r="E17" i="3" s="1"/>
  <c r="C16" i="3"/>
  <c r="B16" i="3"/>
  <c r="E16" i="3" s="1"/>
  <c r="K15" i="3"/>
  <c r="C15" i="3"/>
  <c r="B15" i="3"/>
  <c r="E15" i="3" s="1"/>
  <c r="K14" i="3"/>
  <c r="C14" i="3"/>
  <c r="B14" i="3"/>
  <c r="E14" i="3" s="1"/>
  <c r="K13" i="3"/>
  <c r="E13" i="3"/>
  <c r="D13" i="3"/>
  <c r="C13" i="3"/>
  <c r="B13" i="3"/>
  <c r="K12" i="3"/>
  <c r="E12" i="3"/>
  <c r="F12" i="3" s="1"/>
  <c r="C12" i="3"/>
  <c r="B12" i="3"/>
  <c r="D12" i="3" s="1"/>
  <c r="K11" i="3"/>
  <c r="C11" i="3"/>
  <c r="B11" i="3"/>
  <c r="E11" i="3" s="1"/>
  <c r="K10" i="3"/>
  <c r="C10" i="3"/>
  <c r="B10" i="3"/>
  <c r="E10" i="3" s="1"/>
  <c r="K9" i="3"/>
  <c r="C9" i="3"/>
  <c r="B9" i="3"/>
  <c r="E9" i="3" s="1"/>
  <c r="K8" i="3"/>
  <c r="E8" i="3"/>
  <c r="D8" i="3"/>
  <c r="C8" i="3"/>
  <c r="B8" i="3"/>
  <c r="P71" i="2"/>
  <c r="D7" i="1" s="1"/>
  <c r="M71" i="2"/>
  <c r="F11" i="1" s="1"/>
  <c r="L71" i="2"/>
  <c r="K71" i="2"/>
  <c r="H71" i="2"/>
  <c r="O71" i="2" s="1"/>
  <c r="G71" i="2"/>
  <c r="H11" i="1" s="1"/>
  <c r="F71" i="2"/>
  <c r="S69" i="2"/>
  <c r="P69" i="2"/>
  <c r="O69" i="2"/>
  <c r="N69" i="2"/>
  <c r="Q69" i="2" s="1"/>
  <c r="R69" i="2" s="1"/>
  <c r="J69" i="2"/>
  <c r="C69" i="2"/>
  <c r="P68" i="2"/>
  <c r="O68" i="2"/>
  <c r="N68" i="2"/>
  <c r="Q68" i="2" s="1"/>
  <c r="J68" i="2"/>
  <c r="S68" i="2" s="1"/>
  <c r="C68" i="2"/>
  <c r="S67" i="2"/>
  <c r="P67" i="2"/>
  <c r="O67" i="2"/>
  <c r="N67" i="2"/>
  <c r="Q67" i="2" s="1"/>
  <c r="R67" i="2" s="1"/>
  <c r="J67" i="2"/>
  <c r="C67" i="2"/>
  <c r="P66" i="2"/>
  <c r="O66" i="2"/>
  <c r="N66" i="2"/>
  <c r="Q66" i="2" s="1"/>
  <c r="R66" i="2" s="1"/>
  <c r="J66" i="2"/>
  <c r="S66" i="2" s="1"/>
  <c r="C66" i="2"/>
  <c r="P65" i="2"/>
  <c r="O65" i="2"/>
  <c r="N65" i="2"/>
  <c r="Q65" i="2" s="1"/>
  <c r="R65" i="2" s="1"/>
  <c r="J65" i="2"/>
  <c r="S65" i="2" s="1"/>
  <c r="C65" i="2"/>
  <c r="S64" i="2"/>
  <c r="P64" i="2"/>
  <c r="O64" i="2"/>
  <c r="N64" i="2"/>
  <c r="Q64" i="2" s="1"/>
  <c r="R64" i="2" s="1"/>
  <c r="J64" i="2"/>
  <c r="C64" i="2"/>
  <c r="P63" i="2"/>
  <c r="O63" i="2"/>
  <c r="N63" i="2"/>
  <c r="Q63" i="2" s="1"/>
  <c r="J63" i="2"/>
  <c r="S63" i="2" s="1"/>
  <c r="C63" i="2"/>
  <c r="S62" i="2"/>
  <c r="P62" i="2"/>
  <c r="O62" i="2"/>
  <c r="N62" i="2"/>
  <c r="Q62" i="2" s="1"/>
  <c r="J62" i="2"/>
  <c r="C62" i="2"/>
  <c r="P61" i="2"/>
  <c r="O61" i="2"/>
  <c r="N61" i="2"/>
  <c r="Q61" i="2" s="1"/>
  <c r="J61" i="2"/>
  <c r="S61" i="2" s="1"/>
  <c r="C61" i="2"/>
  <c r="P60" i="2"/>
  <c r="O60" i="2"/>
  <c r="N60" i="2"/>
  <c r="Q60" i="2" s="1"/>
  <c r="J60" i="2"/>
  <c r="S60" i="2" s="1"/>
  <c r="C60" i="2"/>
  <c r="S59" i="2"/>
  <c r="P59" i="2"/>
  <c r="O59" i="2"/>
  <c r="N59" i="2"/>
  <c r="Q59" i="2" s="1"/>
  <c r="J59" i="2"/>
  <c r="C59" i="2"/>
  <c r="P58" i="2"/>
  <c r="O58" i="2"/>
  <c r="N58" i="2"/>
  <c r="Q58" i="2" s="1"/>
  <c r="J58" i="2"/>
  <c r="S58" i="2" s="1"/>
  <c r="C58" i="2"/>
  <c r="S57" i="2"/>
  <c r="P57" i="2"/>
  <c r="O57" i="2"/>
  <c r="N57" i="2"/>
  <c r="Q57" i="2" s="1"/>
  <c r="J57" i="2"/>
  <c r="C57" i="2"/>
  <c r="P56" i="2"/>
  <c r="O56" i="2"/>
  <c r="N56" i="2"/>
  <c r="Q56" i="2" s="1"/>
  <c r="J56" i="2"/>
  <c r="S56" i="2" s="1"/>
  <c r="C56" i="2"/>
  <c r="P55" i="2"/>
  <c r="R55" i="2" s="1"/>
  <c r="O55" i="2"/>
  <c r="N55" i="2"/>
  <c r="Q55" i="2" s="1"/>
  <c r="J55" i="2"/>
  <c r="S55" i="2" s="1"/>
  <c r="C55" i="2"/>
  <c r="S54" i="2"/>
  <c r="P54" i="2"/>
  <c r="O54" i="2"/>
  <c r="N54" i="2"/>
  <c r="Q54" i="2" s="1"/>
  <c r="J54" i="2"/>
  <c r="C54" i="2"/>
  <c r="P53" i="2"/>
  <c r="O53" i="2"/>
  <c r="N53" i="2"/>
  <c r="Q53" i="2" s="1"/>
  <c r="J53" i="2"/>
  <c r="S53" i="2" s="1"/>
  <c r="C53" i="2"/>
  <c r="S52" i="2"/>
  <c r="P52" i="2"/>
  <c r="O52" i="2"/>
  <c r="N52" i="2"/>
  <c r="Q52" i="2" s="1"/>
  <c r="J52" i="2"/>
  <c r="C52" i="2"/>
  <c r="P51" i="2"/>
  <c r="O51" i="2"/>
  <c r="N51" i="2"/>
  <c r="Q51" i="2" s="1"/>
  <c r="J51" i="2"/>
  <c r="S51" i="2" s="1"/>
  <c r="C51" i="2"/>
  <c r="P50" i="2"/>
  <c r="O50" i="2"/>
  <c r="N50" i="2"/>
  <c r="Q50" i="2" s="1"/>
  <c r="J50" i="2"/>
  <c r="S50" i="2" s="1"/>
  <c r="C50" i="2"/>
  <c r="S49" i="2"/>
  <c r="P49" i="2"/>
  <c r="O49" i="2"/>
  <c r="N49" i="2"/>
  <c r="Q49" i="2" s="1"/>
  <c r="J49" i="2"/>
  <c r="C49" i="2"/>
  <c r="P48" i="2"/>
  <c r="O48" i="2"/>
  <c r="N48" i="2"/>
  <c r="Q48" i="2" s="1"/>
  <c r="J48" i="2"/>
  <c r="S48" i="2" s="1"/>
  <c r="C48" i="2"/>
  <c r="S47" i="2"/>
  <c r="P47" i="2"/>
  <c r="O47" i="2"/>
  <c r="N47" i="2"/>
  <c r="Q47" i="2" s="1"/>
  <c r="J47" i="2"/>
  <c r="C47" i="2"/>
  <c r="P46" i="2"/>
  <c r="O46" i="2"/>
  <c r="N46" i="2"/>
  <c r="Q46" i="2" s="1"/>
  <c r="J46" i="2"/>
  <c r="S46" i="2" s="1"/>
  <c r="C46" i="2"/>
  <c r="P45" i="2"/>
  <c r="O45" i="2"/>
  <c r="N45" i="2"/>
  <c r="Q45" i="2" s="1"/>
  <c r="J45" i="2"/>
  <c r="S45" i="2" s="1"/>
  <c r="C45" i="2"/>
  <c r="S44" i="2"/>
  <c r="P44" i="2"/>
  <c r="R44" i="2" s="1"/>
  <c r="O44" i="2"/>
  <c r="N44" i="2"/>
  <c r="Q44" i="2" s="1"/>
  <c r="J44" i="2"/>
  <c r="C44" i="2"/>
  <c r="P43" i="2"/>
  <c r="O43" i="2"/>
  <c r="N43" i="2"/>
  <c r="Q43" i="2" s="1"/>
  <c r="J43" i="2"/>
  <c r="S43" i="2" s="1"/>
  <c r="C43" i="2"/>
  <c r="S42" i="2"/>
  <c r="P42" i="2"/>
  <c r="O42" i="2"/>
  <c r="N42" i="2"/>
  <c r="Q42" i="2" s="1"/>
  <c r="J42" i="2"/>
  <c r="C42" i="2"/>
  <c r="P41" i="2"/>
  <c r="O41" i="2"/>
  <c r="N41" i="2"/>
  <c r="Q41" i="2" s="1"/>
  <c r="J41" i="2"/>
  <c r="S41" i="2" s="1"/>
  <c r="C41" i="2"/>
  <c r="P40" i="2"/>
  <c r="R40" i="2" s="1"/>
  <c r="O40" i="2"/>
  <c r="N40" i="2"/>
  <c r="Q40" i="2" s="1"/>
  <c r="J40" i="2"/>
  <c r="S40" i="2" s="1"/>
  <c r="C40" i="2"/>
  <c r="S39" i="2"/>
  <c r="P39" i="2"/>
  <c r="O39" i="2"/>
  <c r="N39" i="2"/>
  <c r="Q39" i="2" s="1"/>
  <c r="J39" i="2"/>
  <c r="C39" i="2"/>
  <c r="P38" i="2"/>
  <c r="O38" i="2"/>
  <c r="N38" i="2"/>
  <c r="Q38" i="2" s="1"/>
  <c r="J38" i="2"/>
  <c r="S38" i="2" s="1"/>
  <c r="C38" i="2"/>
  <c r="S37" i="2"/>
  <c r="P37" i="2"/>
  <c r="O37" i="2"/>
  <c r="N37" i="2"/>
  <c r="Q37" i="2" s="1"/>
  <c r="J37" i="2"/>
  <c r="C37" i="2"/>
  <c r="P36" i="2"/>
  <c r="O36" i="2"/>
  <c r="N36" i="2"/>
  <c r="Q36" i="2" s="1"/>
  <c r="J36" i="2"/>
  <c r="S36" i="2" s="1"/>
  <c r="C36" i="2"/>
  <c r="P35" i="2"/>
  <c r="O35" i="2"/>
  <c r="N35" i="2"/>
  <c r="Q35" i="2" s="1"/>
  <c r="J35" i="2"/>
  <c r="S35" i="2" s="1"/>
  <c r="C35" i="2"/>
  <c r="S34" i="2"/>
  <c r="P34" i="2"/>
  <c r="O34" i="2"/>
  <c r="N34" i="2"/>
  <c r="Q34" i="2" s="1"/>
  <c r="J34" i="2"/>
  <c r="C34" i="2"/>
  <c r="P33" i="2"/>
  <c r="O33" i="2"/>
  <c r="N33" i="2"/>
  <c r="Q33" i="2" s="1"/>
  <c r="J33" i="2"/>
  <c r="S33" i="2" s="1"/>
  <c r="C33" i="2"/>
  <c r="S32" i="2"/>
  <c r="P32" i="2"/>
  <c r="O32" i="2"/>
  <c r="N32" i="2"/>
  <c r="Q32" i="2" s="1"/>
  <c r="J32" i="2"/>
  <c r="C32" i="2"/>
  <c r="P31" i="2"/>
  <c r="O31" i="2"/>
  <c r="N31" i="2"/>
  <c r="Q31" i="2" s="1"/>
  <c r="J31" i="2"/>
  <c r="S31" i="2" s="1"/>
  <c r="C31" i="2"/>
  <c r="P30" i="2"/>
  <c r="O30" i="2"/>
  <c r="N30" i="2"/>
  <c r="Q30" i="2" s="1"/>
  <c r="J30" i="2"/>
  <c r="S30" i="2" s="1"/>
  <c r="C30" i="2"/>
  <c r="S29" i="2"/>
  <c r="P29" i="2"/>
  <c r="R29" i="2" s="1"/>
  <c r="O29" i="2"/>
  <c r="N29" i="2"/>
  <c r="Q29" i="2" s="1"/>
  <c r="J29" i="2"/>
  <c r="C29" i="2"/>
  <c r="P28" i="2"/>
  <c r="O28" i="2"/>
  <c r="N28" i="2"/>
  <c r="Q28" i="2" s="1"/>
  <c r="J28" i="2"/>
  <c r="S28" i="2" s="1"/>
  <c r="C28" i="2"/>
  <c r="S27" i="2"/>
  <c r="P27" i="2"/>
  <c r="O27" i="2"/>
  <c r="N27" i="2"/>
  <c r="Q27" i="2" s="1"/>
  <c r="J27" i="2"/>
  <c r="C27" i="2"/>
  <c r="P26" i="2"/>
  <c r="O26" i="2"/>
  <c r="N26" i="2"/>
  <c r="Q26" i="2" s="1"/>
  <c r="J26" i="2"/>
  <c r="S26" i="2" s="1"/>
  <c r="C26" i="2"/>
  <c r="P25" i="2"/>
  <c r="O25" i="2"/>
  <c r="N25" i="2"/>
  <c r="Q25" i="2" s="1"/>
  <c r="J25" i="2"/>
  <c r="S25" i="2" s="1"/>
  <c r="C25" i="2"/>
  <c r="S24" i="2"/>
  <c r="P24" i="2"/>
  <c r="O24" i="2"/>
  <c r="N24" i="2"/>
  <c r="Q24" i="2" s="1"/>
  <c r="J24" i="2"/>
  <c r="C24" i="2"/>
  <c r="P23" i="2"/>
  <c r="O23" i="2"/>
  <c r="N23" i="2"/>
  <c r="Q23" i="2" s="1"/>
  <c r="J23" i="2"/>
  <c r="S23" i="2" s="1"/>
  <c r="C23" i="2"/>
  <c r="S22" i="2"/>
  <c r="P22" i="2"/>
  <c r="O22" i="2"/>
  <c r="N22" i="2"/>
  <c r="Q22" i="2" s="1"/>
  <c r="J22" i="2"/>
  <c r="C22" i="2"/>
  <c r="P21" i="2"/>
  <c r="O21" i="2"/>
  <c r="N21" i="2"/>
  <c r="Q21" i="2" s="1"/>
  <c r="J21" i="2"/>
  <c r="S21" i="2" s="1"/>
  <c r="C21" i="2"/>
  <c r="P20" i="2"/>
  <c r="O20" i="2"/>
  <c r="N20" i="2"/>
  <c r="Q20" i="2" s="1"/>
  <c r="J20" i="2"/>
  <c r="S20" i="2" s="1"/>
  <c r="C20" i="2"/>
  <c r="S19" i="2"/>
  <c r="P19" i="2"/>
  <c r="O19" i="2"/>
  <c r="N19" i="2"/>
  <c r="Q19" i="2" s="1"/>
  <c r="J19" i="2"/>
  <c r="C19" i="2"/>
  <c r="P18" i="2"/>
  <c r="R18" i="2" s="1"/>
  <c r="O18" i="2"/>
  <c r="N18" i="2"/>
  <c r="Q18" i="2" s="1"/>
  <c r="J18" i="2"/>
  <c r="S18" i="2" s="1"/>
  <c r="C18" i="2"/>
  <c r="S17" i="2"/>
  <c r="P17" i="2"/>
  <c r="O17" i="2"/>
  <c r="N17" i="2"/>
  <c r="Q17" i="2" s="1"/>
  <c r="J17" i="2"/>
  <c r="C17" i="2"/>
  <c r="P16" i="2"/>
  <c r="O16" i="2"/>
  <c r="N16" i="2"/>
  <c r="Q16" i="2" s="1"/>
  <c r="J16" i="2"/>
  <c r="S16" i="2" s="1"/>
  <c r="C16" i="2"/>
  <c r="P15" i="2"/>
  <c r="O15" i="2"/>
  <c r="N15" i="2"/>
  <c r="Q15" i="2" s="1"/>
  <c r="J15" i="2"/>
  <c r="S15" i="2" s="1"/>
  <c r="C15" i="2"/>
  <c r="S14" i="2"/>
  <c r="P14" i="2"/>
  <c r="O14" i="2"/>
  <c r="N14" i="2"/>
  <c r="Q14" i="2" s="1"/>
  <c r="J14" i="2"/>
  <c r="C14" i="2"/>
  <c r="S13" i="2"/>
  <c r="P13" i="2"/>
  <c r="O13" i="2"/>
  <c r="N13" i="2"/>
  <c r="Q13" i="2" s="1"/>
  <c r="J13" i="2"/>
  <c r="C13" i="2"/>
  <c r="S12" i="2"/>
  <c r="P12" i="2"/>
  <c r="O12" i="2"/>
  <c r="N12" i="2"/>
  <c r="Q12" i="2" s="1"/>
  <c r="J12" i="2"/>
  <c r="C12" i="2"/>
  <c r="P11" i="2"/>
  <c r="O11" i="2"/>
  <c r="N11" i="2"/>
  <c r="Q11" i="2" s="1"/>
  <c r="J11" i="2"/>
  <c r="S11" i="2" s="1"/>
  <c r="C11" i="2"/>
  <c r="P10" i="2"/>
  <c r="O10" i="2"/>
  <c r="N10" i="2"/>
  <c r="Q10" i="2" s="1"/>
  <c r="J10" i="2"/>
  <c r="S10" i="2" s="1"/>
  <c r="C10" i="2"/>
  <c r="S9" i="2"/>
  <c r="P9" i="2"/>
  <c r="O9" i="2"/>
  <c r="N9" i="2"/>
  <c r="Q9" i="2" s="1"/>
  <c r="J9" i="2"/>
  <c r="C9" i="2"/>
  <c r="S8" i="2"/>
  <c r="P8" i="2"/>
  <c r="O8" i="2"/>
  <c r="N8" i="2"/>
  <c r="Q8" i="2" s="1"/>
  <c r="J8" i="2"/>
  <c r="C8" i="2"/>
  <c r="D23" i="1"/>
  <c r="D22" i="1"/>
  <c r="D21" i="1"/>
  <c r="D20" i="1"/>
  <c r="D19" i="1"/>
  <c r="D18" i="1"/>
  <c r="D17" i="1"/>
  <c r="D16" i="1"/>
  <c r="B7" i="1" l="1"/>
  <c r="G14" i="3"/>
  <c r="F14" i="3"/>
  <c r="R38" i="2"/>
  <c r="R16" i="2"/>
  <c r="R42" i="2"/>
  <c r="R53" i="2"/>
  <c r="J20" i="1"/>
  <c r="H20" i="1"/>
  <c r="I17" i="1"/>
  <c r="J18" i="1"/>
  <c r="G17" i="1"/>
  <c r="I19" i="1"/>
  <c r="H16" i="1"/>
  <c r="J16" i="1"/>
  <c r="G19" i="1"/>
  <c r="F9" i="3"/>
  <c r="G11" i="3" s="1"/>
  <c r="G16" i="1"/>
  <c r="I18" i="1"/>
  <c r="H18" i="1"/>
  <c r="F13" i="3"/>
  <c r="F8" i="3"/>
  <c r="G18" i="1"/>
  <c r="R11" i="2"/>
  <c r="R48" i="2"/>
  <c r="R41" i="2"/>
  <c r="R30" i="2"/>
  <c r="R60" i="2"/>
  <c r="F10" i="3"/>
  <c r="R33" i="2"/>
  <c r="R37" i="2"/>
  <c r="R26" i="2"/>
  <c r="R52" i="2"/>
  <c r="R19" i="2"/>
  <c r="R12" i="2"/>
  <c r="R45" i="2"/>
  <c r="R23" i="2"/>
  <c r="R49" i="2"/>
  <c r="R31" i="2"/>
  <c r="R68" i="2"/>
  <c r="R61" i="2"/>
  <c r="F11" i="3"/>
  <c r="F17" i="3"/>
  <c r="R22" i="2"/>
  <c r="R59" i="2"/>
  <c r="R15" i="2"/>
  <c r="R56" i="2"/>
  <c r="R34" i="2"/>
  <c r="E19" i="3"/>
  <c r="R27" i="2"/>
  <c r="R9" i="2"/>
  <c r="R57" i="2"/>
  <c r="R20" i="2"/>
  <c r="R46" i="2"/>
  <c r="R13" i="2"/>
  <c r="R24" i="2"/>
  <c r="R35" i="2"/>
  <c r="R54" i="2"/>
  <c r="R43" i="2"/>
  <c r="R47" i="2"/>
  <c r="R58" i="2"/>
  <c r="R63" i="2"/>
  <c r="R8" i="2"/>
  <c r="F16" i="3"/>
  <c r="R10" i="2"/>
  <c r="R62" i="2"/>
  <c r="F18" i="3"/>
  <c r="F15" i="3"/>
  <c r="R39" i="2"/>
  <c r="R50" i="2"/>
  <c r="R17" i="2"/>
  <c r="R28" i="2"/>
  <c r="R32" i="2"/>
  <c r="R21" i="2"/>
  <c r="R36" i="2"/>
  <c r="R14" i="2"/>
  <c r="R25" i="2"/>
  <c r="R51" i="2"/>
  <c r="D11" i="3"/>
  <c r="D16" i="3"/>
  <c r="J71" i="2"/>
  <c r="S71" i="2" s="1"/>
  <c r="B11" i="1" s="1"/>
  <c r="D9" i="3"/>
  <c r="D19" i="3" s="1"/>
  <c r="D14" i="3"/>
  <c r="I16" i="1"/>
  <c r="H19" i="1"/>
  <c r="D17" i="3"/>
  <c r="J19" i="1"/>
  <c r="N71" i="2"/>
  <c r="H17" i="1"/>
  <c r="G20" i="1"/>
  <c r="D10" i="3"/>
  <c r="D15" i="3"/>
  <c r="D18" i="3"/>
  <c r="J17" i="1"/>
  <c r="I20" i="1"/>
  <c r="G15" i="3" l="1"/>
  <c r="G18" i="3"/>
  <c r="G10" i="3"/>
  <c r="G16" i="3"/>
  <c r="J14" i="3"/>
  <c r="C22" i="1"/>
  <c r="E22" i="1" s="1"/>
  <c r="G17" i="3"/>
  <c r="G9" i="3"/>
  <c r="J15" i="3"/>
  <c r="C23" i="1"/>
  <c r="E23" i="1" s="1"/>
  <c r="C16" i="1"/>
  <c r="E16" i="1" s="1"/>
  <c r="J8" i="3"/>
  <c r="Q71" i="2"/>
  <c r="D11" i="1"/>
  <c r="J9" i="3"/>
  <c r="C17" i="1"/>
  <c r="E17" i="1" s="1"/>
  <c r="J10" i="3"/>
  <c r="C18" i="1"/>
  <c r="E18" i="1" s="1"/>
  <c r="J11" i="3"/>
  <c r="C19" i="1"/>
  <c r="E19" i="1" s="1"/>
  <c r="C21" i="1"/>
  <c r="E21" i="1" s="1"/>
  <c r="J13" i="3"/>
  <c r="G12" i="3"/>
  <c r="G8" i="3"/>
  <c r="G13" i="3"/>
  <c r="J12" i="3"/>
  <c r="C20" i="1"/>
  <c r="E20" i="1" s="1"/>
  <c r="F7" i="1" l="1"/>
  <c r="R71" i="2"/>
  <c r="H7" i="1" s="1"/>
</calcChain>
</file>

<file path=xl/sharedStrings.xml><?xml version="1.0" encoding="utf-8"?>
<sst xmlns="http://schemas.openxmlformats.org/spreadsheetml/2006/main" count="360" uniqueCount="127">
  <si>
    <t xml:space="preserve">  OEE-Übersicht  ·  Verfügbarkeit  ·  Leistung  ·  Qualität</t>
  </si>
  <si>
    <t>Ø VERFÜGBARKEIT</t>
  </si>
  <si>
    <t>Ø LEISTUNG</t>
  </si>
  <si>
    <t>Ø QUALITÄT</t>
  </si>
  <si>
    <t>OEE GESAMT</t>
  </si>
  <si>
    <t>Ø AUSLASTUNG</t>
  </si>
  <si>
    <t>GUT-STÜCKE</t>
  </si>
  <si>
    <t>AUSSCHUSS</t>
  </si>
  <si>
    <t>STILLSTAND (h)</t>
  </si>
  <si>
    <t xml:space="preserve">  OEE PRO MASCHINE</t>
  </si>
  <si>
    <t xml:space="preserve">  ZEITVERLUSTE (Top 5)</t>
  </si>
  <si>
    <t>Maschine</t>
  </si>
  <si>
    <t>Ø OEE</t>
  </si>
  <si>
    <t>Ist-Stk.</t>
  </si>
  <si>
    <t>Status</t>
  </si>
  <si>
    <t>Rang</t>
  </si>
  <si>
    <t>Grund</t>
  </si>
  <si>
    <t>Kategorie</t>
  </si>
  <si>
    <t>Dauer (min)</t>
  </si>
  <si>
    <t>Anteil</t>
  </si>
  <si>
    <t>M-101</t>
  </si>
  <si>
    <t>M-102</t>
  </si>
  <si>
    <t>M-201</t>
  </si>
  <si>
    <t>M-301</t>
  </si>
  <si>
    <t>M-302</t>
  </si>
  <si>
    <t>M-401</t>
  </si>
  <si>
    <t>M-501</t>
  </si>
  <si>
    <t>M-601</t>
  </si>
  <si>
    <t>Berechnungsgrundlage: OEE = Verfügbarkeit × Leistung × Qualität.  Alle Werte aus dem Tabellenblatt »OEE-Erfassung 2026«.</t>
  </si>
  <si>
    <t>OEE-ERFASSUNG 2026</t>
  </si>
  <si>
    <t>Pro Zeile: Eine Schicht an einer Maschine. Verfügbarkeit, Leistung, Qualität, OEE und Auslastung werden automatisch berechnet.</t>
  </si>
  <si>
    <t>Zeit &amp; Maschine</t>
  </si>
  <si>
    <t>Zeiten (Minuten)</t>
  </si>
  <si>
    <t>Produktionsmengen</t>
  </si>
  <si>
    <t>Kennzahlen (OEE)</t>
  </si>
  <si>
    <t>Datum</t>
  </si>
  <si>
    <t>KW</t>
  </si>
  <si>
    <t>Schicht</t>
  </si>
  <si>
    <t>Planlaufzeit</t>
  </si>
  <si>
    <t>Stillstand
geplant</t>
  </si>
  <si>
    <t>Stillstand
ungeplant</t>
  </si>
  <si>
    <t>Hauptstillstandsgrund</t>
  </si>
  <si>
    <t>Laufzeit</t>
  </si>
  <si>
    <t>Soll-
Stückzahl</t>
  </si>
  <si>
    <t>Ist-
Stückzahl</t>
  </si>
  <si>
    <t>Ausschuss</t>
  </si>
  <si>
    <t>Gut-Stücke</t>
  </si>
  <si>
    <t>Verfügbarkeit</t>
  </si>
  <si>
    <t>Leistung</t>
  </si>
  <si>
    <t>Qualität</t>
  </si>
  <si>
    <t>OEE</t>
  </si>
  <si>
    <t>Auslastung</t>
  </si>
  <si>
    <t>Frühschicht</t>
  </si>
  <si>
    <t>Rüstzeit</t>
  </si>
  <si>
    <t>Maschinenstörung</t>
  </si>
  <si>
    <t>Materialmangel</t>
  </si>
  <si>
    <t>Spätschicht</t>
  </si>
  <si>
    <t>Werkzeugbruch</t>
  </si>
  <si>
    <t>Wartung (planmäßig)</t>
  </si>
  <si>
    <t>Pause / Schichtwechsel</t>
  </si>
  <si>
    <t>Qualitätsabweichung</t>
  </si>
  <si>
    <t>Personalmangel</t>
  </si>
  <si>
    <t>Sonstiges</t>
  </si>
  <si>
    <t>GESAMT / Ø</t>
  </si>
  <si>
    <t>STILLSTANDSANALYSE 2026</t>
  </si>
  <si>
    <t>Auswertung der Stillstandszeiten aus dem Tabellenblatt »OEE-Erfassung 2026«. Pareto: 20 % der Gründe verursachen meist 80 % der Stillstandszeit.</t>
  </si>
  <si>
    <t xml:space="preserve">  TOP-STILLSTANDSGRÜNDE</t>
  </si>
  <si>
    <t xml:space="preserve">  AUSWERTUNG NACH MASCHINE</t>
  </si>
  <si>
    <t>Anzahl</t>
  </si>
  <si>
    <t>Kumuliert</t>
  </si>
  <si>
    <t>Stillst. (min)</t>
  </si>
  <si>
    <t>GESAMT</t>
  </si>
  <si>
    <t>100%</t>
  </si>
  <si>
    <t xml:space="preserve">  PARETO-DIAGRAMM: STILLSTANDSGRÜNDE</t>
  </si>
  <si>
    <t>STAMMDATEN  ·  Maschinen, Schichten, Stillstandsgründe</t>
  </si>
  <si>
    <t>Zentrale Listen für alle Dropdown-Menüs der Vorlage. Hier ergänzen oder anpassen.</t>
  </si>
  <si>
    <t xml:space="preserve">  MASCHINEN-STAMMDATEN</t>
  </si>
  <si>
    <t>ID</t>
  </si>
  <si>
    <t>Bezeichnung</t>
  </si>
  <si>
    <t>Maschinentyp</t>
  </si>
  <si>
    <t>Standort</t>
  </si>
  <si>
    <t>Soll-Takt (Stk/h)</t>
  </si>
  <si>
    <t>Schichtmodell</t>
  </si>
  <si>
    <t>CNC-Fräse Alpha</t>
  </si>
  <si>
    <t>CNC-Bearbeitung</t>
  </si>
  <si>
    <t>Halle A</t>
  </si>
  <si>
    <t>3-Schicht</t>
  </si>
  <si>
    <t>CNC-Fräse Beta</t>
  </si>
  <si>
    <t>Drehmaschine Gamma</t>
  </si>
  <si>
    <t>Drehen</t>
  </si>
  <si>
    <t>2-Schicht</t>
  </si>
  <si>
    <t>Schweißanlage Delta</t>
  </si>
  <si>
    <t>Schweißen</t>
  </si>
  <si>
    <t>Halle B</t>
  </si>
  <si>
    <t>Schweißanlage Epsilon</t>
  </si>
  <si>
    <t>Montagestation Zeta</t>
  </si>
  <si>
    <t>Montage</t>
  </si>
  <si>
    <t>Halle C</t>
  </si>
  <si>
    <t>Verpackungslinie Eta</t>
  </si>
  <si>
    <t>Verpackung</t>
  </si>
  <si>
    <t>Lackieranlage Theta</t>
  </si>
  <si>
    <t>Oberfläche</t>
  </si>
  <si>
    <t>Halle D</t>
  </si>
  <si>
    <t xml:space="preserve">  SCHICHTEN</t>
  </si>
  <si>
    <t xml:space="preserve">  STILLSTANDSGRÜNDE</t>
  </si>
  <si>
    <t>Zeitraum</t>
  </si>
  <si>
    <t>Code</t>
  </si>
  <si>
    <t>06:00 – 14:00</t>
  </si>
  <si>
    <t>Geplant</t>
  </si>
  <si>
    <t>ST-01</t>
  </si>
  <si>
    <t>14:00 – 22:00</t>
  </si>
  <si>
    <t>ST-02</t>
  </si>
  <si>
    <t>Nachtschicht</t>
  </si>
  <si>
    <t>22:00 – 06:00</t>
  </si>
  <si>
    <t>ST-03</t>
  </si>
  <si>
    <t>Schulung</t>
  </si>
  <si>
    <t>ST-04</t>
  </si>
  <si>
    <t>Ungeplant</t>
  </si>
  <si>
    <t>ST-10</t>
  </si>
  <si>
    <t>ST-11</t>
  </si>
  <si>
    <t>ST-12</t>
  </si>
  <si>
    <t>ST-13</t>
  </si>
  <si>
    <t>ST-14</t>
  </si>
  <si>
    <t>Stromausfall</t>
  </si>
  <si>
    <t>ST-15</t>
  </si>
  <si>
    <t>ST-99</t>
  </si>
  <si>
    <t xml:space="preserve">  MASCHINENAUSLASTUNG  ·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</si>
</sst>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&quot; h&quot;"/>
    <numFmt numFmtId="166" formatCode="#,##0&quot; min&quot;"/>
    <numFmt numFmtId="167" formatCode="dd\.mm\.yyyy"/>
  </numFmts>
  <fonts count="22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1"/>
      <color rgb="FFC97B3D"/>
      <name val="Calibri"/>
      <charset val="1"/>
    </font>
    <font>
      <b/>
      <sz val="9"/>
      <color rgb="FF6B6B6B"/>
      <name val="Calibri"/>
      <charset val="1"/>
    </font>
    <font>
      <b/>
      <sz val="9"/>
      <color rgb="FFC97B3D"/>
      <name val="Calibri"/>
      <charset val="1"/>
    </font>
    <font>
      <b/>
      <sz val="22"/>
      <color rgb="FF121A1F"/>
      <name val="Calibri"/>
      <charset val="1"/>
    </font>
    <font>
      <b/>
      <sz val="26"/>
      <color rgb="FF121A1F"/>
      <name val="Calibri"/>
      <charset val="1"/>
    </font>
    <font>
      <b/>
      <sz val="11"/>
      <color rgb="FFFFFFFF"/>
      <name val="Calibri"/>
      <charset val="1"/>
    </font>
    <font>
      <b/>
      <sz val="10"/>
      <color rgb="FF1F2A30"/>
      <name val="Calibri"/>
      <charset val="1"/>
    </font>
    <font>
      <b/>
      <sz val="10"/>
      <color rgb="FF1A1A1A"/>
      <name val="Calibri"/>
      <charset val="1"/>
    </font>
    <font>
      <sz val="10"/>
      <color rgb="FF1A1A1A"/>
      <name val="Calibri"/>
      <charset val="1"/>
    </font>
    <font>
      <b/>
      <sz val="9"/>
      <color rgb="FF1A1A1A"/>
      <name val="Calibri"/>
      <charset val="1"/>
    </font>
    <font>
      <b/>
      <sz val="12"/>
      <color rgb="FFA65F26"/>
      <name val="Calibri"/>
      <charset val="1"/>
    </font>
    <font>
      <i/>
      <sz val="9"/>
      <color rgb="FF6B6B6B"/>
      <name val="Calibri"/>
      <charset val="1"/>
    </font>
    <font>
      <b/>
      <sz val="10"/>
      <color rgb="FFFFFFFF"/>
      <name val="Calibri"/>
      <charset val="1"/>
    </font>
    <font>
      <sz val="9"/>
      <color rgb="FF1A1A1A"/>
      <name val="Calibri"/>
      <charset val="1"/>
    </font>
    <font>
      <b/>
      <sz val="10"/>
      <color rgb="FFA65F26"/>
      <name val="Calibri"/>
      <charset val="1"/>
    </font>
    <font>
      <b/>
      <sz val="12"/>
      <color rgb="FFFFFFFF"/>
      <name val="Calibri"/>
      <charset val="1"/>
    </font>
    <font>
      <b/>
      <sz val="11"/>
      <color rgb="FFC97B3D"/>
      <name val="Calibri"/>
      <charset val="1"/>
    </font>
    <font>
      <b/>
      <sz val="12"/>
      <color rgb="FFC97B3D"/>
      <name val="Calibri"/>
      <charset val="1"/>
    </font>
    <font>
      <b/>
      <sz val="9"/>
      <color rgb="FF4A7A95"/>
      <name val="Calibri"/>
      <charset val="1"/>
    </font>
    <font>
      <b/>
      <sz val="9"/>
      <color rgb="FFB8412E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21A1F"/>
        <bgColor rgb="FF1A1A1A"/>
      </patternFill>
    </fill>
    <fill>
      <patternFill patternType="solid">
        <fgColor rgb="FFC97B3D"/>
        <bgColor rgb="FFA65F26"/>
      </patternFill>
    </fill>
    <fill>
      <patternFill patternType="solid">
        <fgColor rgb="FFFFFFFF"/>
        <bgColor rgb="FFF7F4ED"/>
      </patternFill>
    </fill>
    <fill>
      <patternFill patternType="solid">
        <fgColor rgb="FF1F2A30"/>
        <bgColor rgb="FF1A1A1A"/>
      </patternFill>
    </fill>
    <fill>
      <patternFill patternType="solid">
        <fgColor rgb="FFEDEAE0"/>
        <bgColor rgb="FFF4E8D9"/>
      </patternFill>
    </fill>
    <fill>
      <patternFill patternType="solid">
        <fgColor rgb="FFF7F4ED"/>
        <bgColor rgb="FFEDEAE0"/>
      </patternFill>
    </fill>
    <fill>
      <patternFill patternType="solid">
        <fgColor rgb="FFF4E8D9"/>
        <bgColor rgb="FFEDEAE0"/>
      </patternFill>
    </fill>
    <fill>
      <patternFill patternType="solid">
        <fgColor rgb="FF5B7A8E"/>
        <bgColor rgb="FF4A7A95"/>
      </patternFill>
    </fill>
    <fill>
      <patternFill patternType="solid">
        <fgColor rgb="FFA65F26"/>
        <bgColor rgb="FFB8412E"/>
      </patternFill>
    </fill>
    <fill>
      <patternFill patternType="solid">
        <fgColor rgb="FFD7E1E8"/>
        <bgColor rgb="FFD9D9D9"/>
      </patternFill>
    </fill>
    <fill>
      <patternFill patternType="solid">
        <fgColor rgb="FFF2D8D2"/>
        <bgColor rgb="FFF4E8D9"/>
      </patternFill>
    </fill>
  </fills>
  <borders count="8">
    <border>
      <left/>
      <right/>
      <top/>
      <bottom/>
      <diagonal/>
    </border>
    <border>
      <left style="thin">
        <color rgb="FFC9C2B1"/>
      </left>
      <right/>
      <top style="medium">
        <color rgb="FF1F2A30"/>
      </top>
      <bottom/>
      <diagonal/>
    </border>
    <border>
      <left style="thin">
        <color rgb="FFC9C2B1"/>
      </left>
      <right/>
      <top style="medium">
        <color rgb="FFC97B3D"/>
      </top>
      <bottom/>
      <diagonal/>
    </border>
    <border>
      <left style="thin">
        <color rgb="FFC9C2B1"/>
      </left>
      <right/>
      <top/>
      <bottom/>
      <diagonal/>
    </border>
    <border>
      <left style="thin">
        <color rgb="FFC9C2B1"/>
      </left>
      <right/>
      <top/>
      <bottom style="thin">
        <color rgb="FFC9C2B1"/>
      </bottom>
      <diagonal/>
    </border>
    <border>
      <left style="thin">
        <color rgb="FFC9C2B1"/>
      </left>
      <right style="thin">
        <color rgb="FFC9C2B1"/>
      </right>
      <top style="thin">
        <color rgb="FFC9C2B1"/>
      </top>
      <bottom style="thin">
        <color rgb="FFC9C2B1"/>
      </bottom>
      <diagonal/>
    </border>
    <border>
      <left style="thin">
        <color rgb="FF121A1F"/>
      </left>
      <right/>
      <top style="thin">
        <color rgb="FF121A1F"/>
      </top>
      <bottom style="thin">
        <color rgb="FF121A1F"/>
      </bottom>
      <diagonal/>
    </border>
    <border>
      <left style="thin">
        <color rgb="FF121A1F"/>
      </left>
      <right style="thin">
        <color rgb="FF121A1F"/>
      </right>
      <top style="thin">
        <color rgb="FF121A1F"/>
      </top>
      <bottom style="thin">
        <color rgb="FF121A1F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4" fillId="10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13" fillId="8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 indent="1"/>
    </xf>
    <xf numFmtId="165" fontId="5" fillId="4" borderId="3" xfId="0" applyNumberFormat="1" applyFont="1" applyFill="1" applyBorder="1" applyAlignment="1">
      <alignment horizontal="left" vertical="center" indent="2"/>
    </xf>
    <xf numFmtId="3" fontId="5" fillId="4" borderId="3" xfId="0" applyNumberFormat="1" applyFont="1" applyFill="1" applyBorder="1" applyAlignment="1">
      <alignment horizontal="left" vertical="center" indent="2"/>
    </xf>
    <xf numFmtId="0" fontId="0" fillId="4" borderId="4" xfId="0" applyFill="1" applyBorder="1"/>
    <xf numFmtId="164" fontId="6" fillId="4" borderId="3" xfId="0" applyNumberFormat="1" applyFont="1" applyFill="1" applyBorder="1" applyAlignment="1">
      <alignment horizontal="left" vertical="center" indent="2"/>
    </xf>
    <xf numFmtId="164" fontId="5" fillId="4" borderId="3" xfId="0" applyNumberFormat="1" applyFont="1" applyFill="1" applyBorder="1" applyAlignment="1">
      <alignment horizontal="left" vertical="center" indent="2"/>
    </xf>
    <xf numFmtId="0" fontId="4" fillId="4" borderId="2" xfId="0" applyFont="1" applyFill="1" applyBorder="1" applyAlignment="1">
      <alignment horizontal="left" vertical="center" indent="2"/>
    </xf>
    <xf numFmtId="0" fontId="3" fillId="4" borderId="1" xfId="0" applyFont="1" applyFill="1" applyBorder="1" applyAlignment="1">
      <alignment horizontal="left" vertical="center" indent="2"/>
    </xf>
    <xf numFmtId="0" fontId="2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3" borderId="0" xfId="0" applyFill="1"/>
    <xf numFmtId="0" fontId="8" fillId="6" borderId="5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 indent="1"/>
    </xf>
    <xf numFmtId="164" fontId="8" fillId="4" borderId="5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 indent="1"/>
    </xf>
    <xf numFmtId="166" fontId="10" fillId="4" borderId="5" xfId="0" applyNumberFormat="1" applyFont="1" applyFill="1" applyBorder="1" applyAlignment="1">
      <alignment horizontal="right" vertical="center"/>
    </xf>
    <xf numFmtId="164" fontId="10" fillId="4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 wrapText="1" indent="1"/>
    </xf>
    <xf numFmtId="164" fontId="8" fillId="7" borderId="5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1" fontId="12" fillId="7" borderId="5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left" vertical="center" wrapText="1" indent="1"/>
    </xf>
    <xf numFmtId="166" fontId="10" fillId="7" borderId="5" xfId="0" applyNumberFormat="1" applyFont="1" applyFill="1" applyBorder="1" applyAlignment="1">
      <alignment horizontal="right" vertical="center"/>
    </xf>
    <xf numFmtId="164" fontId="10" fillId="7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67" fontId="15" fillId="4" borderId="5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6" fontId="15" fillId="4" borderId="5" xfId="0" applyNumberFormat="1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left" vertical="center" wrapText="1" indent="1"/>
    </xf>
    <xf numFmtId="166" fontId="8" fillId="8" borderId="5" xfId="0" applyNumberFormat="1" applyFont="1" applyFill="1" applyBorder="1" applyAlignment="1">
      <alignment horizontal="right" vertical="center"/>
    </xf>
    <xf numFmtId="3" fontId="15" fillId="4" borderId="5" xfId="0" applyNumberFormat="1" applyFont="1" applyFill="1" applyBorder="1" applyAlignment="1">
      <alignment horizontal="right" vertical="center"/>
    </xf>
    <xf numFmtId="3" fontId="8" fillId="8" borderId="5" xfId="0" applyNumberFormat="1" applyFont="1" applyFill="1" applyBorder="1" applyAlignment="1">
      <alignment horizontal="right" vertical="center"/>
    </xf>
    <xf numFmtId="164" fontId="7" fillId="5" borderId="7" xfId="0" applyNumberFormat="1" applyFont="1" applyFill="1" applyBorder="1" applyAlignment="1">
      <alignment horizontal="center" vertical="center" wrapText="1"/>
    </xf>
    <xf numFmtId="164" fontId="16" fillId="8" borderId="5" xfId="0" applyNumberFormat="1" applyFont="1" applyFill="1" applyBorder="1" applyAlignment="1">
      <alignment horizontal="center" vertical="center" wrapText="1"/>
    </xf>
    <xf numFmtId="167" fontId="15" fillId="7" borderId="5" xfId="0" applyNumberFormat="1" applyFont="1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66" fontId="15" fillId="7" borderId="5" xfId="0" applyNumberFormat="1" applyFont="1" applyFill="1" applyBorder="1" applyAlignment="1">
      <alignment horizontal="right" vertical="center"/>
    </xf>
    <xf numFmtId="0" fontId="15" fillId="7" borderId="5" xfId="0" applyFont="1" applyFill="1" applyBorder="1" applyAlignment="1">
      <alignment horizontal="left" vertical="center" wrapText="1" indent="1"/>
    </xf>
    <xf numFmtId="3" fontId="15" fillId="7" borderId="5" xfId="0" applyNumberFormat="1" applyFont="1" applyFill="1" applyBorder="1" applyAlignment="1">
      <alignment horizontal="right" vertical="center"/>
    </xf>
    <xf numFmtId="166" fontId="7" fillId="5" borderId="7" xfId="0" applyNumberFormat="1" applyFont="1" applyFill="1" applyBorder="1" applyAlignment="1">
      <alignment horizontal="right" vertical="center"/>
    </xf>
    <xf numFmtId="0" fontId="0" fillId="5" borderId="7" xfId="0" applyFill="1" applyBorder="1"/>
    <xf numFmtId="3" fontId="7" fillId="5" borderId="7" xfId="0" applyNumberFormat="1" applyFont="1" applyFill="1" applyBorder="1" applyAlignment="1">
      <alignment horizontal="right" vertical="center"/>
    </xf>
    <xf numFmtId="164" fontId="18" fillId="5" borderId="7" xfId="0" applyNumberFormat="1" applyFont="1" applyFill="1" applyBorder="1" applyAlignment="1">
      <alignment horizontal="center" vertical="center" wrapText="1"/>
    </xf>
    <xf numFmtId="164" fontId="19" fillId="2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</cellXfs>
  <cellStyles count="1">
    <cellStyle name="Standard" xfId="0" builtinId="0"/>
  </cellStyles>
  <dxfs count="10">
    <dxf>
      <font>
        <b/>
        <sz val="11"/>
        <color rgb="FFFFFFFF"/>
        <name val="Calibri"/>
        <charset val="1"/>
      </font>
      <fill>
        <patternFill>
          <bgColor rgb="FF3F6F4F"/>
        </patternFill>
      </fill>
    </dxf>
    <dxf>
      <font>
        <b/>
        <sz val="11"/>
        <color rgb="FFFFFFFF"/>
        <name val="Calibri"/>
        <charset val="1"/>
      </font>
      <fill>
        <patternFill>
          <bgColor rgb="FF5E8C5A"/>
        </patternFill>
      </fill>
    </dxf>
    <dxf>
      <font>
        <b/>
        <sz val="11"/>
        <color rgb="FF1A1A1A"/>
        <name val="Calibri"/>
        <charset val="1"/>
      </font>
      <fill>
        <patternFill>
          <bgColor rgb="FFD9A93B"/>
        </patternFill>
      </fill>
    </dxf>
    <dxf>
      <font>
        <b/>
        <sz val="11"/>
        <color rgb="FFFFFFFF"/>
        <name val="Calibri"/>
        <charset val="1"/>
      </font>
      <fill>
        <patternFill>
          <bgColor rgb="FFB8412E"/>
        </patternFill>
      </fill>
    </dxf>
    <dxf>
      <font>
        <b/>
        <sz val="9"/>
        <color rgb="FFB8412E"/>
        <name val="Calibri"/>
        <charset val="1"/>
      </font>
      <fill>
        <patternFill>
          <bgColor rgb="FFF2D8D2"/>
        </patternFill>
      </fill>
    </dxf>
    <dxf>
      <font>
        <b/>
        <sz val="9"/>
        <color rgb="FF4A7A95"/>
        <name val="Calibri"/>
        <charset val="1"/>
      </font>
      <fill>
        <patternFill>
          <bgColor rgb="FFD7E1E8"/>
        </patternFill>
      </fill>
    </dxf>
    <dxf>
      <font>
        <b/>
        <sz val="9"/>
        <color rgb="FFB8412E"/>
        <name val="Calibri"/>
        <charset val="1"/>
      </font>
      <fill>
        <patternFill>
          <bgColor rgb="FFF2D8D2"/>
        </patternFill>
      </fill>
    </dxf>
    <dxf>
      <font>
        <b/>
        <sz val="9"/>
        <color rgb="FFD9A93B"/>
        <name val="Calibri"/>
        <charset val="1"/>
      </font>
      <fill>
        <patternFill>
          <bgColor rgb="FFF7EDCC"/>
        </patternFill>
      </fill>
    </dxf>
    <dxf>
      <font>
        <b/>
        <sz val="9"/>
        <color rgb="FF5E8C5A"/>
        <name val="Calibri"/>
        <charset val="1"/>
      </font>
      <fill>
        <patternFill>
          <bgColor rgb="FFDFEADE"/>
        </patternFill>
      </fill>
    </dxf>
    <dxf>
      <font>
        <b/>
        <sz val="9"/>
        <color rgb="FF3F6F4F"/>
        <name val="Calibri"/>
        <charset val="1"/>
      </font>
      <fill>
        <patternFill>
          <bgColor rgb="FFDFEAD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65F26"/>
      <rgbColor rgb="FF800080"/>
      <rgbColor rgb="FF3F6F4F"/>
      <rgbColor rgb="FFC9C2B1"/>
      <rgbColor rgb="FF878787"/>
      <rgbColor rgb="FF9999FF"/>
      <rgbColor rgb="FF993366"/>
      <rgbColor rgb="FFF7F4ED"/>
      <rgbColor rgb="FFD7E1E8"/>
      <rgbColor rgb="FF660066"/>
      <rgbColor rgb="FFC97B3D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AE0"/>
      <rgbColor rgb="FFDFEADE"/>
      <rgbColor rgb="FFF7EDCC"/>
      <rgbColor rgb="FFF4E8D9"/>
      <rgbColor rgb="FFFF99CC"/>
      <rgbColor rgb="FFCC99FF"/>
      <rgbColor rgb="FFF2D8D2"/>
      <rgbColor rgb="FF4A7A95"/>
      <rgbColor rgb="FF33CCCC"/>
      <rgbColor rgb="FF99CC00"/>
      <rgbColor rgb="FFFFCC00"/>
      <rgbColor rgb="FFD9A93B"/>
      <rgbColor rgb="FFFF6600"/>
      <rgbColor rgb="FF6B6B6B"/>
      <rgbColor rgb="FF5B7A8E"/>
      <rgbColor rgb="FF003366"/>
      <rgbColor rgb="FF5E8C5A"/>
      <rgbColor rgb="FF121A1F"/>
      <rgbColor rgb="FF1A1A1A"/>
      <rgbColor rgb="FFB8412E"/>
      <rgbColor rgb="FF993366"/>
      <rgbColor rgb="FF333399"/>
      <rgbColor rgb="FF1F2A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Dashboard!$C$15</c:f>
              <c:strCache>
                <c:ptCount val="1"/>
                <c:pt idx="0">
                  <c:v>Ø OEE</c:v>
                </c:pt>
              </c:strCache>
            </c:strRef>
          </c:tx>
          <c:spPr>
            <a:solidFill>
              <a:srgbClr val="C97B3D"/>
            </a:solidFill>
            <a:ln w="0">
              <a:solidFill>
                <a:srgbClr val="121A1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Dashboard!$B$16:$B$23</c:f>
              <c:strCache>
                <c:ptCount val="8"/>
                <c:pt idx="0">
                  <c:v>M-101</c:v>
                </c:pt>
                <c:pt idx="1">
                  <c:v>M-102</c:v>
                </c:pt>
                <c:pt idx="2">
                  <c:v>M-201</c:v>
                </c:pt>
                <c:pt idx="3">
                  <c:v>M-301</c:v>
                </c:pt>
                <c:pt idx="4">
                  <c:v>M-302</c:v>
                </c:pt>
                <c:pt idx="5">
                  <c:v>M-401</c:v>
                </c:pt>
                <c:pt idx="6">
                  <c:v>M-501</c:v>
                </c:pt>
                <c:pt idx="7">
                  <c:v>M-601</c:v>
                </c:pt>
              </c:strCache>
            </c:strRef>
          </c:cat>
          <c:val>
            <c:numRef>
              <c:f>Dashboard!$C$16:$C$23</c:f>
              <c:numCache>
                <c:formatCode>0.0%</c:formatCode>
                <c:ptCount val="8"/>
                <c:pt idx="0">
                  <c:v>0.81849859536853753</c:v>
                </c:pt>
                <c:pt idx="1">
                  <c:v>0.77657224444834261</c:v>
                </c:pt>
                <c:pt idx="2">
                  <c:v>0.65973641186930931</c:v>
                </c:pt>
                <c:pt idx="3">
                  <c:v>0.53495723880227852</c:v>
                </c:pt>
                <c:pt idx="4">
                  <c:v>0.6049290236169681</c:v>
                </c:pt>
                <c:pt idx="5">
                  <c:v>0.7489519048744353</c:v>
                </c:pt>
                <c:pt idx="6">
                  <c:v>0.78720979601165486</c:v>
                </c:pt>
                <c:pt idx="7">
                  <c:v>0.57469089157324371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8-4D13-BD2E-CD33BAA22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22686"/>
        <c:axId val="6214436"/>
      </c:barChart>
      <c:catAx>
        <c:axId val="1432268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6214436"/>
        <c:crosses val="autoZero"/>
        <c:auto val="1"/>
        <c:lblAlgn val="ctr"/>
        <c:lblOffset val="100"/>
        <c:noMultiLvlLbl val="0"/>
      </c:catAx>
      <c:valAx>
        <c:axId val="6214436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1432268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Dashboard!$I$15</c:f>
              <c:strCache>
                <c:ptCount val="1"/>
                <c:pt idx="0">
                  <c:v>Dauer (min)</c:v>
                </c:pt>
              </c:strCache>
            </c:strRef>
          </c:tx>
          <c:spPr>
            <a:solidFill>
              <a:srgbClr val="B8412E"/>
            </a:solidFill>
            <a:ln w="0">
              <a:solidFill>
                <a:srgbClr val="121A1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Dashboard!$G$16:$G$20</c:f>
              <c:strCache>
                <c:ptCount val="5"/>
                <c:pt idx="0">
                  <c:v>Rüstzeit</c:v>
                </c:pt>
                <c:pt idx="1">
                  <c:v>Maschinenstörung</c:v>
                </c:pt>
                <c:pt idx="2">
                  <c:v>Wartung (planmäßig)</c:v>
                </c:pt>
                <c:pt idx="3">
                  <c:v>Pause / Schichtwechsel</c:v>
                </c:pt>
                <c:pt idx="4">
                  <c:v>Materialmangel</c:v>
                </c:pt>
              </c:strCache>
            </c:strRef>
          </c:cat>
          <c:val>
            <c:numRef>
              <c:f>Dashboard!$I$16:$I$20</c:f>
              <c:numCache>
                <c:formatCode>#,##0" min"</c:formatCode>
                <c:ptCount val="5"/>
                <c:pt idx="0">
                  <c:v>3627</c:v>
                </c:pt>
                <c:pt idx="1">
                  <c:v>841</c:v>
                </c:pt>
                <c:pt idx="2">
                  <c:v>757</c:v>
                </c:pt>
                <c:pt idx="3">
                  <c:v>669</c:v>
                </c:pt>
                <c:pt idx="4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4-4E8F-A4CC-FDC2C881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24057"/>
        <c:axId val="25395016"/>
      </c:barChart>
      <c:catAx>
        <c:axId val="7792405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25395016"/>
        <c:crosses val="autoZero"/>
        <c:auto val="1"/>
        <c:lblAlgn val="ctr"/>
        <c:lblOffset val="100"/>
        <c:noMultiLvlLbl val="0"/>
      </c:catAx>
      <c:valAx>
        <c:axId val="25395016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min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7792405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Stillstandsanalyse!$E$7</c:f>
              <c:strCache>
                <c:ptCount val="1"/>
                <c:pt idx="0">
                  <c:v>Dauer (min)</c:v>
                </c:pt>
              </c:strCache>
            </c:strRef>
          </c:tx>
          <c:spPr>
            <a:solidFill>
              <a:srgbClr val="C97B3D"/>
            </a:solidFill>
            <a:ln w="0">
              <a:solidFill>
                <a:srgbClr val="121A1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Stillstandsanalyse!$B$8:$B$18</c:f>
              <c:strCache>
                <c:ptCount val="11"/>
                <c:pt idx="0">
                  <c:v>Rüstzeit</c:v>
                </c:pt>
                <c:pt idx="1">
                  <c:v>Wartung (planmäßig)</c:v>
                </c:pt>
                <c:pt idx="2">
                  <c:v>Pause / Schichtwechsel</c:v>
                </c:pt>
                <c:pt idx="3">
                  <c:v>Schulung</c:v>
                </c:pt>
                <c:pt idx="4">
                  <c:v>Maschinenstörung</c:v>
                </c:pt>
                <c:pt idx="5">
                  <c:v>Werkzeugbruch</c:v>
                </c:pt>
                <c:pt idx="6">
                  <c:v>Materialmangel</c:v>
                </c:pt>
                <c:pt idx="7">
                  <c:v>Qualitätsabweichung</c:v>
                </c:pt>
                <c:pt idx="8">
                  <c:v>Personalmangel</c:v>
                </c:pt>
                <c:pt idx="9">
                  <c:v>Stromausfall</c:v>
                </c:pt>
                <c:pt idx="10">
                  <c:v>Sonstiges</c:v>
                </c:pt>
              </c:strCache>
            </c:strRef>
          </c:cat>
          <c:val>
            <c:numRef>
              <c:f>Stillstandsanalyse!$E$8:$E$18</c:f>
              <c:numCache>
                <c:formatCode>#,##0" min"</c:formatCode>
                <c:ptCount val="11"/>
                <c:pt idx="0">
                  <c:v>3627</c:v>
                </c:pt>
                <c:pt idx="1">
                  <c:v>757</c:v>
                </c:pt>
                <c:pt idx="2">
                  <c:v>669</c:v>
                </c:pt>
                <c:pt idx="3">
                  <c:v>0</c:v>
                </c:pt>
                <c:pt idx="4">
                  <c:v>841</c:v>
                </c:pt>
                <c:pt idx="5">
                  <c:v>395</c:v>
                </c:pt>
                <c:pt idx="6">
                  <c:v>596</c:v>
                </c:pt>
                <c:pt idx="7">
                  <c:v>278</c:v>
                </c:pt>
                <c:pt idx="8">
                  <c:v>293</c:v>
                </c:pt>
                <c:pt idx="9">
                  <c:v>0</c:v>
                </c:pt>
                <c:pt idx="1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0-4EB9-9AA2-EC8937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8217"/>
        <c:axId val="45584816"/>
      </c:barChart>
      <c:catAx>
        <c:axId val="1222821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45584816"/>
        <c:crosses val="autoZero"/>
        <c:auto val="1"/>
        <c:lblAlgn val="ctr"/>
        <c:lblOffset val="100"/>
        <c:noMultiLvlLbl val="0"/>
      </c:catAx>
      <c:valAx>
        <c:axId val="45584816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min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A1A1A"/>
                </a:solidFill>
                <a:latin typeface="Calibri"/>
              </a:defRPr>
            </a:pPr>
            <a:endParaRPr lang="de-DE"/>
          </a:p>
        </c:txPr>
        <c:crossAx val="1222821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5</xdr:col>
      <xdr:colOff>528840</xdr:colOff>
      <xdr:row>41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561975</xdr:colOff>
      <xdr:row>24</xdr:row>
      <xdr:rowOff>0</xdr:rowOff>
    </xdr:from>
    <xdr:to>
      <xdr:col>10</xdr:col>
      <xdr:colOff>23655</xdr:colOff>
      <xdr:row>41</xdr:row>
      <xdr:rowOff>1080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6</xdr:col>
      <xdr:colOff>496080</xdr:colOff>
      <xdr:row>42</xdr:row>
      <xdr:rowOff>149400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2A30"/>
    <pageSetUpPr fitToPage="1"/>
  </sheetPr>
  <dimension ref="B1:J46"/>
  <sheetViews>
    <sheetView showGridLines="0" tabSelected="1" zoomScaleNormal="100" workbookViewId="0">
      <selection activeCell="P13" sqref="P13"/>
    </sheetView>
  </sheetViews>
  <sheetFormatPr baseColWidth="10" defaultColWidth="8.7109375" defaultRowHeight="15" x14ac:dyDescent="0.25"/>
  <cols>
    <col min="1" max="1" width="1.5703125" customWidth="1"/>
    <col min="2" max="10" width="16" customWidth="1"/>
    <col min="11" max="11" width="1.5703125" customWidth="1"/>
  </cols>
  <sheetData>
    <row r="1" spans="2:10" ht="7.5" customHeight="1" x14ac:dyDescent="0.25"/>
    <row r="2" spans="2:10" ht="49.5" customHeight="1" x14ac:dyDescent="0.25">
      <c r="B2" s="14" t="s">
        <v>126</v>
      </c>
      <c r="C2" s="14"/>
      <c r="D2" s="14"/>
      <c r="E2" s="14"/>
      <c r="F2" s="14"/>
      <c r="G2" s="14"/>
      <c r="H2" s="14"/>
      <c r="I2" s="14"/>
      <c r="J2" s="14"/>
    </row>
    <row r="3" spans="2:10" ht="21.7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</row>
    <row r="4" spans="2:10" ht="3.75" customHeight="1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0" ht="15.75" customHeight="1" x14ac:dyDescent="0.25"/>
    <row r="6" spans="2:10" ht="24" customHeight="1" x14ac:dyDescent="0.25">
      <c r="B6" s="12" t="s">
        <v>1</v>
      </c>
      <c r="C6" s="12"/>
      <c r="D6" s="12" t="s">
        <v>2</v>
      </c>
      <c r="E6" s="12"/>
      <c r="F6" s="12" t="s">
        <v>3</v>
      </c>
      <c r="G6" s="12"/>
      <c r="H6" s="11" t="s">
        <v>4</v>
      </c>
      <c r="I6" s="11"/>
      <c r="J6" s="11"/>
    </row>
    <row r="7" spans="2:10" ht="49.5" customHeight="1" x14ac:dyDescent="0.25">
      <c r="B7" s="10">
        <f>'OEE-Erfassung 2026'!O71</f>
        <v>0.80538422465713666</v>
      </c>
      <c r="C7" s="10"/>
      <c r="D7" s="10">
        <f>'OEE-Erfassung 2026'!P71</f>
        <v>0.88145677886806939</v>
      </c>
      <c r="E7" s="10"/>
      <c r="F7" s="10">
        <f>'OEE-Erfassung 2026'!Q71</f>
        <v>0.95811105062602064</v>
      </c>
      <c r="G7" s="10"/>
      <c r="H7" s="9">
        <f>'OEE-Erfassung 2026'!R71</f>
        <v>0.6801739423755635</v>
      </c>
      <c r="I7" s="9"/>
      <c r="J7" s="9"/>
    </row>
    <row r="8" spans="2:10" ht="6" customHeight="1" x14ac:dyDescent="0.25">
      <c r="B8" s="8"/>
      <c r="C8" s="8"/>
      <c r="D8" s="8"/>
      <c r="E8" s="8"/>
      <c r="F8" s="8"/>
      <c r="G8" s="8"/>
      <c r="H8" s="8"/>
      <c r="I8" s="8"/>
      <c r="J8" s="8"/>
    </row>
    <row r="9" spans="2:10" ht="12" customHeight="1" x14ac:dyDescent="0.25"/>
    <row r="10" spans="2:10" ht="24" customHeight="1" x14ac:dyDescent="0.25">
      <c r="B10" s="12" t="s">
        <v>5</v>
      </c>
      <c r="C10" s="12"/>
      <c r="D10" s="12" t="s">
        <v>6</v>
      </c>
      <c r="E10" s="12"/>
      <c r="F10" s="12" t="s">
        <v>7</v>
      </c>
      <c r="G10" s="12"/>
      <c r="H10" s="12" t="s">
        <v>8</v>
      </c>
      <c r="I10" s="12"/>
      <c r="J10" s="12"/>
    </row>
    <row r="11" spans="2:10" ht="49.5" customHeight="1" x14ac:dyDescent="0.25">
      <c r="B11" s="10">
        <f>'OEE-Erfassung 2026'!S71</f>
        <v>0.74590053763440856</v>
      </c>
      <c r="C11" s="10"/>
      <c r="D11" s="7">
        <f>'OEE-Erfassung 2026'!N71</f>
        <v>35201</v>
      </c>
      <c r="E11" s="7"/>
      <c r="F11" s="7">
        <f>'OEE-Erfassung 2026'!M71</f>
        <v>1539</v>
      </c>
      <c r="G11" s="7"/>
      <c r="H11" s="6">
        <f>('OEE-Erfassung 2026'!G71+'OEE-Erfassung 2026'!H71)/60</f>
        <v>126.03333333333333</v>
      </c>
      <c r="I11" s="6"/>
      <c r="J11" s="6"/>
    </row>
    <row r="12" spans="2:10" ht="6" customHeight="1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2:10" ht="19.5" customHeight="1" x14ac:dyDescent="0.25"/>
    <row r="14" spans="2:10" ht="24" customHeight="1" x14ac:dyDescent="0.25">
      <c r="B14" s="5" t="s">
        <v>9</v>
      </c>
      <c r="C14" s="5"/>
      <c r="D14" s="5"/>
      <c r="E14" s="5"/>
      <c r="F14" s="5" t="s">
        <v>10</v>
      </c>
      <c r="G14" s="5"/>
      <c r="H14" s="5"/>
      <c r="I14" s="5"/>
      <c r="J14" s="5"/>
    </row>
    <row r="15" spans="2:10" ht="21.75" customHeight="1" x14ac:dyDescent="0.25">
      <c r="B15" s="16" t="s">
        <v>11</v>
      </c>
      <c r="C15" s="17" t="s">
        <v>12</v>
      </c>
      <c r="D15" s="17" t="s">
        <v>13</v>
      </c>
      <c r="E15" s="17" t="s">
        <v>14</v>
      </c>
      <c r="F15" s="17" t="s">
        <v>15</v>
      </c>
      <c r="G15" s="16" t="s">
        <v>16</v>
      </c>
      <c r="H15" s="17" t="s">
        <v>17</v>
      </c>
      <c r="I15" s="17" t="s">
        <v>18</v>
      </c>
      <c r="J15" s="17" t="s">
        <v>19</v>
      </c>
    </row>
    <row r="16" spans="2:10" ht="19.5" customHeight="1" x14ac:dyDescent="0.25">
      <c r="B16" s="18" t="s">
        <v>20</v>
      </c>
      <c r="C16" s="19">
        <f>IFERROR(AVERAGEIF('OEE-Erfassung 2026'!$E$8:$E$69,B16,'OEE-Erfassung 2026'!$R$8:$R$69),0)</f>
        <v>0.81849859536853753</v>
      </c>
      <c r="D16" s="20">
        <f>SUMIF('OEE-Erfassung 2026'!$E$8:$E$69,B16,'OEE-Erfassung 2026'!$L$8:$L$69)</f>
        <v>4523</v>
      </c>
      <c r="E16" s="21" t="str">
        <f t="shared" ref="E16:E23" si="0">IF(C16&gt;=0.85,"Weltklasse",IF(C16&gt;=0.75,"Gut",IF(C16&gt;=0.6,"Akzeptabel","Verbesserung nötig")))</f>
        <v>Gut</v>
      </c>
      <c r="F16" s="22">
        <v>1</v>
      </c>
      <c r="G16" s="23" t="str">
        <f>IFERROR(INDEX(Stillstandsanalyse!$B$8:$B$18,MATCH(LARGE(Stillstandsanalyse!$E$8:$E$18,1),Stillstandsanalyse!$E$8:$E$18,0)),"")</f>
        <v>Rüstzeit</v>
      </c>
      <c r="H16" s="21" t="str">
        <f>IFERROR(INDEX(Stillstandsanalyse!$C$8:$C$18,MATCH(LARGE(Stillstandsanalyse!$E$8:$E$18,1),Stillstandsanalyse!$E$8:$E$18,0)),"")</f>
        <v>Geplant</v>
      </c>
      <c r="I16" s="24">
        <f>IFERROR(LARGE(Stillstandsanalyse!$E$8:$E$18,1),0)</f>
        <v>3627</v>
      </c>
      <c r="J16" s="25">
        <f>IFERROR(LARGE(Stillstandsanalyse!$E$8:$E$18,1)/SUM(Stillstandsanalyse!$E$8:$E$18),0)</f>
        <v>0.47963501719121926</v>
      </c>
    </row>
    <row r="17" spans="2:10" ht="19.5" customHeight="1" x14ac:dyDescent="0.25">
      <c r="B17" s="26" t="s">
        <v>21</v>
      </c>
      <c r="C17" s="27">
        <f>IFERROR(AVERAGEIF('OEE-Erfassung 2026'!$E$8:$E$69,B17,'OEE-Erfassung 2026'!$R$8:$R$69),0)</f>
        <v>0.77657224444834261</v>
      </c>
      <c r="D17" s="28">
        <f>SUMIF('OEE-Erfassung 2026'!$E$8:$E$69,B17,'OEE-Erfassung 2026'!$L$8:$L$69)</f>
        <v>3615</v>
      </c>
      <c r="E17" s="29" t="str">
        <f t="shared" si="0"/>
        <v>Gut</v>
      </c>
      <c r="F17" s="30">
        <v>2</v>
      </c>
      <c r="G17" s="31" t="str">
        <f>IFERROR(INDEX(Stillstandsanalyse!$B$8:$B$18,MATCH(LARGE(Stillstandsanalyse!$E$8:$E$18,2),Stillstandsanalyse!$E$8:$E$18,0)),"")</f>
        <v>Maschinenstörung</v>
      </c>
      <c r="H17" s="29" t="str">
        <f>IFERROR(INDEX(Stillstandsanalyse!$C$8:$C$18,MATCH(LARGE(Stillstandsanalyse!$E$8:$E$18,2),Stillstandsanalyse!$E$8:$E$18,0)),"")</f>
        <v>Ungeplant</v>
      </c>
      <c r="I17" s="32">
        <f>IFERROR(LARGE(Stillstandsanalyse!$E$8:$E$18,2),0)</f>
        <v>841</v>
      </c>
      <c r="J17" s="33">
        <f>IFERROR(LARGE(Stillstandsanalyse!$E$8:$E$18,2)/SUM(Stillstandsanalyse!$E$8:$E$18),0)</f>
        <v>0.1112139645596403</v>
      </c>
    </row>
    <row r="18" spans="2:10" ht="19.5" customHeight="1" x14ac:dyDescent="0.25">
      <c r="B18" s="18" t="s">
        <v>22</v>
      </c>
      <c r="C18" s="19">
        <f>IFERROR(AVERAGEIF('OEE-Erfassung 2026'!$E$8:$E$69,B18,'OEE-Erfassung 2026'!$R$8:$R$69),0)</f>
        <v>0.65973641186930931</v>
      </c>
      <c r="D18" s="20">
        <f>SUMIF('OEE-Erfassung 2026'!$E$8:$E$69,B18,'OEE-Erfassung 2026'!$L$8:$L$69)</f>
        <v>2832</v>
      </c>
      <c r="E18" s="21" t="str">
        <f t="shared" si="0"/>
        <v>Akzeptabel</v>
      </c>
      <c r="F18" s="22">
        <v>3</v>
      </c>
      <c r="G18" s="23" t="str">
        <f>IFERROR(INDEX(Stillstandsanalyse!$B$8:$B$18,MATCH(LARGE(Stillstandsanalyse!$E$8:$E$18,3),Stillstandsanalyse!$E$8:$E$18,0)),"")</f>
        <v>Wartung (planmäßig)</v>
      </c>
      <c r="H18" s="21" t="str">
        <f>IFERROR(INDEX(Stillstandsanalyse!$C$8:$C$18,MATCH(LARGE(Stillstandsanalyse!$E$8:$E$18,3),Stillstandsanalyse!$E$8:$E$18,0)),"")</f>
        <v>Geplant</v>
      </c>
      <c r="I18" s="24">
        <f>IFERROR(LARGE(Stillstandsanalyse!$E$8:$E$18,3),0)</f>
        <v>757</v>
      </c>
      <c r="J18" s="25">
        <f>IFERROR(LARGE(Stillstandsanalyse!$E$8:$E$18,3)/SUM(Stillstandsanalyse!$E$8:$E$18),0)</f>
        <v>0.10010579211848718</v>
      </c>
    </row>
    <row r="19" spans="2:10" ht="19.5" customHeight="1" x14ac:dyDescent="0.25">
      <c r="B19" s="26" t="s">
        <v>23</v>
      </c>
      <c r="C19" s="27">
        <f>IFERROR(AVERAGEIF('OEE-Erfassung 2026'!$E$8:$E$69,B19,'OEE-Erfassung 2026'!$R$8:$R$69),0)</f>
        <v>0.53495723880227852</v>
      </c>
      <c r="D19" s="28">
        <f>SUMIF('OEE-Erfassung 2026'!$E$8:$E$69,B19,'OEE-Erfassung 2026'!$L$8:$L$69)</f>
        <v>3391</v>
      </c>
      <c r="E19" s="29" t="str">
        <f t="shared" si="0"/>
        <v>Verbesserung nötig</v>
      </c>
      <c r="F19" s="30">
        <v>4</v>
      </c>
      <c r="G19" s="31" t="str">
        <f>IFERROR(INDEX(Stillstandsanalyse!$B$8:$B$18,MATCH(LARGE(Stillstandsanalyse!$E$8:$E$18,4),Stillstandsanalyse!$E$8:$E$18,0)),"")</f>
        <v>Pause / Schichtwechsel</v>
      </c>
      <c r="H19" s="29" t="str">
        <f>IFERROR(INDEX(Stillstandsanalyse!$C$8:$C$18,MATCH(LARGE(Stillstandsanalyse!$E$8:$E$18,4),Stillstandsanalyse!$E$8:$E$18,0)),"")</f>
        <v>Geplant</v>
      </c>
      <c r="I19" s="32">
        <f>IFERROR(LARGE(Stillstandsanalyse!$E$8:$E$18,4),0)</f>
        <v>669</v>
      </c>
      <c r="J19" s="33">
        <f>IFERROR(LARGE(Stillstandsanalyse!$E$8:$E$18,4)/SUM(Stillstandsanalyse!$E$8:$E$18),0)</f>
        <v>8.8468659084898177E-2</v>
      </c>
    </row>
    <row r="20" spans="2:10" ht="19.5" customHeight="1" x14ac:dyDescent="0.25">
      <c r="B20" s="18" t="s">
        <v>24</v>
      </c>
      <c r="C20" s="19">
        <f>IFERROR(AVERAGEIF('OEE-Erfassung 2026'!$E$8:$E$69,B20,'OEE-Erfassung 2026'!$R$8:$R$69),0)</f>
        <v>0.6049290236169681</v>
      </c>
      <c r="D20" s="20">
        <f>SUMIF('OEE-Erfassung 2026'!$E$8:$E$69,B20,'OEE-Erfassung 2026'!$L$8:$L$69)</f>
        <v>3216</v>
      </c>
      <c r="E20" s="21" t="str">
        <f t="shared" si="0"/>
        <v>Akzeptabel</v>
      </c>
      <c r="F20" s="22">
        <v>5</v>
      </c>
      <c r="G20" s="23" t="str">
        <f>IFERROR(INDEX(Stillstandsanalyse!$B$8:$B$18,MATCH(LARGE(Stillstandsanalyse!$E$8:$E$18,5),Stillstandsanalyse!$E$8:$E$18,0)),"")</f>
        <v>Materialmangel</v>
      </c>
      <c r="H20" s="21" t="str">
        <f>IFERROR(INDEX(Stillstandsanalyse!$C$8:$C$18,MATCH(LARGE(Stillstandsanalyse!$E$8:$E$18,5),Stillstandsanalyse!$E$8:$E$18,0)),"")</f>
        <v>Ungeplant</v>
      </c>
      <c r="I20" s="24">
        <f>IFERROR(LARGE(Stillstandsanalyse!$E$8:$E$18,5),0)</f>
        <v>596</v>
      </c>
      <c r="J20" s="25">
        <f>IFERROR(LARGE(Stillstandsanalyse!$E$8:$E$18,5)/SUM(Stillstandsanalyse!$E$8:$E$18),0)</f>
        <v>7.8815128272943666E-2</v>
      </c>
    </row>
    <row r="21" spans="2:10" ht="19.5" customHeight="1" x14ac:dyDescent="0.25">
      <c r="B21" s="26" t="s">
        <v>25</v>
      </c>
      <c r="C21" s="27">
        <f>IFERROR(AVERAGEIF('OEE-Erfassung 2026'!$E$8:$E$69,B21,'OEE-Erfassung 2026'!$R$8:$R$69),0)</f>
        <v>0.7489519048744353</v>
      </c>
      <c r="D21" s="28">
        <f>SUMIF('OEE-Erfassung 2026'!$E$8:$E$69,B21,'OEE-Erfassung 2026'!$L$8:$L$69)</f>
        <v>5134</v>
      </c>
      <c r="E21" s="29" t="str">
        <f t="shared" si="0"/>
        <v>Akzeptabel</v>
      </c>
    </row>
    <row r="22" spans="2:10" ht="19.5" customHeight="1" x14ac:dyDescent="0.25">
      <c r="B22" s="18" t="s">
        <v>26</v>
      </c>
      <c r="C22" s="19">
        <f>IFERROR(AVERAGEIF('OEE-Erfassung 2026'!$E$8:$E$69,B22,'OEE-Erfassung 2026'!$R$8:$R$69),0)</f>
        <v>0.78720979601165486</v>
      </c>
      <c r="D22" s="20">
        <f>SUMIF('OEE-Erfassung 2026'!$E$8:$E$69,B22,'OEE-Erfassung 2026'!$L$8:$L$69)</f>
        <v>12392</v>
      </c>
      <c r="E22" s="21" t="str">
        <f t="shared" si="0"/>
        <v>Gut</v>
      </c>
    </row>
    <row r="23" spans="2:10" ht="19.5" customHeight="1" x14ac:dyDescent="0.25">
      <c r="B23" s="26" t="s">
        <v>27</v>
      </c>
      <c r="C23" s="27">
        <f>IFERROR(AVERAGEIF('OEE-Erfassung 2026'!$E$8:$E$69,B23,'OEE-Erfassung 2026'!$R$8:$R$69),0)</f>
        <v>0.57469089157324371</v>
      </c>
      <c r="D23" s="28">
        <f>SUMIF('OEE-Erfassung 2026'!$E$8:$E$69,B23,'OEE-Erfassung 2026'!$L$8:$L$69)</f>
        <v>1637</v>
      </c>
      <c r="E23" s="29" t="str">
        <f t="shared" si="0"/>
        <v>Verbesserung nötig</v>
      </c>
    </row>
    <row r="25" spans="2:10" ht="15" customHeight="1" x14ac:dyDescent="0.25"/>
    <row r="26" spans="2:10" ht="15" customHeight="1" x14ac:dyDescent="0.25"/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spans="2:10" ht="15" customHeight="1" x14ac:dyDescent="0.25"/>
    <row r="34" spans="2:10" ht="15" customHeight="1" x14ac:dyDescent="0.25"/>
    <row r="35" spans="2:10" ht="15" customHeight="1" x14ac:dyDescent="0.25"/>
    <row r="36" spans="2:10" ht="15" customHeight="1" x14ac:dyDescent="0.25"/>
    <row r="37" spans="2:10" ht="15" customHeight="1" x14ac:dyDescent="0.25"/>
    <row r="38" spans="2:10" ht="15" customHeight="1" x14ac:dyDescent="0.25"/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6" spans="2:10" ht="21.75" customHeight="1" x14ac:dyDescent="0.25">
      <c r="B46" s="4" t="s">
        <v>28</v>
      </c>
      <c r="C46" s="4"/>
      <c r="D46" s="4"/>
      <c r="E46" s="4"/>
      <c r="F46" s="4"/>
      <c r="G46" s="4"/>
      <c r="H46" s="4"/>
      <c r="I46" s="4"/>
      <c r="J46" s="4"/>
    </row>
  </sheetData>
  <mergeCells count="29">
    <mergeCell ref="B46:J46"/>
    <mergeCell ref="B12:C12"/>
    <mergeCell ref="D12:E12"/>
    <mergeCell ref="F12:G12"/>
    <mergeCell ref="H12:J12"/>
    <mergeCell ref="B14:E14"/>
    <mergeCell ref="F14:J14"/>
    <mergeCell ref="B10:C10"/>
    <mergeCell ref="D10:E10"/>
    <mergeCell ref="F10:G10"/>
    <mergeCell ref="H10:J10"/>
    <mergeCell ref="B11:C11"/>
    <mergeCell ref="D11:E11"/>
    <mergeCell ref="F11:G11"/>
    <mergeCell ref="H11:J11"/>
    <mergeCell ref="B7:C7"/>
    <mergeCell ref="D7:E7"/>
    <mergeCell ref="F7:G7"/>
    <mergeCell ref="H7:J7"/>
    <mergeCell ref="B8:C8"/>
    <mergeCell ref="D8:E8"/>
    <mergeCell ref="F8:G8"/>
    <mergeCell ref="H8:J8"/>
    <mergeCell ref="B2:J2"/>
    <mergeCell ref="B3:J3"/>
    <mergeCell ref="B6:C6"/>
    <mergeCell ref="D6:E6"/>
    <mergeCell ref="F6:G6"/>
    <mergeCell ref="H6:J6"/>
  </mergeCells>
  <conditionalFormatting sqref="C16:C23">
    <cfRule type="colorScale" priority="6">
      <colorScale>
        <cfvo type="num" val="0.5"/>
        <cfvo type="num" val="0.7"/>
        <cfvo type="num" val="0.9"/>
        <color rgb="FFF2D8D2"/>
        <color rgb="FFF7EDCC"/>
        <color rgb="FFDFEADE"/>
      </colorScale>
    </cfRule>
  </conditionalFormatting>
  <conditionalFormatting sqref="E16:E23">
    <cfRule type="cellIs" dxfId="9" priority="2" operator="equal">
      <formula>"Weltklasse"</formula>
    </cfRule>
    <cfRule type="cellIs" dxfId="8" priority="3" operator="equal">
      <formula>"Gut"</formula>
    </cfRule>
    <cfRule type="cellIs" dxfId="7" priority="4" operator="equal">
      <formula>"Akzeptabel"</formula>
    </cfRule>
    <cfRule type="cellIs" dxfId="6" priority="5" operator="equal">
      <formula>"Verbesserung nötig"</formula>
    </cfRule>
  </conditionalFormatting>
  <conditionalFormatting sqref="H16:H20">
    <cfRule type="cellIs" dxfId="5" priority="7" operator="equal">
      <formula>"Geplant"</formula>
    </cfRule>
    <cfRule type="cellIs" dxfId="4" priority="8" operator="equal">
      <formula>"Ungeplant"</formula>
    </cfRule>
  </conditionalFormatting>
  <conditionalFormatting sqref="I16:I20">
    <cfRule type="dataBar" priority="9">
      <dataBar>
        <cfvo type="min"/>
        <cfvo type="max"/>
        <color rgb="FFC97B3D"/>
      </dataBar>
      <extLst>
        <ext xmlns:x14="http://schemas.microsoft.com/office/spreadsheetml/2009/9/main" uri="{B025F937-C7B1-47D3-B67F-A62EFF666E3E}">
          <x14:id>{50269C41-9960-40CB-ABF5-2ED0AA2F7A90}</x14:id>
        </ext>
      </extLst>
    </cfRule>
  </conditionalFormatting>
  <printOptions horizontalCentered="1"/>
  <pageMargins left="0.3" right="0.3" top="0.4" bottom="0.4" header="0.511811023622047" footer="0.511811023622047"/>
  <pageSetup fitToHeight="0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269C41-9960-40CB-ABF5-2ED0AA2F7A90}">
            <x14:dataBar axisPosition="none">
              <x14:cfvo type="min"/>
              <x14:cfvo type="max"/>
              <x14:negativeFillColor rgb="FFC97B3D"/>
            </x14:dataBar>
          </x14:cfRule>
          <xm:sqref>I16:I20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7B3D"/>
    <pageSetUpPr fitToPage="1"/>
  </sheetPr>
  <dimension ref="B1:S71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12" customWidth="1"/>
    <col min="3" max="3" width="6" customWidth="1"/>
    <col min="4" max="4" width="13" customWidth="1"/>
    <col min="5" max="5" width="22" customWidth="1"/>
    <col min="6" max="8" width="11" customWidth="1"/>
    <col min="9" max="9" width="22" customWidth="1"/>
    <col min="10" max="12" width="11" customWidth="1"/>
    <col min="13" max="13" width="10" customWidth="1"/>
    <col min="14" max="14" width="11" customWidth="1"/>
    <col min="15" max="15" width="12" customWidth="1"/>
    <col min="16" max="18" width="11" customWidth="1"/>
    <col min="19" max="19" width="12" customWidth="1"/>
    <col min="20" max="20" width="1.5703125" customWidth="1"/>
  </cols>
  <sheetData>
    <row r="1" spans="2:19" ht="7.5" customHeight="1" x14ac:dyDescent="0.25"/>
    <row r="2" spans="2:19" ht="42" customHeight="1" x14ac:dyDescent="0.25">
      <c r="B2" s="14" t="s">
        <v>29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2:19" ht="9.75" customHeight="1" x14ac:dyDescent="0.25"/>
    <row r="4" spans="2:19" ht="15" customHeight="1" x14ac:dyDescent="0.25">
      <c r="B4" s="3" t="s">
        <v>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6" customHeight="1" x14ac:dyDescent="0.25"/>
    <row r="6" spans="2:19" ht="21.75" customHeight="1" x14ac:dyDescent="0.25">
      <c r="B6" s="2" t="s">
        <v>31</v>
      </c>
      <c r="C6" s="2"/>
      <c r="D6" s="2"/>
      <c r="E6" s="2"/>
      <c r="F6" s="1" t="s">
        <v>32</v>
      </c>
      <c r="G6" s="1"/>
      <c r="H6" s="1"/>
      <c r="I6" s="1"/>
      <c r="J6" s="1" t="s">
        <v>33</v>
      </c>
      <c r="K6" s="1"/>
      <c r="L6" s="1"/>
      <c r="M6" s="1"/>
      <c r="N6" s="1"/>
      <c r="O6" s="67" t="s">
        <v>34</v>
      </c>
      <c r="P6" s="67"/>
      <c r="Q6" s="67"/>
      <c r="R6" s="67"/>
      <c r="S6" s="67"/>
    </row>
    <row r="7" spans="2:19" ht="37.5" customHeight="1" x14ac:dyDescent="0.25">
      <c r="B7" s="34" t="s">
        <v>35</v>
      </c>
      <c r="C7" s="34" t="s">
        <v>36</v>
      </c>
      <c r="D7" s="34" t="s">
        <v>37</v>
      </c>
      <c r="E7" s="34" t="s">
        <v>11</v>
      </c>
      <c r="F7" s="34" t="s">
        <v>38</v>
      </c>
      <c r="G7" s="34" t="s">
        <v>39</v>
      </c>
      <c r="H7" s="34" t="s">
        <v>40</v>
      </c>
      <c r="I7" s="34" t="s">
        <v>41</v>
      </c>
      <c r="J7" s="34" t="s">
        <v>42</v>
      </c>
      <c r="K7" s="34" t="s">
        <v>43</v>
      </c>
      <c r="L7" s="34" t="s">
        <v>44</v>
      </c>
      <c r="M7" s="34" t="s">
        <v>45</v>
      </c>
      <c r="N7" s="34" t="s">
        <v>46</v>
      </c>
      <c r="O7" s="34" t="s">
        <v>47</v>
      </c>
      <c r="P7" s="34" t="s">
        <v>48</v>
      </c>
      <c r="Q7" s="34" t="s">
        <v>49</v>
      </c>
      <c r="R7" s="34" t="s">
        <v>50</v>
      </c>
      <c r="S7" s="34" t="s">
        <v>51</v>
      </c>
    </row>
    <row r="8" spans="2:19" ht="21.75" customHeight="1" x14ac:dyDescent="0.25">
      <c r="B8" s="35">
        <v>46027</v>
      </c>
      <c r="C8" s="36">
        <f t="shared" ref="C8:C39" si="0">WEEKNUM(B8,21)</f>
        <v>2</v>
      </c>
      <c r="D8" s="37" t="s">
        <v>52</v>
      </c>
      <c r="E8" s="38" t="s">
        <v>20</v>
      </c>
      <c r="F8" s="39">
        <v>480</v>
      </c>
      <c r="G8" s="39">
        <v>30</v>
      </c>
      <c r="H8" s="39">
        <v>56</v>
      </c>
      <c r="I8" s="40" t="s">
        <v>53</v>
      </c>
      <c r="J8" s="41">
        <f t="shared" ref="J8:J39" si="1">F8-G8-H8</f>
        <v>394</v>
      </c>
      <c r="K8" s="42">
        <v>788</v>
      </c>
      <c r="L8" s="42">
        <v>726</v>
      </c>
      <c r="M8" s="42">
        <v>41</v>
      </c>
      <c r="N8" s="43">
        <f t="shared" ref="N8:N39" si="2">L8-M8</f>
        <v>685</v>
      </c>
      <c r="O8" s="19">
        <f t="shared" ref="O8:O39" si="3">IFERROR((F8-G8-H8)/(F8-G8),0)</f>
        <v>0.87555555555555553</v>
      </c>
      <c r="P8" s="19">
        <f t="shared" ref="P8:P39" si="4">IFERROR(L8/K8,0)</f>
        <v>0.92131979695431476</v>
      </c>
      <c r="Q8" s="19">
        <f t="shared" ref="Q8:Q39" si="5">IFERROR(N8/L8,0)</f>
        <v>0.94352617079889811</v>
      </c>
      <c r="R8" s="44">
        <f t="shared" ref="R8:R39" si="6">O8*P8*Q8</f>
        <v>0.76111111111111107</v>
      </c>
      <c r="S8" s="45">
        <f t="shared" ref="S8:S39" si="7">IFERROR(J8/F8,0)</f>
        <v>0.8208333333333333</v>
      </c>
    </row>
    <row r="9" spans="2:19" ht="21.75" customHeight="1" x14ac:dyDescent="0.25">
      <c r="B9" s="46">
        <v>46027</v>
      </c>
      <c r="C9" s="47">
        <f t="shared" si="0"/>
        <v>2</v>
      </c>
      <c r="D9" s="48" t="s">
        <v>52</v>
      </c>
      <c r="E9" s="49" t="s">
        <v>21</v>
      </c>
      <c r="F9" s="50">
        <v>480</v>
      </c>
      <c r="G9" s="50">
        <v>23</v>
      </c>
      <c r="H9" s="50">
        <v>48</v>
      </c>
      <c r="I9" s="51" t="s">
        <v>54</v>
      </c>
      <c r="J9" s="41">
        <f t="shared" si="1"/>
        <v>409</v>
      </c>
      <c r="K9" s="52">
        <v>818</v>
      </c>
      <c r="L9" s="52">
        <v>701</v>
      </c>
      <c r="M9" s="52">
        <v>27</v>
      </c>
      <c r="N9" s="43">
        <f t="shared" si="2"/>
        <v>674</v>
      </c>
      <c r="O9" s="27">
        <f t="shared" si="3"/>
        <v>0.89496717724288843</v>
      </c>
      <c r="P9" s="27">
        <f t="shared" si="4"/>
        <v>0.85696821515892418</v>
      </c>
      <c r="Q9" s="27">
        <f t="shared" si="5"/>
        <v>0.96148359486447932</v>
      </c>
      <c r="R9" s="44">
        <f t="shared" si="6"/>
        <v>0.73741794310722097</v>
      </c>
      <c r="S9" s="45">
        <f t="shared" si="7"/>
        <v>0.8520833333333333</v>
      </c>
    </row>
    <row r="10" spans="2:19" ht="21.75" customHeight="1" x14ac:dyDescent="0.25">
      <c r="B10" s="35">
        <v>46027</v>
      </c>
      <c r="C10" s="36">
        <f t="shared" si="0"/>
        <v>2</v>
      </c>
      <c r="D10" s="37" t="s">
        <v>52</v>
      </c>
      <c r="E10" s="38" t="s">
        <v>22</v>
      </c>
      <c r="F10" s="39">
        <v>480</v>
      </c>
      <c r="G10" s="39">
        <v>33</v>
      </c>
      <c r="H10" s="39">
        <v>61</v>
      </c>
      <c r="I10" s="40" t="s">
        <v>53</v>
      </c>
      <c r="J10" s="41">
        <f t="shared" si="1"/>
        <v>386</v>
      </c>
      <c r="K10" s="42">
        <v>579</v>
      </c>
      <c r="L10" s="42">
        <v>470</v>
      </c>
      <c r="M10" s="42">
        <v>30</v>
      </c>
      <c r="N10" s="43">
        <f t="shared" si="2"/>
        <v>440</v>
      </c>
      <c r="O10" s="19">
        <f t="shared" si="3"/>
        <v>0.86353467561521258</v>
      </c>
      <c r="P10" s="19">
        <f t="shared" si="4"/>
        <v>0.81174438687392059</v>
      </c>
      <c r="Q10" s="19">
        <f t="shared" si="5"/>
        <v>0.93617021276595747</v>
      </c>
      <c r="R10" s="44">
        <f t="shared" si="6"/>
        <v>0.65622669649515297</v>
      </c>
      <c r="S10" s="45">
        <f t="shared" si="7"/>
        <v>0.8041666666666667</v>
      </c>
    </row>
    <row r="11" spans="2:19" ht="21.75" customHeight="1" x14ac:dyDescent="0.25">
      <c r="B11" s="46">
        <v>46027</v>
      </c>
      <c r="C11" s="47">
        <f t="shared" si="0"/>
        <v>2</v>
      </c>
      <c r="D11" s="48" t="s">
        <v>52</v>
      </c>
      <c r="E11" s="49" t="s">
        <v>23</v>
      </c>
      <c r="F11" s="50">
        <v>480</v>
      </c>
      <c r="G11" s="50">
        <v>23</v>
      </c>
      <c r="H11" s="50">
        <v>157</v>
      </c>
      <c r="I11" s="51" t="s">
        <v>55</v>
      </c>
      <c r="J11" s="41">
        <f t="shared" si="1"/>
        <v>300</v>
      </c>
      <c r="K11" s="52">
        <v>300</v>
      </c>
      <c r="L11" s="52">
        <v>255</v>
      </c>
      <c r="M11" s="52">
        <v>21</v>
      </c>
      <c r="N11" s="43">
        <f t="shared" si="2"/>
        <v>234</v>
      </c>
      <c r="O11" s="27">
        <f t="shared" si="3"/>
        <v>0.65645514223194745</v>
      </c>
      <c r="P11" s="27">
        <f t="shared" si="4"/>
        <v>0.85</v>
      </c>
      <c r="Q11" s="27">
        <f t="shared" si="5"/>
        <v>0.91764705882352937</v>
      </c>
      <c r="R11" s="44">
        <f t="shared" si="6"/>
        <v>0.51203501094091908</v>
      </c>
      <c r="S11" s="45">
        <f t="shared" si="7"/>
        <v>0.625</v>
      </c>
    </row>
    <row r="12" spans="2:19" ht="21.75" customHeight="1" x14ac:dyDescent="0.25">
      <c r="B12" s="35">
        <v>46027</v>
      </c>
      <c r="C12" s="36">
        <f t="shared" si="0"/>
        <v>2</v>
      </c>
      <c r="D12" s="37" t="s">
        <v>56</v>
      </c>
      <c r="E12" s="38" t="s">
        <v>23</v>
      </c>
      <c r="F12" s="39">
        <v>480</v>
      </c>
      <c r="G12" s="39">
        <v>24</v>
      </c>
      <c r="H12" s="39">
        <v>145</v>
      </c>
      <c r="I12" s="40" t="s">
        <v>54</v>
      </c>
      <c r="J12" s="41">
        <f t="shared" si="1"/>
        <v>311</v>
      </c>
      <c r="K12" s="42">
        <v>311</v>
      </c>
      <c r="L12" s="42">
        <v>257</v>
      </c>
      <c r="M12" s="42">
        <v>33</v>
      </c>
      <c r="N12" s="43">
        <f t="shared" si="2"/>
        <v>224</v>
      </c>
      <c r="O12" s="19">
        <f t="shared" si="3"/>
        <v>0.68201754385964908</v>
      </c>
      <c r="P12" s="19">
        <f t="shared" si="4"/>
        <v>0.82636655948553051</v>
      </c>
      <c r="Q12" s="19">
        <f t="shared" si="5"/>
        <v>0.87159533073929962</v>
      </c>
      <c r="R12" s="44">
        <f t="shared" si="6"/>
        <v>0.49122807017543851</v>
      </c>
      <c r="S12" s="45">
        <f t="shared" si="7"/>
        <v>0.6479166666666667</v>
      </c>
    </row>
    <row r="13" spans="2:19" ht="21.75" customHeight="1" x14ac:dyDescent="0.25">
      <c r="B13" s="46">
        <v>46027</v>
      </c>
      <c r="C13" s="47">
        <f t="shared" si="0"/>
        <v>2</v>
      </c>
      <c r="D13" s="48" t="s">
        <v>52</v>
      </c>
      <c r="E13" s="49" t="s">
        <v>24</v>
      </c>
      <c r="F13" s="50">
        <v>480</v>
      </c>
      <c r="G13" s="50">
        <v>32</v>
      </c>
      <c r="H13" s="50">
        <v>78</v>
      </c>
      <c r="I13" s="51" t="s">
        <v>54</v>
      </c>
      <c r="J13" s="41">
        <f t="shared" si="1"/>
        <v>370</v>
      </c>
      <c r="K13" s="52">
        <v>370</v>
      </c>
      <c r="L13" s="52">
        <v>302</v>
      </c>
      <c r="M13" s="52">
        <v>20</v>
      </c>
      <c r="N13" s="43">
        <f t="shared" si="2"/>
        <v>282</v>
      </c>
      <c r="O13" s="27">
        <f t="shared" si="3"/>
        <v>0.8258928571428571</v>
      </c>
      <c r="P13" s="27">
        <f t="shared" si="4"/>
        <v>0.81621621621621621</v>
      </c>
      <c r="Q13" s="27">
        <f t="shared" si="5"/>
        <v>0.93377483443708609</v>
      </c>
      <c r="R13" s="44">
        <f t="shared" si="6"/>
        <v>0.6294642857142857</v>
      </c>
      <c r="S13" s="45">
        <f t="shared" si="7"/>
        <v>0.77083333333333337</v>
      </c>
    </row>
    <row r="14" spans="2:19" ht="21.75" customHeight="1" x14ac:dyDescent="0.25">
      <c r="B14" s="35">
        <v>46027</v>
      </c>
      <c r="C14" s="36">
        <f t="shared" si="0"/>
        <v>2</v>
      </c>
      <c r="D14" s="37" t="s">
        <v>56</v>
      </c>
      <c r="E14" s="38" t="s">
        <v>25</v>
      </c>
      <c r="F14" s="39">
        <v>480</v>
      </c>
      <c r="G14" s="39">
        <v>38</v>
      </c>
      <c r="H14" s="39">
        <v>91</v>
      </c>
      <c r="I14" s="40" t="s">
        <v>57</v>
      </c>
      <c r="J14" s="41">
        <f t="shared" si="1"/>
        <v>351</v>
      </c>
      <c r="K14" s="42">
        <v>877</v>
      </c>
      <c r="L14" s="42">
        <v>769</v>
      </c>
      <c r="M14" s="42">
        <v>1</v>
      </c>
      <c r="N14" s="43">
        <f t="shared" si="2"/>
        <v>768</v>
      </c>
      <c r="O14" s="19">
        <f t="shared" si="3"/>
        <v>0.79411764705882348</v>
      </c>
      <c r="P14" s="19">
        <f t="shared" si="4"/>
        <v>0.87685290763968071</v>
      </c>
      <c r="Q14" s="19">
        <f t="shared" si="5"/>
        <v>0.99869960988296491</v>
      </c>
      <c r="R14" s="44">
        <f t="shared" si="6"/>
        <v>0.69541887450533224</v>
      </c>
      <c r="S14" s="45">
        <f t="shared" si="7"/>
        <v>0.73124999999999996</v>
      </c>
    </row>
    <row r="15" spans="2:19" ht="21.75" customHeight="1" x14ac:dyDescent="0.25">
      <c r="B15" s="46">
        <v>46027</v>
      </c>
      <c r="C15" s="47">
        <f t="shared" si="0"/>
        <v>2</v>
      </c>
      <c r="D15" s="48" t="s">
        <v>56</v>
      </c>
      <c r="E15" s="49" t="s">
        <v>27</v>
      </c>
      <c r="F15" s="50">
        <v>480</v>
      </c>
      <c r="G15" s="50">
        <v>44</v>
      </c>
      <c r="H15" s="50">
        <v>97</v>
      </c>
      <c r="I15" s="51" t="s">
        <v>58</v>
      </c>
      <c r="J15" s="41">
        <f t="shared" si="1"/>
        <v>339</v>
      </c>
      <c r="K15" s="52">
        <v>254</v>
      </c>
      <c r="L15" s="52">
        <v>193</v>
      </c>
      <c r="M15" s="52">
        <v>12</v>
      </c>
      <c r="N15" s="43">
        <f t="shared" si="2"/>
        <v>181</v>
      </c>
      <c r="O15" s="27">
        <f t="shared" si="3"/>
        <v>0.77752293577981646</v>
      </c>
      <c r="P15" s="27">
        <f t="shared" si="4"/>
        <v>0.75984251968503935</v>
      </c>
      <c r="Q15" s="27">
        <f t="shared" si="5"/>
        <v>0.93782383419689119</v>
      </c>
      <c r="R15" s="44">
        <f t="shared" si="6"/>
        <v>0.55406161959112898</v>
      </c>
      <c r="S15" s="45">
        <f t="shared" si="7"/>
        <v>0.70625000000000004</v>
      </c>
    </row>
    <row r="16" spans="2:19" ht="21.75" customHeight="1" x14ac:dyDescent="0.25">
      <c r="B16" s="35">
        <v>46028</v>
      </c>
      <c r="C16" s="36">
        <f t="shared" si="0"/>
        <v>2</v>
      </c>
      <c r="D16" s="37" t="s">
        <v>56</v>
      </c>
      <c r="E16" s="38" t="s">
        <v>23</v>
      </c>
      <c r="F16" s="39">
        <v>480</v>
      </c>
      <c r="G16" s="39">
        <v>24</v>
      </c>
      <c r="H16" s="39">
        <v>138</v>
      </c>
      <c r="I16" s="40" t="s">
        <v>53</v>
      </c>
      <c r="J16" s="41">
        <f t="shared" si="1"/>
        <v>318</v>
      </c>
      <c r="K16" s="42">
        <v>318</v>
      </c>
      <c r="L16" s="42">
        <v>268</v>
      </c>
      <c r="M16" s="42">
        <v>23</v>
      </c>
      <c r="N16" s="43">
        <f t="shared" si="2"/>
        <v>245</v>
      </c>
      <c r="O16" s="19">
        <f t="shared" si="3"/>
        <v>0.69736842105263153</v>
      </c>
      <c r="P16" s="19">
        <f t="shared" si="4"/>
        <v>0.84276729559748431</v>
      </c>
      <c r="Q16" s="19">
        <f t="shared" si="5"/>
        <v>0.91417910447761197</v>
      </c>
      <c r="R16" s="44">
        <f t="shared" si="6"/>
        <v>0.53728070175438591</v>
      </c>
      <c r="S16" s="45">
        <f t="shared" si="7"/>
        <v>0.66249999999999998</v>
      </c>
    </row>
    <row r="17" spans="2:19" ht="21.75" customHeight="1" x14ac:dyDescent="0.25">
      <c r="B17" s="46">
        <v>46028</v>
      </c>
      <c r="C17" s="47">
        <f t="shared" si="0"/>
        <v>2</v>
      </c>
      <c r="D17" s="48" t="s">
        <v>56</v>
      </c>
      <c r="E17" s="49" t="s">
        <v>24</v>
      </c>
      <c r="F17" s="50">
        <v>480</v>
      </c>
      <c r="G17" s="50">
        <v>38</v>
      </c>
      <c r="H17" s="50">
        <v>100</v>
      </c>
      <c r="I17" s="51" t="s">
        <v>53</v>
      </c>
      <c r="J17" s="41">
        <f t="shared" si="1"/>
        <v>342</v>
      </c>
      <c r="K17" s="52">
        <v>342</v>
      </c>
      <c r="L17" s="52">
        <v>278</v>
      </c>
      <c r="M17" s="52">
        <v>26</v>
      </c>
      <c r="N17" s="43">
        <f t="shared" si="2"/>
        <v>252</v>
      </c>
      <c r="O17" s="27">
        <f t="shared" si="3"/>
        <v>0.77375565610859731</v>
      </c>
      <c r="P17" s="27">
        <f t="shared" si="4"/>
        <v>0.8128654970760234</v>
      </c>
      <c r="Q17" s="27">
        <f t="shared" si="5"/>
        <v>0.90647482014388492</v>
      </c>
      <c r="R17" s="44">
        <f t="shared" si="6"/>
        <v>0.57013574660633481</v>
      </c>
      <c r="S17" s="45">
        <f t="shared" si="7"/>
        <v>0.71250000000000002</v>
      </c>
    </row>
    <row r="18" spans="2:19" ht="21.75" customHeight="1" x14ac:dyDescent="0.25">
      <c r="B18" s="35">
        <v>46028</v>
      </c>
      <c r="C18" s="36">
        <f t="shared" si="0"/>
        <v>2</v>
      </c>
      <c r="D18" s="37" t="s">
        <v>56</v>
      </c>
      <c r="E18" s="38" t="s">
        <v>25</v>
      </c>
      <c r="F18" s="39">
        <v>480</v>
      </c>
      <c r="G18" s="39">
        <v>38</v>
      </c>
      <c r="H18" s="39">
        <v>46</v>
      </c>
      <c r="I18" s="40" t="s">
        <v>59</v>
      </c>
      <c r="J18" s="41">
        <f t="shared" si="1"/>
        <v>396</v>
      </c>
      <c r="K18" s="42">
        <v>990</v>
      </c>
      <c r="L18" s="42">
        <v>838</v>
      </c>
      <c r="M18" s="42">
        <v>7</v>
      </c>
      <c r="N18" s="43">
        <f t="shared" si="2"/>
        <v>831</v>
      </c>
      <c r="O18" s="19">
        <f t="shared" si="3"/>
        <v>0.89592760180995479</v>
      </c>
      <c r="P18" s="19">
        <f t="shared" si="4"/>
        <v>0.84646464646464648</v>
      </c>
      <c r="Q18" s="19">
        <f t="shared" si="5"/>
        <v>0.99164677804295942</v>
      </c>
      <c r="R18" s="44">
        <f t="shared" si="6"/>
        <v>0.75203619909502273</v>
      </c>
      <c r="S18" s="45">
        <f t="shared" si="7"/>
        <v>0.82499999999999996</v>
      </c>
    </row>
    <row r="19" spans="2:19" ht="21.75" customHeight="1" x14ac:dyDescent="0.25">
      <c r="B19" s="46">
        <v>46028</v>
      </c>
      <c r="C19" s="47">
        <f t="shared" si="0"/>
        <v>2</v>
      </c>
      <c r="D19" s="48" t="s">
        <v>56</v>
      </c>
      <c r="E19" s="49" t="s">
        <v>26</v>
      </c>
      <c r="F19" s="50">
        <v>480</v>
      </c>
      <c r="G19" s="50">
        <v>34</v>
      </c>
      <c r="H19" s="50">
        <v>43</v>
      </c>
      <c r="I19" s="51" t="s">
        <v>53</v>
      </c>
      <c r="J19" s="41">
        <f t="shared" si="1"/>
        <v>403</v>
      </c>
      <c r="K19" s="52">
        <v>2015</v>
      </c>
      <c r="L19" s="52">
        <v>1811</v>
      </c>
      <c r="M19" s="52">
        <v>57</v>
      </c>
      <c r="N19" s="43">
        <f t="shared" si="2"/>
        <v>1754</v>
      </c>
      <c r="O19" s="27">
        <f t="shared" si="3"/>
        <v>0.9035874439461884</v>
      </c>
      <c r="P19" s="27">
        <f t="shared" si="4"/>
        <v>0.89875930521091807</v>
      </c>
      <c r="Q19" s="27">
        <f t="shared" si="5"/>
        <v>0.96852567642186638</v>
      </c>
      <c r="R19" s="44">
        <f t="shared" si="6"/>
        <v>0.78654708520179373</v>
      </c>
      <c r="S19" s="45">
        <f t="shared" si="7"/>
        <v>0.83958333333333335</v>
      </c>
    </row>
    <row r="20" spans="2:19" ht="21.75" customHeight="1" x14ac:dyDescent="0.25">
      <c r="B20" s="35">
        <v>46028</v>
      </c>
      <c r="C20" s="36">
        <f t="shared" si="0"/>
        <v>2</v>
      </c>
      <c r="D20" s="37" t="s">
        <v>56</v>
      </c>
      <c r="E20" s="38" t="s">
        <v>27</v>
      </c>
      <c r="F20" s="39">
        <v>480</v>
      </c>
      <c r="G20" s="39">
        <v>42</v>
      </c>
      <c r="H20" s="39">
        <v>121</v>
      </c>
      <c r="I20" s="40" t="s">
        <v>59</v>
      </c>
      <c r="J20" s="41">
        <f t="shared" si="1"/>
        <v>317</v>
      </c>
      <c r="K20" s="42">
        <v>237</v>
      </c>
      <c r="L20" s="42">
        <v>187</v>
      </c>
      <c r="M20" s="42">
        <v>17</v>
      </c>
      <c r="N20" s="43">
        <f t="shared" si="2"/>
        <v>170</v>
      </c>
      <c r="O20" s="19">
        <f t="shared" si="3"/>
        <v>0.72374429223744297</v>
      </c>
      <c r="P20" s="19">
        <f t="shared" si="4"/>
        <v>0.78902953586497893</v>
      </c>
      <c r="Q20" s="19">
        <f t="shared" si="5"/>
        <v>0.90909090909090906</v>
      </c>
      <c r="R20" s="44">
        <f t="shared" si="6"/>
        <v>0.51914147544457934</v>
      </c>
      <c r="S20" s="45">
        <f t="shared" si="7"/>
        <v>0.66041666666666665</v>
      </c>
    </row>
    <row r="21" spans="2:19" ht="21.75" customHeight="1" x14ac:dyDescent="0.25">
      <c r="B21" s="46">
        <v>46029</v>
      </c>
      <c r="C21" s="47">
        <f t="shared" si="0"/>
        <v>2</v>
      </c>
      <c r="D21" s="48" t="s">
        <v>52</v>
      </c>
      <c r="E21" s="49" t="s">
        <v>20</v>
      </c>
      <c r="F21" s="50">
        <v>480</v>
      </c>
      <c r="G21" s="50">
        <v>43</v>
      </c>
      <c r="H21" s="50">
        <v>32</v>
      </c>
      <c r="I21" s="51" t="s">
        <v>58</v>
      </c>
      <c r="J21" s="41">
        <f t="shared" si="1"/>
        <v>405</v>
      </c>
      <c r="K21" s="52">
        <v>810</v>
      </c>
      <c r="L21" s="52">
        <v>768</v>
      </c>
      <c r="M21" s="52">
        <v>42</v>
      </c>
      <c r="N21" s="43">
        <f t="shared" si="2"/>
        <v>726</v>
      </c>
      <c r="O21" s="27">
        <f t="shared" si="3"/>
        <v>0.92677345537757438</v>
      </c>
      <c r="P21" s="27">
        <f t="shared" si="4"/>
        <v>0.94814814814814818</v>
      </c>
      <c r="Q21" s="27">
        <f t="shared" si="5"/>
        <v>0.9453125</v>
      </c>
      <c r="R21" s="44">
        <f t="shared" si="6"/>
        <v>0.83066361556064083</v>
      </c>
      <c r="S21" s="45">
        <f t="shared" si="7"/>
        <v>0.84375</v>
      </c>
    </row>
    <row r="22" spans="2:19" ht="21.75" customHeight="1" x14ac:dyDescent="0.25">
      <c r="B22" s="35">
        <v>46029</v>
      </c>
      <c r="C22" s="36">
        <f t="shared" si="0"/>
        <v>2</v>
      </c>
      <c r="D22" s="37" t="s">
        <v>52</v>
      </c>
      <c r="E22" s="38" t="s">
        <v>21</v>
      </c>
      <c r="F22" s="39">
        <v>480</v>
      </c>
      <c r="G22" s="39">
        <v>44</v>
      </c>
      <c r="H22" s="39">
        <v>45</v>
      </c>
      <c r="I22" s="40" t="s">
        <v>53</v>
      </c>
      <c r="J22" s="41">
        <f t="shared" si="1"/>
        <v>391</v>
      </c>
      <c r="K22" s="42">
        <v>782</v>
      </c>
      <c r="L22" s="42">
        <v>759</v>
      </c>
      <c r="M22" s="42">
        <v>33</v>
      </c>
      <c r="N22" s="43">
        <f t="shared" si="2"/>
        <v>726</v>
      </c>
      <c r="O22" s="19">
        <f t="shared" si="3"/>
        <v>0.89678899082568808</v>
      </c>
      <c r="P22" s="19">
        <f t="shared" si="4"/>
        <v>0.97058823529411764</v>
      </c>
      <c r="Q22" s="19">
        <f t="shared" si="5"/>
        <v>0.95652173913043481</v>
      </c>
      <c r="R22" s="44">
        <f t="shared" si="6"/>
        <v>0.8325688073394496</v>
      </c>
      <c r="S22" s="45">
        <f t="shared" si="7"/>
        <v>0.81458333333333333</v>
      </c>
    </row>
    <row r="23" spans="2:19" ht="21.75" customHeight="1" x14ac:dyDescent="0.25">
      <c r="B23" s="46">
        <v>46029</v>
      </c>
      <c r="C23" s="47">
        <f t="shared" si="0"/>
        <v>2</v>
      </c>
      <c r="D23" s="48" t="s">
        <v>52</v>
      </c>
      <c r="E23" s="49" t="s">
        <v>22</v>
      </c>
      <c r="F23" s="50">
        <v>480</v>
      </c>
      <c r="G23" s="50">
        <v>22</v>
      </c>
      <c r="H23" s="50">
        <v>94</v>
      </c>
      <c r="I23" s="51" t="s">
        <v>60</v>
      </c>
      <c r="J23" s="41">
        <f t="shared" si="1"/>
        <v>364</v>
      </c>
      <c r="K23" s="52">
        <v>546</v>
      </c>
      <c r="L23" s="52">
        <v>477</v>
      </c>
      <c r="M23" s="52">
        <v>17</v>
      </c>
      <c r="N23" s="43">
        <f t="shared" si="2"/>
        <v>460</v>
      </c>
      <c r="O23" s="27">
        <f t="shared" si="3"/>
        <v>0.79475982532751088</v>
      </c>
      <c r="P23" s="27">
        <f t="shared" si="4"/>
        <v>0.87362637362637363</v>
      </c>
      <c r="Q23" s="27">
        <f t="shared" si="5"/>
        <v>0.96436058700209648</v>
      </c>
      <c r="R23" s="44">
        <f t="shared" si="6"/>
        <v>0.66957787481804942</v>
      </c>
      <c r="S23" s="45">
        <f t="shared" si="7"/>
        <v>0.7583333333333333</v>
      </c>
    </row>
    <row r="24" spans="2:19" ht="21.75" customHeight="1" x14ac:dyDescent="0.25">
      <c r="B24" s="35">
        <v>46029</v>
      </c>
      <c r="C24" s="36">
        <f t="shared" si="0"/>
        <v>2</v>
      </c>
      <c r="D24" s="37" t="s">
        <v>56</v>
      </c>
      <c r="E24" s="38" t="s">
        <v>22</v>
      </c>
      <c r="F24" s="39">
        <v>480</v>
      </c>
      <c r="G24" s="39">
        <v>43</v>
      </c>
      <c r="H24" s="39">
        <v>63</v>
      </c>
      <c r="I24" s="40" t="s">
        <v>57</v>
      </c>
      <c r="J24" s="41">
        <f t="shared" si="1"/>
        <v>374</v>
      </c>
      <c r="K24" s="42">
        <v>561</v>
      </c>
      <c r="L24" s="42">
        <v>442</v>
      </c>
      <c r="M24" s="42">
        <v>23</v>
      </c>
      <c r="N24" s="43">
        <f t="shared" si="2"/>
        <v>419</v>
      </c>
      <c r="O24" s="19">
        <f t="shared" si="3"/>
        <v>0.85583524027459956</v>
      </c>
      <c r="P24" s="19">
        <f t="shared" si="4"/>
        <v>0.78787878787878785</v>
      </c>
      <c r="Q24" s="19">
        <f t="shared" si="5"/>
        <v>0.94796380090497734</v>
      </c>
      <c r="R24" s="44">
        <f t="shared" si="6"/>
        <v>0.639206712433257</v>
      </c>
      <c r="S24" s="45">
        <f t="shared" si="7"/>
        <v>0.77916666666666667</v>
      </c>
    </row>
    <row r="25" spans="2:19" ht="21.75" customHeight="1" x14ac:dyDescent="0.25">
      <c r="B25" s="46">
        <v>46029</v>
      </c>
      <c r="C25" s="47">
        <f t="shared" si="0"/>
        <v>2</v>
      </c>
      <c r="D25" s="48" t="s">
        <v>52</v>
      </c>
      <c r="E25" s="49" t="s">
        <v>23</v>
      </c>
      <c r="F25" s="50">
        <v>480</v>
      </c>
      <c r="G25" s="50">
        <v>31</v>
      </c>
      <c r="H25" s="50">
        <v>138</v>
      </c>
      <c r="I25" s="51" t="s">
        <v>53</v>
      </c>
      <c r="J25" s="41">
        <f t="shared" si="1"/>
        <v>311</v>
      </c>
      <c r="K25" s="52">
        <v>311</v>
      </c>
      <c r="L25" s="52">
        <v>262</v>
      </c>
      <c r="M25" s="52">
        <v>24</v>
      </c>
      <c r="N25" s="43">
        <f t="shared" si="2"/>
        <v>238</v>
      </c>
      <c r="O25" s="27">
        <f t="shared" si="3"/>
        <v>0.69265033407572385</v>
      </c>
      <c r="P25" s="27">
        <f t="shared" si="4"/>
        <v>0.842443729903537</v>
      </c>
      <c r="Q25" s="27">
        <f t="shared" si="5"/>
        <v>0.90839694656488545</v>
      </c>
      <c r="R25" s="44">
        <f t="shared" si="6"/>
        <v>0.53006681514476617</v>
      </c>
      <c r="S25" s="45">
        <f t="shared" si="7"/>
        <v>0.6479166666666667</v>
      </c>
    </row>
    <row r="26" spans="2:19" ht="21.75" customHeight="1" x14ac:dyDescent="0.25">
      <c r="B26" s="35">
        <v>46029</v>
      </c>
      <c r="C26" s="36">
        <f t="shared" si="0"/>
        <v>2</v>
      </c>
      <c r="D26" s="37" t="s">
        <v>56</v>
      </c>
      <c r="E26" s="38" t="s">
        <v>23</v>
      </c>
      <c r="F26" s="39">
        <v>480</v>
      </c>
      <c r="G26" s="39">
        <v>37</v>
      </c>
      <c r="H26" s="39">
        <v>138</v>
      </c>
      <c r="I26" s="40" t="s">
        <v>53</v>
      </c>
      <c r="J26" s="41">
        <f t="shared" si="1"/>
        <v>305</v>
      </c>
      <c r="K26" s="42">
        <v>305</v>
      </c>
      <c r="L26" s="42">
        <v>264</v>
      </c>
      <c r="M26" s="42">
        <v>17</v>
      </c>
      <c r="N26" s="43">
        <f t="shared" si="2"/>
        <v>247</v>
      </c>
      <c r="O26" s="19">
        <f t="shared" si="3"/>
        <v>0.68848758465011284</v>
      </c>
      <c r="P26" s="19">
        <f t="shared" si="4"/>
        <v>0.86557377049180328</v>
      </c>
      <c r="Q26" s="19">
        <f t="shared" si="5"/>
        <v>0.93560606060606055</v>
      </c>
      <c r="R26" s="44">
        <f t="shared" si="6"/>
        <v>0.5575620767494357</v>
      </c>
      <c r="S26" s="45">
        <f t="shared" si="7"/>
        <v>0.63541666666666663</v>
      </c>
    </row>
    <row r="27" spans="2:19" ht="21.75" customHeight="1" x14ac:dyDescent="0.25">
      <c r="B27" s="46">
        <v>46029</v>
      </c>
      <c r="C27" s="47">
        <f t="shared" si="0"/>
        <v>2</v>
      </c>
      <c r="D27" s="48" t="s">
        <v>52</v>
      </c>
      <c r="E27" s="49" t="s">
        <v>24</v>
      </c>
      <c r="F27" s="50">
        <v>480</v>
      </c>
      <c r="G27" s="50">
        <v>50</v>
      </c>
      <c r="H27" s="50">
        <v>84</v>
      </c>
      <c r="I27" s="51" t="s">
        <v>53</v>
      </c>
      <c r="J27" s="41">
        <f t="shared" si="1"/>
        <v>346</v>
      </c>
      <c r="K27" s="52">
        <v>346</v>
      </c>
      <c r="L27" s="52">
        <v>304</v>
      </c>
      <c r="M27" s="52">
        <v>29</v>
      </c>
      <c r="N27" s="43">
        <f t="shared" si="2"/>
        <v>275</v>
      </c>
      <c r="O27" s="27">
        <f t="shared" si="3"/>
        <v>0.8046511627906977</v>
      </c>
      <c r="P27" s="27">
        <f t="shared" si="4"/>
        <v>0.87861271676300579</v>
      </c>
      <c r="Q27" s="27">
        <f t="shared" si="5"/>
        <v>0.90460526315789469</v>
      </c>
      <c r="R27" s="44">
        <f t="shared" si="6"/>
        <v>0.63953488372093015</v>
      </c>
      <c r="S27" s="45">
        <f t="shared" si="7"/>
        <v>0.72083333333333333</v>
      </c>
    </row>
    <row r="28" spans="2:19" ht="21.75" customHeight="1" x14ac:dyDescent="0.25">
      <c r="B28" s="35">
        <v>46029</v>
      </c>
      <c r="C28" s="36">
        <f t="shared" si="0"/>
        <v>2</v>
      </c>
      <c r="D28" s="37" t="s">
        <v>56</v>
      </c>
      <c r="E28" s="38" t="s">
        <v>24</v>
      </c>
      <c r="F28" s="39">
        <v>480</v>
      </c>
      <c r="G28" s="39">
        <v>27</v>
      </c>
      <c r="H28" s="39">
        <v>88</v>
      </c>
      <c r="I28" s="40" t="s">
        <v>54</v>
      </c>
      <c r="J28" s="41">
        <f t="shared" si="1"/>
        <v>365</v>
      </c>
      <c r="K28" s="42">
        <v>365</v>
      </c>
      <c r="L28" s="42">
        <v>283</v>
      </c>
      <c r="M28" s="42">
        <v>29</v>
      </c>
      <c r="N28" s="43">
        <f t="shared" si="2"/>
        <v>254</v>
      </c>
      <c r="O28" s="19">
        <f t="shared" si="3"/>
        <v>0.80573951434878588</v>
      </c>
      <c r="P28" s="19">
        <f t="shared" si="4"/>
        <v>0.77534246575342469</v>
      </c>
      <c r="Q28" s="19">
        <f t="shared" si="5"/>
        <v>0.8975265017667845</v>
      </c>
      <c r="R28" s="44">
        <f t="shared" si="6"/>
        <v>0.5607064017660045</v>
      </c>
      <c r="S28" s="45">
        <f t="shared" si="7"/>
        <v>0.76041666666666663</v>
      </c>
    </row>
    <row r="29" spans="2:19" ht="21.75" customHeight="1" x14ac:dyDescent="0.25">
      <c r="B29" s="46">
        <v>46030</v>
      </c>
      <c r="C29" s="47">
        <f t="shared" si="0"/>
        <v>2</v>
      </c>
      <c r="D29" s="48" t="s">
        <v>56</v>
      </c>
      <c r="E29" s="49" t="s">
        <v>23</v>
      </c>
      <c r="F29" s="50">
        <v>480</v>
      </c>
      <c r="G29" s="50">
        <v>29</v>
      </c>
      <c r="H29" s="50">
        <v>141</v>
      </c>
      <c r="I29" s="51" t="s">
        <v>54</v>
      </c>
      <c r="J29" s="41">
        <f t="shared" si="1"/>
        <v>310</v>
      </c>
      <c r="K29" s="52">
        <v>310</v>
      </c>
      <c r="L29" s="52">
        <v>278</v>
      </c>
      <c r="M29" s="52">
        <v>19</v>
      </c>
      <c r="N29" s="43">
        <f t="shared" si="2"/>
        <v>259</v>
      </c>
      <c r="O29" s="27">
        <f t="shared" si="3"/>
        <v>0.68736141906873616</v>
      </c>
      <c r="P29" s="27">
        <f t="shared" si="4"/>
        <v>0.89677419354838706</v>
      </c>
      <c r="Q29" s="27">
        <f t="shared" si="5"/>
        <v>0.93165467625899279</v>
      </c>
      <c r="R29" s="44">
        <f t="shared" si="6"/>
        <v>0.57427937915742788</v>
      </c>
      <c r="S29" s="45">
        <f t="shared" si="7"/>
        <v>0.64583333333333337</v>
      </c>
    </row>
    <row r="30" spans="2:19" ht="21.75" customHeight="1" x14ac:dyDescent="0.25">
      <c r="B30" s="35">
        <v>46030</v>
      </c>
      <c r="C30" s="36">
        <f t="shared" si="0"/>
        <v>2</v>
      </c>
      <c r="D30" s="37" t="s">
        <v>56</v>
      </c>
      <c r="E30" s="38" t="s">
        <v>24</v>
      </c>
      <c r="F30" s="39">
        <v>480</v>
      </c>
      <c r="G30" s="39">
        <v>48</v>
      </c>
      <c r="H30" s="39">
        <v>102</v>
      </c>
      <c r="I30" s="40" t="s">
        <v>53</v>
      </c>
      <c r="J30" s="41">
        <f t="shared" si="1"/>
        <v>330</v>
      </c>
      <c r="K30" s="42">
        <v>330</v>
      </c>
      <c r="L30" s="42">
        <v>261</v>
      </c>
      <c r="M30" s="42">
        <v>18</v>
      </c>
      <c r="N30" s="43">
        <f t="shared" si="2"/>
        <v>243</v>
      </c>
      <c r="O30" s="19">
        <f t="shared" si="3"/>
        <v>0.76388888888888884</v>
      </c>
      <c r="P30" s="19">
        <f t="shared" si="4"/>
        <v>0.79090909090909089</v>
      </c>
      <c r="Q30" s="19">
        <f t="shared" si="5"/>
        <v>0.93103448275862066</v>
      </c>
      <c r="R30" s="44">
        <f t="shared" si="6"/>
        <v>0.5625</v>
      </c>
      <c r="S30" s="45">
        <f t="shared" si="7"/>
        <v>0.6875</v>
      </c>
    </row>
    <row r="31" spans="2:19" ht="21.75" customHeight="1" x14ac:dyDescent="0.25">
      <c r="B31" s="46">
        <v>46030</v>
      </c>
      <c r="C31" s="47">
        <f t="shared" si="0"/>
        <v>2</v>
      </c>
      <c r="D31" s="48" t="s">
        <v>56</v>
      </c>
      <c r="E31" s="49" t="s">
        <v>25</v>
      </c>
      <c r="F31" s="50">
        <v>480</v>
      </c>
      <c r="G31" s="50">
        <v>35</v>
      </c>
      <c r="H31" s="50">
        <v>47</v>
      </c>
      <c r="I31" s="51" t="s">
        <v>54</v>
      </c>
      <c r="J31" s="41">
        <f t="shared" si="1"/>
        <v>398</v>
      </c>
      <c r="K31" s="52">
        <v>995</v>
      </c>
      <c r="L31" s="52">
        <v>915</v>
      </c>
      <c r="M31" s="52">
        <v>38</v>
      </c>
      <c r="N31" s="43">
        <f t="shared" si="2"/>
        <v>877</v>
      </c>
      <c r="O31" s="27">
        <f t="shared" si="3"/>
        <v>0.89438202247191012</v>
      </c>
      <c r="P31" s="27">
        <f t="shared" si="4"/>
        <v>0.91959798994974873</v>
      </c>
      <c r="Q31" s="27">
        <f t="shared" si="5"/>
        <v>0.95846994535519126</v>
      </c>
      <c r="R31" s="44">
        <f t="shared" si="6"/>
        <v>0.78831460674157305</v>
      </c>
      <c r="S31" s="45">
        <f t="shared" si="7"/>
        <v>0.82916666666666672</v>
      </c>
    </row>
    <row r="32" spans="2:19" ht="21.75" customHeight="1" x14ac:dyDescent="0.25">
      <c r="B32" s="35">
        <v>46030</v>
      </c>
      <c r="C32" s="36">
        <f t="shared" si="0"/>
        <v>2</v>
      </c>
      <c r="D32" s="37" t="s">
        <v>56</v>
      </c>
      <c r="E32" s="38" t="s">
        <v>26</v>
      </c>
      <c r="F32" s="39">
        <v>480</v>
      </c>
      <c r="G32" s="39">
        <v>49</v>
      </c>
      <c r="H32" s="39">
        <v>54</v>
      </c>
      <c r="I32" s="40" t="s">
        <v>53</v>
      </c>
      <c r="J32" s="41">
        <f t="shared" si="1"/>
        <v>377</v>
      </c>
      <c r="K32" s="42">
        <v>1885</v>
      </c>
      <c r="L32" s="42">
        <v>1603</v>
      </c>
      <c r="M32" s="42">
        <v>36</v>
      </c>
      <c r="N32" s="43">
        <f t="shared" si="2"/>
        <v>1567</v>
      </c>
      <c r="O32" s="19">
        <f t="shared" si="3"/>
        <v>0.87470997679814388</v>
      </c>
      <c r="P32" s="19">
        <f t="shared" si="4"/>
        <v>0.85039787798408484</v>
      </c>
      <c r="Q32" s="19">
        <f t="shared" si="5"/>
        <v>0.97754210854647539</v>
      </c>
      <c r="R32" s="44">
        <f t="shared" si="6"/>
        <v>0.72714617169373541</v>
      </c>
      <c r="S32" s="45">
        <f t="shared" si="7"/>
        <v>0.78541666666666665</v>
      </c>
    </row>
    <row r="33" spans="2:19" ht="21.75" customHeight="1" x14ac:dyDescent="0.25">
      <c r="B33" s="46">
        <v>46030</v>
      </c>
      <c r="C33" s="47">
        <f t="shared" si="0"/>
        <v>2</v>
      </c>
      <c r="D33" s="48" t="s">
        <v>56</v>
      </c>
      <c r="E33" s="49" t="s">
        <v>27</v>
      </c>
      <c r="F33" s="50">
        <v>480</v>
      </c>
      <c r="G33" s="50">
        <v>46</v>
      </c>
      <c r="H33" s="50">
        <v>105</v>
      </c>
      <c r="I33" s="51" t="s">
        <v>53</v>
      </c>
      <c r="J33" s="41">
        <f t="shared" si="1"/>
        <v>329</v>
      </c>
      <c r="K33" s="52">
        <v>246</v>
      </c>
      <c r="L33" s="52">
        <v>209</v>
      </c>
      <c r="M33" s="52">
        <v>14</v>
      </c>
      <c r="N33" s="43">
        <f t="shared" si="2"/>
        <v>195</v>
      </c>
      <c r="O33" s="27">
        <f t="shared" si="3"/>
        <v>0.75806451612903225</v>
      </c>
      <c r="P33" s="27">
        <f t="shared" si="4"/>
        <v>0.84959349593495936</v>
      </c>
      <c r="Q33" s="27">
        <f t="shared" si="5"/>
        <v>0.93301435406698563</v>
      </c>
      <c r="R33" s="44">
        <f t="shared" si="6"/>
        <v>0.60090479937057428</v>
      </c>
      <c r="S33" s="45">
        <f t="shared" si="7"/>
        <v>0.68541666666666667</v>
      </c>
    </row>
    <row r="34" spans="2:19" ht="21.75" customHeight="1" x14ac:dyDescent="0.25">
      <c r="B34" s="35">
        <v>46031</v>
      </c>
      <c r="C34" s="36">
        <f t="shared" si="0"/>
        <v>2</v>
      </c>
      <c r="D34" s="37" t="s">
        <v>52</v>
      </c>
      <c r="E34" s="38" t="s">
        <v>20</v>
      </c>
      <c r="F34" s="39">
        <v>480</v>
      </c>
      <c r="G34" s="39">
        <v>41</v>
      </c>
      <c r="H34" s="39">
        <v>51</v>
      </c>
      <c r="I34" s="40" t="s">
        <v>58</v>
      </c>
      <c r="J34" s="41">
        <f t="shared" si="1"/>
        <v>388</v>
      </c>
      <c r="K34" s="42">
        <v>776</v>
      </c>
      <c r="L34" s="42">
        <v>771</v>
      </c>
      <c r="M34" s="42">
        <v>39</v>
      </c>
      <c r="N34" s="43">
        <f t="shared" si="2"/>
        <v>732</v>
      </c>
      <c r="O34" s="19">
        <f t="shared" si="3"/>
        <v>0.88382687927107062</v>
      </c>
      <c r="P34" s="19">
        <f t="shared" si="4"/>
        <v>0.99355670103092786</v>
      </c>
      <c r="Q34" s="19">
        <f t="shared" si="5"/>
        <v>0.94941634241245132</v>
      </c>
      <c r="R34" s="44">
        <f t="shared" si="6"/>
        <v>0.83371298405466976</v>
      </c>
      <c r="S34" s="45">
        <f t="shared" si="7"/>
        <v>0.80833333333333335</v>
      </c>
    </row>
    <row r="35" spans="2:19" ht="21.75" customHeight="1" x14ac:dyDescent="0.25">
      <c r="B35" s="46">
        <v>46031</v>
      </c>
      <c r="C35" s="47">
        <f t="shared" si="0"/>
        <v>2</v>
      </c>
      <c r="D35" s="48" t="s">
        <v>52</v>
      </c>
      <c r="E35" s="49" t="s">
        <v>21</v>
      </c>
      <c r="F35" s="50">
        <v>480</v>
      </c>
      <c r="G35" s="50">
        <v>41</v>
      </c>
      <c r="H35" s="50">
        <v>40</v>
      </c>
      <c r="I35" s="51" t="s">
        <v>53</v>
      </c>
      <c r="J35" s="41">
        <f t="shared" si="1"/>
        <v>399</v>
      </c>
      <c r="K35" s="52">
        <v>798</v>
      </c>
      <c r="L35" s="52">
        <v>728</v>
      </c>
      <c r="M35" s="52">
        <v>25</v>
      </c>
      <c r="N35" s="43">
        <f t="shared" si="2"/>
        <v>703</v>
      </c>
      <c r="O35" s="27">
        <f t="shared" si="3"/>
        <v>0.90888382687927105</v>
      </c>
      <c r="P35" s="27">
        <f t="shared" si="4"/>
        <v>0.91228070175438591</v>
      </c>
      <c r="Q35" s="27">
        <f t="shared" si="5"/>
        <v>0.96565934065934067</v>
      </c>
      <c r="R35" s="44">
        <f t="shared" si="6"/>
        <v>0.80068337129840539</v>
      </c>
      <c r="S35" s="45">
        <f t="shared" si="7"/>
        <v>0.83125000000000004</v>
      </c>
    </row>
    <row r="36" spans="2:19" ht="21.75" customHeight="1" x14ac:dyDescent="0.25">
      <c r="B36" s="35">
        <v>46031</v>
      </c>
      <c r="C36" s="36">
        <f t="shared" si="0"/>
        <v>2</v>
      </c>
      <c r="D36" s="37" t="s">
        <v>52</v>
      </c>
      <c r="E36" s="38" t="s">
        <v>22</v>
      </c>
      <c r="F36" s="39">
        <v>480</v>
      </c>
      <c r="G36" s="39">
        <v>24</v>
      </c>
      <c r="H36" s="39">
        <v>78</v>
      </c>
      <c r="I36" s="40" t="s">
        <v>53</v>
      </c>
      <c r="J36" s="41">
        <f t="shared" si="1"/>
        <v>378</v>
      </c>
      <c r="K36" s="42">
        <v>567</v>
      </c>
      <c r="L36" s="42">
        <v>480</v>
      </c>
      <c r="M36" s="42">
        <v>26</v>
      </c>
      <c r="N36" s="43">
        <f t="shared" si="2"/>
        <v>454</v>
      </c>
      <c r="O36" s="19">
        <f t="shared" si="3"/>
        <v>0.82894736842105265</v>
      </c>
      <c r="P36" s="19">
        <f t="shared" si="4"/>
        <v>0.84656084656084651</v>
      </c>
      <c r="Q36" s="19">
        <f t="shared" si="5"/>
        <v>0.9458333333333333</v>
      </c>
      <c r="R36" s="44">
        <f t="shared" si="6"/>
        <v>0.66374269005847952</v>
      </c>
      <c r="S36" s="45">
        <f t="shared" si="7"/>
        <v>0.78749999999999998</v>
      </c>
    </row>
    <row r="37" spans="2:19" ht="21.75" customHeight="1" x14ac:dyDescent="0.25">
      <c r="B37" s="46">
        <v>46031</v>
      </c>
      <c r="C37" s="47">
        <f t="shared" si="0"/>
        <v>2</v>
      </c>
      <c r="D37" s="48" t="s">
        <v>52</v>
      </c>
      <c r="E37" s="49" t="s">
        <v>23</v>
      </c>
      <c r="F37" s="50">
        <v>480</v>
      </c>
      <c r="G37" s="50">
        <v>42</v>
      </c>
      <c r="H37" s="50">
        <v>147</v>
      </c>
      <c r="I37" s="51" t="s">
        <v>53</v>
      </c>
      <c r="J37" s="41">
        <f t="shared" si="1"/>
        <v>291</v>
      </c>
      <c r="K37" s="52">
        <v>291</v>
      </c>
      <c r="L37" s="52">
        <v>260</v>
      </c>
      <c r="M37" s="52">
        <v>20</v>
      </c>
      <c r="N37" s="43">
        <f t="shared" si="2"/>
        <v>240</v>
      </c>
      <c r="O37" s="27">
        <f t="shared" si="3"/>
        <v>0.66438356164383561</v>
      </c>
      <c r="P37" s="27">
        <f t="shared" si="4"/>
        <v>0.89347079037800692</v>
      </c>
      <c r="Q37" s="27">
        <f t="shared" si="5"/>
        <v>0.92307692307692313</v>
      </c>
      <c r="R37" s="44">
        <f t="shared" si="6"/>
        <v>0.54794520547945202</v>
      </c>
      <c r="S37" s="45">
        <f t="shared" si="7"/>
        <v>0.60624999999999996</v>
      </c>
    </row>
    <row r="38" spans="2:19" ht="21.75" customHeight="1" x14ac:dyDescent="0.25">
      <c r="B38" s="35">
        <v>46031</v>
      </c>
      <c r="C38" s="36">
        <f t="shared" si="0"/>
        <v>2</v>
      </c>
      <c r="D38" s="37" t="s">
        <v>52</v>
      </c>
      <c r="E38" s="38" t="s">
        <v>24</v>
      </c>
      <c r="F38" s="39">
        <v>480</v>
      </c>
      <c r="G38" s="39">
        <v>34</v>
      </c>
      <c r="H38" s="39">
        <v>115</v>
      </c>
      <c r="I38" s="40" t="s">
        <v>53</v>
      </c>
      <c r="J38" s="41">
        <f t="shared" si="1"/>
        <v>331</v>
      </c>
      <c r="K38" s="42">
        <v>331</v>
      </c>
      <c r="L38" s="42">
        <v>295</v>
      </c>
      <c r="M38" s="42">
        <v>14</v>
      </c>
      <c r="N38" s="43">
        <f t="shared" si="2"/>
        <v>281</v>
      </c>
      <c r="O38" s="19">
        <f t="shared" si="3"/>
        <v>0.74215246636771304</v>
      </c>
      <c r="P38" s="19">
        <f t="shared" si="4"/>
        <v>0.89123867069486407</v>
      </c>
      <c r="Q38" s="19">
        <f t="shared" si="5"/>
        <v>0.9525423728813559</v>
      </c>
      <c r="R38" s="44">
        <f t="shared" si="6"/>
        <v>0.6300448430493274</v>
      </c>
      <c r="S38" s="45">
        <f t="shared" si="7"/>
        <v>0.68958333333333333</v>
      </c>
    </row>
    <row r="39" spans="2:19" ht="21.75" customHeight="1" x14ac:dyDescent="0.25">
      <c r="B39" s="46">
        <v>46034</v>
      </c>
      <c r="C39" s="47">
        <f t="shared" si="0"/>
        <v>3</v>
      </c>
      <c r="D39" s="48" t="s">
        <v>56</v>
      </c>
      <c r="E39" s="49" t="s">
        <v>23</v>
      </c>
      <c r="F39" s="50">
        <v>480</v>
      </c>
      <c r="G39" s="50">
        <v>32</v>
      </c>
      <c r="H39" s="50">
        <v>129</v>
      </c>
      <c r="I39" s="51" t="s">
        <v>58</v>
      </c>
      <c r="J39" s="41">
        <f t="shared" si="1"/>
        <v>319</v>
      </c>
      <c r="K39" s="52">
        <v>319</v>
      </c>
      <c r="L39" s="52">
        <v>261</v>
      </c>
      <c r="M39" s="52">
        <v>23</v>
      </c>
      <c r="N39" s="43">
        <f t="shared" si="2"/>
        <v>238</v>
      </c>
      <c r="O39" s="27">
        <f t="shared" si="3"/>
        <v>0.7120535714285714</v>
      </c>
      <c r="P39" s="27">
        <f t="shared" si="4"/>
        <v>0.81818181818181823</v>
      </c>
      <c r="Q39" s="27">
        <f t="shared" si="5"/>
        <v>0.91187739463601536</v>
      </c>
      <c r="R39" s="44">
        <f t="shared" si="6"/>
        <v>0.53125</v>
      </c>
      <c r="S39" s="45">
        <f t="shared" si="7"/>
        <v>0.6645833333333333</v>
      </c>
    </row>
    <row r="40" spans="2:19" ht="21.75" customHeight="1" x14ac:dyDescent="0.25">
      <c r="B40" s="35">
        <v>46034</v>
      </c>
      <c r="C40" s="36">
        <f t="shared" ref="C40:C71" si="8">WEEKNUM(B40,21)</f>
        <v>3</v>
      </c>
      <c r="D40" s="37" t="s">
        <v>56</v>
      </c>
      <c r="E40" s="38" t="s">
        <v>24</v>
      </c>
      <c r="F40" s="39">
        <v>480</v>
      </c>
      <c r="G40" s="39">
        <v>22</v>
      </c>
      <c r="H40" s="39">
        <v>122</v>
      </c>
      <c r="I40" s="40" t="s">
        <v>53</v>
      </c>
      <c r="J40" s="41">
        <f t="shared" ref="J40:J69" si="9">F40-G40-H40</f>
        <v>336</v>
      </c>
      <c r="K40" s="42">
        <v>336</v>
      </c>
      <c r="L40" s="42">
        <v>284</v>
      </c>
      <c r="M40" s="42">
        <v>26</v>
      </c>
      <c r="N40" s="43">
        <f t="shared" ref="N40:N71" si="10">L40-M40</f>
        <v>258</v>
      </c>
      <c r="O40" s="19">
        <f t="shared" ref="O40:O69" si="11">IFERROR((F40-G40-H40)/(F40-G40),0)</f>
        <v>0.73362445414847166</v>
      </c>
      <c r="P40" s="19">
        <f t="shared" ref="P40:P69" si="12">IFERROR(L40/K40,0)</f>
        <v>0.84523809523809523</v>
      </c>
      <c r="Q40" s="19">
        <f t="shared" ref="Q40:Q69" si="13">IFERROR(N40/L40,0)</f>
        <v>0.90845070422535212</v>
      </c>
      <c r="R40" s="44">
        <f t="shared" ref="R40:R71" si="14">O40*P40*Q40</f>
        <v>0.5633187772925764</v>
      </c>
      <c r="S40" s="45">
        <f t="shared" ref="S40:S69" si="15">IFERROR(J40/F40,0)</f>
        <v>0.7</v>
      </c>
    </row>
    <row r="41" spans="2:19" ht="21.75" customHeight="1" x14ac:dyDescent="0.25">
      <c r="B41" s="46">
        <v>46034</v>
      </c>
      <c r="C41" s="47">
        <f t="shared" si="8"/>
        <v>3</v>
      </c>
      <c r="D41" s="48" t="s">
        <v>56</v>
      </c>
      <c r="E41" s="49" t="s">
        <v>25</v>
      </c>
      <c r="F41" s="50">
        <v>480</v>
      </c>
      <c r="G41" s="50">
        <v>20</v>
      </c>
      <c r="H41" s="50">
        <v>72</v>
      </c>
      <c r="I41" s="51" t="s">
        <v>53</v>
      </c>
      <c r="J41" s="41">
        <f t="shared" si="9"/>
        <v>388</v>
      </c>
      <c r="K41" s="52">
        <v>970</v>
      </c>
      <c r="L41" s="52">
        <v>863</v>
      </c>
      <c r="M41" s="52">
        <v>0</v>
      </c>
      <c r="N41" s="43">
        <f t="shared" si="10"/>
        <v>863</v>
      </c>
      <c r="O41" s="27">
        <f t="shared" si="11"/>
        <v>0.84347826086956523</v>
      </c>
      <c r="P41" s="27">
        <f t="shared" si="12"/>
        <v>0.88969072164948448</v>
      </c>
      <c r="Q41" s="27">
        <f t="shared" si="13"/>
        <v>1</v>
      </c>
      <c r="R41" s="44">
        <f t="shared" si="14"/>
        <v>0.75043478260869567</v>
      </c>
      <c r="S41" s="45">
        <f t="shared" si="15"/>
        <v>0.80833333333333335</v>
      </c>
    </row>
    <row r="42" spans="2:19" ht="21.75" customHeight="1" x14ac:dyDescent="0.25">
      <c r="B42" s="35">
        <v>46034</v>
      </c>
      <c r="C42" s="36">
        <f t="shared" si="8"/>
        <v>3</v>
      </c>
      <c r="D42" s="37" t="s">
        <v>56</v>
      </c>
      <c r="E42" s="38" t="s">
        <v>26</v>
      </c>
      <c r="F42" s="39">
        <v>480</v>
      </c>
      <c r="G42" s="39">
        <v>47</v>
      </c>
      <c r="H42" s="39">
        <v>26</v>
      </c>
      <c r="I42" s="40" t="s">
        <v>53</v>
      </c>
      <c r="J42" s="41">
        <f t="shared" si="9"/>
        <v>407</v>
      </c>
      <c r="K42" s="42">
        <v>2035</v>
      </c>
      <c r="L42" s="42">
        <v>1808</v>
      </c>
      <c r="M42" s="42">
        <v>21</v>
      </c>
      <c r="N42" s="43">
        <f t="shared" si="10"/>
        <v>1787</v>
      </c>
      <c r="O42" s="19">
        <f t="shared" si="11"/>
        <v>0.93995381062355654</v>
      </c>
      <c r="P42" s="19">
        <f t="shared" si="12"/>
        <v>0.88845208845208845</v>
      </c>
      <c r="Q42" s="19">
        <f t="shared" si="13"/>
        <v>0.98838495575221241</v>
      </c>
      <c r="R42" s="44">
        <f t="shared" si="14"/>
        <v>0.82540415704387993</v>
      </c>
      <c r="S42" s="45">
        <f t="shared" si="15"/>
        <v>0.84791666666666665</v>
      </c>
    </row>
    <row r="43" spans="2:19" ht="21.75" customHeight="1" x14ac:dyDescent="0.25">
      <c r="B43" s="46">
        <v>46034</v>
      </c>
      <c r="C43" s="47">
        <f t="shared" si="8"/>
        <v>3</v>
      </c>
      <c r="D43" s="48" t="s">
        <v>56</v>
      </c>
      <c r="E43" s="49" t="s">
        <v>27</v>
      </c>
      <c r="F43" s="50">
        <v>480</v>
      </c>
      <c r="G43" s="50">
        <v>39</v>
      </c>
      <c r="H43" s="50">
        <v>104</v>
      </c>
      <c r="I43" s="51" t="s">
        <v>53</v>
      </c>
      <c r="J43" s="41">
        <f t="shared" si="9"/>
        <v>337</v>
      </c>
      <c r="K43" s="52">
        <v>252</v>
      </c>
      <c r="L43" s="52">
        <v>200</v>
      </c>
      <c r="M43" s="52">
        <v>11</v>
      </c>
      <c r="N43" s="43">
        <f t="shared" si="10"/>
        <v>189</v>
      </c>
      <c r="O43" s="27">
        <f t="shared" si="11"/>
        <v>0.76417233560090703</v>
      </c>
      <c r="P43" s="27">
        <f t="shared" si="12"/>
        <v>0.79365079365079361</v>
      </c>
      <c r="Q43" s="27">
        <f t="shared" si="13"/>
        <v>0.94499999999999995</v>
      </c>
      <c r="R43" s="44">
        <f t="shared" si="14"/>
        <v>0.57312925170068019</v>
      </c>
      <c r="S43" s="45">
        <f t="shared" si="15"/>
        <v>0.70208333333333328</v>
      </c>
    </row>
    <row r="44" spans="2:19" ht="21.75" customHeight="1" x14ac:dyDescent="0.25">
      <c r="B44" s="35">
        <v>46035</v>
      </c>
      <c r="C44" s="36">
        <f t="shared" si="8"/>
        <v>3</v>
      </c>
      <c r="D44" s="37" t="s">
        <v>52</v>
      </c>
      <c r="E44" s="38" t="s">
        <v>20</v>
      </c>
      <c r="F44" s="39">
        <v>480</v>
      </c>
      <c r="G44" s="39">
        <v>34</v>
      </c>
      <c r="H44" s="39">
        <v>34</v>
      </c>
      <c r="I44" s="40" t="s">
        <v>53</v>
      </c>
      <c r="J44" s="41">
        <f t="shared" si="9"/>
        <v>412</v>
      </c>
      <c r="K44" s="42">
        <v>824</v>
      </c>
      <c r="L44" s="42">
        <v>750</v>
      </c>
      <c r="M44" s="42">
        <v>38</v>
      </c>
      <c r="N44" s="43">
        <f t="shared" si="10"/>
        <v>712</v>
      </c>
      <c r="O44" s="19">
        <f t="shared" si="11"/>
        <v>0.92376681614349776</v>
      </c>
      <c r="P44" s="19">
        <f t="shared" si="12"/>
        <v>0.91019417475728159</v>
      </c>
      <c r="Q44" s="19">
        <f t="shared" si="13"/>
        <v>0.94933333333333336</v>
      </c>
      <c r="R44" s="44">
        <f t="shared" si="14"/>
        <v>0.7982062780269058</v>
      </c>
      <c r="S44" s="45">
        <f t="shared" si="15"/>
        <v>0.85833333333333328</v>
      </c>
    </row>
    <row r="45" spans="2:19" ht="21.75" customHeight="1" x14ac:dyDescent="0.25">
      <c r="B45" s="46">
        <v>46035</v>
      </c>
      <c r="C45" s="47">
        <f t="shared" si="8"/>
        <v>3</v>
      </c>
      <c r="D45" s="48" t="s">
        <v>56</v>
      </c>
      <c r="E45" s="49" t="s">
        <v>20</v>
      </c>
      <c r="F45" s="50">
        <v>480</v>
      </c>
      <c r="G45" s="50">
        <v>34</v>
      </c>
      <c r="H45" s="50">
        <v>32</v>
      </c>
      <c r="I45" s="51" t="s">
        <v>58</v>
      </c>
      <c r="J45" s="41">
        <f t="shared" si="9"/>
        <v>414</v>
      </c>
      <c r="K45" s="52">
        <v>828</v>
      </c>
      <c r="L45" s="52">
        <v>824</v>
      </c>
      <c r="M45" s="52">
        <v>22</v>
      </c>
      <c r="N45" s="43">
        <f t="shared" si="10"/>
        <v>802</v>
      </c>
      <c r="O45" s="27">
        <f t="shared" si="11"/>
        <v>0.9282511210762332</v>
      </c>
      <c r="P45" s="27">
        <f t="shared" si="12"/>
        <v>0.99516908212560384</v>
      </c>
      <c r="Q45" s="27">
        <f t="shared" si="13"/>
        <v>0.97330097087378642</v>
      </c>
      <c r="R45" s="44">
        <f t="shared" si="14"/>
        <v>0.89910313901345296</v>
      </c>
      <c r="S45" s="45">
        <f t="shared" si="15"/>
        <v>0.86250000000000004</v>
      </c>
    </row>
    <row r="46" spans="2:19" ht="21.75" customHeight="1" x14ac:dyDescent="0.25">
      <c r="B46" s="35">
        <v>46035</v>
      </c>
      <c r="C46" s="36">
        <f t="shared" si="8"/>
        <v>3</v>
      </c>
      <c r="D46" s="37" t="s">
        <v>52</v>
      </c>
      <c r="E46" s="38" t="s">
        <v>21</v>
      </c>
      <c r="F46" s="39">
        <v>480</v>
      </c>
      <c r="G46" s="39">
        <v>43</v>
      </c>
      <c r="H46" s="39">
        <v>42</v>
      </c>
      <c r="I46" s="40" t="s">
        <v>57</v>
      </c>
      <c r="J46" s="41">
        <f t="shared" si="9"/>
        <v>395</v>
      </c>
      <c r="K46" s="42">
        <v>790</v>
      </c>
      <c r="L46" s="42">
        <v>756</v>
      </c>
      <c r="M46" s="42">
        <v>45</v>
      </c>
      <c r="N46" s="43">
        <f t="shared" si="10"/>
        <v>711</v>
      </c>
      <c r="O46" s="19">
        <f t="shared" si="11"/>
        <v>0.90389016018306634</v>
      </c>
      <c r="P46" s="19">
        <f t="shared" si="12"/>
        <v>0.95696202531645569</v>
      </c>
      <c r="Q46" s="19">
        <f t="shared" si="13"/>
        <v>0.94047619047619047</v>
      </c>
      <c r="R46" s="44">
        <f t="shared" si="14"/>
        <v>0.81350114416475972</v>
      </c>
      <c r="S46" s="45">
        <f t="shared" si="15"/>
        <v>0.82291666666666663</v>
      </c>
    </row>
    <row r="47" spans="2:19" ht="21.75" customHeight="1" x14ac:dyDescent="0.25">
      <c r="B47" s="46">
        <v>46035</v>
      </c>
      <c r="C47" s="47">
        <f t="shared" si="8"/>
        <v>3</v>
      </c>
      <c r="D47" s="48" t="s">
        <v>52</v>
      </c>
      <c r="E47" s="49" t="s">
        <v>22</v>
      </c>
      <c r="F47" s="50">
        <v>480</v>
      </c>
      <c r="G47" s="50">
        <v>31</v>
      </c>
      <c r="H47" s="50">
        <v>64</v>
      </c>
      <c r="I47" s="51" t="s">
        <v>55</v>
      </c>
      <c r="J47" s="41">
        <f t="shared" si="9"/>
        <v>385</v>
      </c>
      <c r="K47" s="52">
        <v>577</v>
      </c>
      <c r="L47" s="52">
        <v>502</v>
      </c>
      <c r="M47" s="52">
        <v>44</v>
      </c>
      <c r="N47" s="43">
        <f t="shared" si="10"/>
        <v>458</v>
      </c>
      <c r="O47" s="27">
        <f t="shared" si="11"/>
        <v>0.85746102449888639</v>
      </c>
      <c r="P47" s="27">
        <f t="shared" si="12"/>
        <v>0.87001733102253032</v>
      </c>
      <c r="Q47" s="27">
        <f t="shared" si="13"/>
        <v>0.91235059760956172</v>
      </c>
      <c r="R47" s="44">
        <f t="shared" si="14"/>
        <v>0.68061897611870004</v>
      </c>
      <c r="S47" s="45">
        <f t="shared" si="15"/>
        <v>0.80208333333333337</v>
      </c>
    </row>
    <row r="48" spans="2:19" ht="21.75" customHeight="1" x14ac:dyDescent="0.25">
      <c r="B48" s="35">
        <v>46035</v>
      </c>
      <c r="C48" s="36">
        <f t="shared" si="8"/>
        <v>3</v>
      </c>
      <c r="D48" s="37" t="s">
        <v>52</v>
      </c>
      <c r="E48" s="38" t="s">
        <v>23</v>
      </c>
      <c r="F48" s="39">
        <v>480</v>
      </c>
      <c r="G48" s="39">
        <v>47</v>
      </c>
      <c r="H48" s="39">
        <v>112</v>
      </c>
      <c r="I48" s="40" t="s">
        <v>53</v>
      </c>
      <c r="J48" s="41">
        <f t="shared" si="9"/>
        <v>321</v>
      </c>
      <c r="K48" s="42">
        <v>321</v>
      </c>
      <c r="L48" s="42">
        <v>282</v>
      </c>
      <c r="M48" s="42">
        <v>25</v>
      </c>
      <c r="N48" s="43">
        <f t="shared" si="10"/>
        <v>257</v>
      </c>
      <c r="O48" s="19">
        <f t="shared" si="11"/>
        <v>0.74133949191685911</v>
      </c>
      <c r="P48" s="19">
        <f t="shared" si="12"/>
        <v>0.87850467289719625</v>
      </c>
      <c r="Q48" s="19">
        <f t="shared" si="13"/>
        <v>0.91134751773049649</v>
      </c>
      <c r="R48" s="44">
        <f t="shared" si="14"/>
        <v>0.59353348729792144</v>
      </c>
      <c r="S48" s="45">
        <f t="shared" si="15"/>
        <v>0.66874999999999996</v>
      </c>
    </row>
    <row r="49" spans="2:19" ht="21.75" customHeight="1" x14ac:dyDescent="0.25">
      <c r="B49" s="46">
        <v>46035</v>
      </c>
      <c r="C49" s="47">
        <f t="shared" si="8"/>
        <v>3</v>
      </c>
      <c r="D49" s="48" t="s">
        <v>52</v>
      </c>
      <c r="E49" s="49" t="s">
        <v>24</v>
      </c>
      <c r="F49" s="50">
        <v>480</v>
      </c>
      <c r="G49" s="50">
        <v>31</v>
      </c>
      <c r="H49" s="50">
        <v>110</v>
      </c>
      <c r="I49" s="51" t="s">
        <v>58</v>
      </c>
      <c r="J49" s="41">
        <f t="shared" si="9"/>
        <v>339</v>
      </c>
      <c r="K49" s="52">
        <v>339</v>
      </c>
      <c r="L49" s="52">
        <v>291</v>
      </c>
      <c r="M49" s="52">
        <v>15</v>
      </c>
      <c r="N49" s="43">
        <f t="shared" si="10"/>
        <v>276</v>
      </c>
      <c r="O49" s="27">
        <f t="shared" si="11"/>
        <v>0.75501113585746105</v>
      </c>
      <c r="P49" s="27">
        <f t="shared" si="12"/>
        <v>0.8584070796460177</v>
      </c>
      <c r="Q49" s="27">
        <f t="shared" si="13"/>
        <v>0.94845360824742264</v>
      </c>
      <c r="R49" s="44">
        <f t="shared" si="14"/>
        <v>0.6146993318485523</v>
      </c>
      <c r="S49" s="45">
        <f t="shared" si="15"/>
        <v>0.70625000000000004</v>
      </c>
    </row>
    <row r="50" spans="2:19" ht="21.75" customHeight="1" x14ac:dyDescent="0.25">
      <c r="B50" s="35">
        <v>46035</v>
      </c>
      <c r="C50" s="36">
        <f t="shared" si="8"/>
        <v>3</v>
      </c>
      <c r="D50" s="37" t="s">
        <v>56</v>
      </c>
      <c r="E50" s="38" t="s">
        <v>26</v>
      </c>
      <c r="F50" s="39">
        <v>480</v>
      </c>
      <c r="G50" s="39">
        <v>42</v>
      </c>
      <c r="H50" s="39">
        <v>33</v>
      </c>
      <c r="I50" s="40" t="s">
        <v>57</v>
      </c>
      <c r="J50" s="41">
        <f t="shared" si="9"/>
        <v>405</v>
      </c>
      <c r="K50" s="42">
        <v>2025</v>
      </c>
      <c r="L50" s="42">
        <v>1814</v>
      </c>
      <c r="M50" s="42">
        <v>6</v>
      </c>
      <c r="N50" s="43">
        <f t="shared" si="10"/>
        <v>1808</v>
      </c>
      <c r="O50" s="19">
        <f t="shared" si="11"/>
        <v>0.92465753424657537</v>
      </c>
      <c r="P50" s="19">
        <f t="shared" si="12"/>
        <v>0.89580246913580241</v>
      </c>
      <c r="Q50" s="19">
        <f t="shared" si="13"/>
        <v>0.99669239250275632</v>
      </c>
      <c r="R50" s="44">
        <f t="shared" si="14"/>
        <v>0.82557077625570774</v>
      </c>
      <c r="S50" s="45">
        <f t="shared" si="15"/>
        <v>0.84375</v>
      </c>
    </row>
    <row r="51" spans="2:19" ht="21.75" customHeight="1" x14ac:dyDescent="0.25">
      <c r="B51" s="46">
        <v>46035</v>
      </c>
      <c r="C51" s="47">
        <f t="shared" si="8"/>
        <v>3</v>
      </c>
      <c r="D51" s="48" t="s">
        <v>56</v>
      </c>
      <c r="E51" s="49" t="s">
        <v>27</v>
      </c>
      <c r="F51" s="50">
        <v>480</v>
      </c>
      <c r="G51" s="50">
        <v>27</v>
      </c>
      <c r="H51" s="50">
        <v>131</v>
      </c>
      <c r="I51" s="51" t="s">
        <v>59</v>
      </c>
      <c r="J51" s="41">
        <f t="shared" si="9"/>
        <v>322</v>
      </c>
      <c r="K51" s="52">
        <v>241</v>
      </c>
      <c r="L51" s="52">
        <v>214</v>
      </c>
      <c r="M51" s="52">
        <v>11</v>
      </c>
      <c r="N51" s="43">
        <f t="shared" si="10"/>
        <v>203</v>
      </c>
      <c r="O51" s="27">
        <f t="shared" si="11"/>
        <v>0.71081677704194257</v>
      </c>
      <c r="P51" s="27">
        <f t="shared" si="12"/>
        <v>0.88796680497925307</v>
      </c>
      <c r="Q51" s="27">
        <f t="shared" si="13"/>
        <v>0.94859813084112155</v>
      </c>
      <c r="R51" s="44">
        <f t="shared" si="14"/>
        <v>0.59873778315151172</v>
      </c>
      <c r="S51" s="45">
        <f t="shared" si="15"/>
        <v>0.67083333333333328</v>
      </c>
    </row>
    <row r="52" spans="2:19" ht="21.75" customHeight="1" x14ac:dyDescent="0.25">
      <c r="B52" s="35">
        <v>46036</v>
      </c>
      <c r="C52" s="36">
        <f t="shared" si="8"/>
        <v>3</v>
      </c>
      <c r="D52" s="37" t="s">
        <v>56</v>
      </c>
      <c r="E52" s="38" t="s">
        <v>23</v>
      </c>
      <c r="F52" s="39">
        <v>480</v>
      </c>
      <c r="G52" s="39">
        <v>39</v>
      </c>
      <c r="H52" s="39">
        <v>146</v>
      </c>
      <c r="I52" s="40" t="s">
        <v>53</v>
      </c>
      <c r="J52" s="41">
        <f t="shared" si="9"/>
        <v>295</v>
      </c>
      <c r="K52" s="42">
        <v>295</v>
      </c>
      <c r="L52" s="42">
        <v>264</v>
      </c>
      <c r="M52" s="42">
        <v>18</v>
      </c>
      <c r="N52" s="43">
        <f t="shared" si="10"/>
        <v>246</v>
      </c>
      <c r="O52" s="19">
        <f t="shared" si="11"/>
        <v>0.66893424036281179</v>
      </c>
      <c r="P52" s="19">
        <f t="shared" si="12"/>
        <v>0.89491525423728813</v>
      </c>
      <c r="Q52" s="19">
        <f t="shared" si="13"/>
        <v>0.93181818181818177</v>
      </c>
      <c r="R52" s="44">
        <f t="shared" si="14"/>
        <v>0.55782312925170063</v>
      </c>
      <c r="S52" s="45">
        <f t="shared" si="15"/>
        <v>0.61458333333333337</v>
      </c>
    </row>
    <row r="53" spans="2:19" ht="21.75" customHeight="1" x14ac:dyDescent="0.25">
      <c r="B53" s="46">
        <v>46036</v>
      </c>
      <c r="C53" s="47">
        <f t="shared" si="8"/>
        <v>3</v>
      </c>
      <c r="D53" s="48" t="s">
        <v>56</v>
      </c>
      <c r="E53" s="49" t="s">
        <v>24</v>
      </c>
      <c r="F53" s="50">
        <v>480</v>
      </c>
      <c r="G53" s="50">
        <v>46</v>
      </c>
      <c r="H53" s="50">
        <v>91</v>
      </c>
      <c r="I53" s="51" t="s">
        <v>61</v>
      </c>
      <c r="J53" s="41">
        <f t="shared" si="9"/>
        <v>343</v>
      </c>
      <c r="K53" s="52">
        <v>343</v>
      </c>
      <c r="L53" s="52">
        <v>306</v>
      </c>
      <c r="M53" s="52">
        <v>26</v>
      </c>
      <c r="N53" s="43">
        <f t="shared" si="10"/>
        <v>280</v>
      </c>
      <c r="O53" s="27">
        <f t="shared" si="11"/>
        <v>0.79032258064516125</v>
      </c>
      <c r="P53" s="27">
        <f t="shared" si="12"/>
        <v>0.89212827988338195</v>
      </c>
      <c r="Q53" s="27">
        <f t="shared" si="13"/>
        <v>0.91503267973856206</v>
      </c>
      <c r="R53" s="44">
        <f t="shared" si="14"/>
        <v>0.64516129032258063</v>
      </c>
      <c r="S53" s="45">
        <f t="shared" si="15"/>
        <v>0.71458333333333335</v>
      </c>
    </row>
    <row r="54" spans="2:19" ht="21.75" customHeight="1" x14ac:dyDescent="0.25">
      <c r="B54" s="35">
        <v>46036</v>
      </c>
      <c r="C54" s="36">
        <f t="shared" si="8"/>
        <v>3</v>
      </c>
      <c r="D54" s="37" t="s">
        <v>56</v>
      </c>
      <c r="E54" s="38" t="s">
        <v>25</v>
      </c>
      <c r="F54" s="39">
        <v>480</v>
      </c>
      <c r="G54" s="39">
        <v>20</v>
      </c>
      <c r="H54" s="39">
        <v>91</v>
      </c>
      <c r="I54" s="40" t="s">
        <v>55</v>
      </c>
      <c r="J54" s="41">
        <f t="shared" si="9"/>
        <v>369</v>
      </c>
      <c r="K54" s="42">
        <v>922</v>
      </c>
      <c r="L54" s="42">
        <v>850</v>
      </c>
      <c r="M54" s="42">
        <v>18</v>
      </c>
      <c r="N54" s="43">
        <f t="shared" si="10"/>
        <v>832</v>
      </c>
      <c r="O54" s="19">
        <f t="shared" si="11"/>
        <v>0.80217391304347829</v>
      </c>
      <c r="P54" s="19">
        <f t="shared" si="12"/>
        <v>0.9219088937093276</v>
      </c>
      <c r="Q54" s="19">
        <f t="shared" si="13"/>
        <v>0.97882352941176476</v>
      </c>
      <c r="R54" s="44">
        <f t="shared" si="14"/>
        <v>0.72387060265962477</v>
      </c>
      <c r="S54" s="45">
        <f t="shared" si="15"/>
        <v>0.76875000000000004</v>
      </c>
    </row>
    <row r="55" spans="2:19" ht="21.75" customHeight="1" x14ac:dyDescent="0.25">
      <c r="B55" s="46">
        <v>46036</v>
      </c>
      <c r="C55" s="47">
        <f t="shared" si="8"/>
        <v>3</v>
      </c>
      <c r="D55" s="48" t="s">
        <v>56</v>
      </c>
      <c r="E55" s="49" t="s">
        <v>26</v>
      </c>
      <c r="F55" s="50">
        <v>480</v>
      </c>
      <c r="G55" s="50">
        <v>50</v>
      </c>
      <c r="H55" s="50">
        <v>32</v>
      </c>
      <c r="I55" s="51" t="s">
        <v>59</v>
      </c>
      <c r="J55" s="41">
        <f t="shared" si="9"/>
        <v>398</v>
      </c>
      <c r="K55" s="52">
        <v>1990</v>
      </c>
      <c r="L55" s="52">
        <v>1880</v>
      </c>
      <c r="M55" s="52">
        <v>12</v>
      </c>
      <c r="N55" s="43">
        <f t="shared" si="10"/>
        <v>1868</v>
      </c>
      <c r="O55" s="27">
        <f t="shared" si="11"/>
        <v>0.92558139534883721</v>
      </c>
      <c r="P55" s="27">
        <f t="shared" si="12"/>
        <v>0.94472361809045224</v>
      </c>
      <c r="Q55" s="27">
        <f t="shared" si="13"/>
        <v>0.99361702127659579</v>
      </c>
      <c r="R55" s="44">
        <f t="shared" si="14"/>
        <v>0.86883720930232555</v>
      </c>
      <c r="S55" s="45">
        <f t="shared" si="15"/>
        <v>0.82916666666666672</v>
      </c>
    </row>
    <row r="56" spans="2:19" ht="21.75" customHeight="1" x14ac:dyDescent="0.25">
      <c r="B56" s="35">
        <v>46036</v>
      </c>
      <c r="C56" s="36">
        <f t="shared" si="8"/>
        <v>3</v>
      </c>
      <c r="D56" s="37" t="s">
        <v>56</v>
      </c>
      <c r="E56" s="38" t="s">
        <v>27</v>
      </c>
      <c r="F56" s="39">
        <v>480</v>
      </c>
      <c r="G56" s="39">
        <v>22</v>
      </c>
      <c r="H56" s="39">
        <v>101</v>
      </c>
      <c r="I56" s="40" t="s">
        <v>55</v>
      </c>
      <c r="J56" s="41">
        <f t="shared" si="9"/>
        <v>357</v>
      </c>
      <c r="K56" s="42">
        <v>267</v>
      </c>
      <c r="L56" s="42">
        <v>216</v>
      </c>
      <c r="M56" s="42">
        <v>21</v>
      </c>
      <c r="N56" s="43">
        <f t="shared" si="10"/>
        <v>195</v>
      </c>
      <c r="O56" s="19">
        <f t="shared" si="11"/>
        <v>0.77947598253275108</v>
      </c>
      <c r="P56" s="19">
        <f t="shared" si="12"/>
        <v>0.8089887640449438</v>
      </c>
      <c r="Q56" s="19">
        <f t="shared" si="13"/>
        <v>0.90277777777777779</v>
      </c>
      <c r="R56" s="44">
        <f t="shared" si="14"/>
        <v>0.56928021196212164</v>
      </c>
      <c r="S56" s="45">
        <f t="shared" si="15"/>
        <v>0.74375000000000002</v>
      </c>
    </row>
    <row r="57" spans="2:19" ht="21.75" customHeight="1" x14ac:dyDescent="0.25">
      <c r="B57" s="46">
        <v>46037</v>
      </c>
      <c r="C57" s="47">
        <f t="shared" si="8"/>
        <v>3</v>
      </c>
      <c r="D57" s="48" t="s">
        <v>52</v>
      </c>
      <c r="E57" s="49" t="s">
        <v>20</v>
      </c>
      <c r="F57" s="50">
        <v>480</v>
      </c>
      <c r="G57" s="50">
        <v>48</v>
      </c>
      <c r="H57" s="50">
        <v>39</v>
      </c>
      <c r="I57" s="51" t="s">
        <v>55</v>
      </c>
      <c r="J57" s="41">
        <f t="shared" si="9"/>
        <v>393</v>
      </c>
      <c r="K57" s="52">
        <v>786</v>
      </c>
      <c r="L57" s="52">
        <v>684</v>
      </c>
      <c r="M57" s="52">
        <v>3</v>
      </c>
      <c r="N57" s="43">
        <f t="shared" si="10"/>
        <v>681</v>
      </c>
      <c r="O57" s="27">
        <f t="shared" si="11"/>
        <v>0.90972222222222221</v>
      </c>
      <c r="P57" s="27">
        <f t="shared" si="12"/>
        <v>0.87022900763358779</v>
      </c>
      <c r="Q57" s="27">
        <f t="shared" si="13"/>
        <v>0.99561403508771928</v>
      </c>
      <c r="R57" s="44">
        <f t="shared" si="14"/>
        <v>0.78819444444444442</v>
      </c>
      <c r="S57" s="45">
        <f t="shared" si="15"/>
        <v>0.81874999999999998</v>
      </c>
    </row>
    <row r="58" spans="2:19" ht="21.75" customHeight="1" x14ac:dyDescent="0.25">
      <c r="B58" s="35">
        <v>46037</v>
      </c>
      <c r="C58" s="36">
        <f t="shared" si="8"/>
        <v>3</v>
      </c>
      <c r="D58" s="37" t="s">
        <v>52</v>
      </c>
      <c r="E58" s="38" t="s">
        <v>21</v>
      </c>
      <c r="F58" s="39">
        <v>480</v>
      </c>
      <c r="G58" s="39">
        <v>22</v>
      </c>
      <c r="H58" s="39">
        <v>70</v>
      </c>
      <c r="I58" s="40" t="s">
        <v>53</v>
      </c>
      <c r="J58" s="41">
        <f t="shared" si="9"/>
        <v>388</v>
      </c>
      <c r="K58" s="42">
        <v>776</v>
      </c>
      <c r="L58" s="42">
        <v>671</v>
      </c>
      <c r="M58" s="42">
        <v>31</v>
      </c>
      <c r="N58" s="43">
        <f t="shared" si="10"/>
        <v>640</v>
      </c>
      <c r="O58" s="19">
        <f t="shared" si="11"/>
        <v>0.84716157205240172</v>
      </c>
      <c r="P58" s="19">
        <f t="shared" si="12"/>
        <v>0.86469072164948457</v>
      </c>
      <c r="Q58" s="19">
        <f t="shared" si="13"/>
        <v>0.95380029806259314</v>
      </c>
      <c r="R58" s="44">
        <f t="shared" si="14"/>
        <v>0.69868995633187769</v>
      </c>
      <c r="S58" s="45">
        <f t="shared" si="15"/>
        <v>0.80833333333333335</v>
      </c>
    </row>
    <row r="59" spans="2:19" ht="21.75" customHeight="1" x14ac:dyDescent="0.25">
      <c r="B59" s="46">
        <v>46037</v>
      </c>
      <c r="C59" s="47">
        <f t="shared" si="8"/>
        <v>3</v>
      </c>
      <c r="D59" s="48" t="s">
        <v>52</v>
      </c>
      <c r="E59" s="49" t="s">
        <v>22</v>
      </c>
      <c r="F59" s="50">
        <v>480</v>
      </c>
      <c r="G59" s="50">
        <v>26</v>
      </c>
      <c r="H59" s="50">
        <v>80</v>
      </c>
      <c r="I59" s="51" t="s">
        <v>62</v>
      </c>
      <c r="J59" s="41">
        <f t="shared" si="9"/>
        <v>374</v>
      </c>
      <c r="K59" s="52">
        <v>561</v>
      </c>
      <c r="L59" s="52">
        <v>461</v>
      </c>
      <c r="M59" s="52">
        <v>19</v>
      </c>
      <c r="N59" s="43">
        <f t="shared" si="10"/>
        <v>442</v>
      </c>
      <c r="O59" s="27">
        <f t="shared" si="11"/>
        <v>0.82378854625550657</v>
      </c>
      <c r="P59" s="27">
        <f t="shared" si="12"/>
        <v>0.82174688057041001</v>
      </c>
      <c r="Q59" s="27">
        <f t="shared" si="13"/>
        <v>0.95878524945770061</v>
      </c>
      <c r="R59" s="44">
        <f t="shared" si="14"/>
        <v>0.64904552129221738</v>
      </c>
      <c r="S59" s="45">
        <f t="shared" si="15"/>
        <v>0.77916666666666667</v>
      </c>
    </row>
    <row r="60" spans="2:19" ht="21.75" customHeight="1" x14ac:dyDescent="0.25">
      <c r="B60" s="35">
        <v>46037</v>
      </c>
      <c r="C60" s="36">
        <f t="shared" si="8"/>
        <v>3</v>
      </c>
      <c r="D60" s="37" t="s">
        <v>52</v>
      </c>
      <c r="E60" s="38" t="s">
        <v>23</v>
      </c>
      <c r="F60" s="39">
        <v>480</v>
      </c>
      <c r="G60" s="39">
        <v>50</v>
      </c>
      <c r="H60" s="39">
        <v>149</v>
      </c>
      <c r="I60" s="40" t="s">
        <v>53</v>
      </c>
      <c r="J60" s="41">
        <f t="shared" si="9"/>
        <v>281</v>
      </c>
      <c r="K60" s="42">
        <v>281</v>
      </c>
      <c r="L60" s="42">
        <v>230</v>
      </c>
      <c r="M60" s="42">
        <v>22</v>
      </c>
      <c r="N60" s="43">
        <f t="shared" si="10"/>
        <v>208</v>
      </c>
      <c r="O60" s="19">
        <f t="shared" si="11"/>
        <v>0.65348837209302324</v>
      </c>
      <c r="P60" s="19">
        <f t="shared" si="12"/>
        <v>0.81850533807829184</v>
      </c>
      <c r="Q60" s="19">
        <f t="shared" si="13"/>
        <v>0.90434782608695652</v>
      </c>
      <c r="R60" s="44">
        <f t="shared" si="14"/>
        <v>0.48372093023255808</v>
      </c>
      <c r="S60" s="45">
        <f t="shared" si="15"/>
        <v>0.5854166666666667</v>
      </c>
    </row>
    <row r="61" spans="2:19" ht="21.75" customHeight="1" x14ac:dyDescent="0.25">
      <c r="B61" s="46">
        <v>46037</v>
      </c>
      <c r="C61" s="47">
        <f t="shared" si="8"/>
        <v>3</v>
      </c>
      <c r="D61" s="48" t="s">
        <v>56</v>
      </c>
      <c r="E61" s="49" t="s">
        <v>23</v>
      </c>
      <c r="F61" s="50">
        <v>480</v>
      </c>
      <c r="G61" s="50">
        <v>24</v>
      </c>
      <c r="H61" s="50">
        <v>138</v>
      </c>
      <c r="I61" s="51" t="s">
        <v>60</v>
      </c>
      <c r="J61" s="41">
        <f t="shared" si="9"/>
        <v>318</v>
      </c>
      <c r="K61" s="52">
        <v>318</v>
      </c>
      <c r="L61" s="52">
        <v>257</v>
      </c>
      <c r="M61" s="52">
        <v>27</v>
      </c>
      <c r="N61" s="43">
        <f t="shared" si="10"/>
        <v>230</v>
      </c>
      <c r="O61" s="27">
        <f t="shared" si="11"/>
        <v>0.69736842105263153</v>
      </c>
      <c r="P61" s="27">
        <f t="shared" si="12"/>
        <v>0.80817610062893086</v>
      </c>
      <c r="Q61" s="27">
        <f t="shared" si="13"/>
        <v>0.89494163424124518</v>
      </c>
      <c r="R61" s="44">
        <f t="shared" si="14"/>
        <v>0.50438596491228072</v>
      </c>
      <c r="S61" s="45">
        <f t="shared" si="15"/>
        <v>0.66249999999999998</v>
      </c>
    </row>
    <row r="62" spans="2:19" ht="21.75" customHeight="1" x14ac:dyDescent="0.25">
      <c r="B62" s="35">
        <v>46037</v>
      </c>
      <c r="C62" s="36">
        <f t="shared" si="8"/>
        <v>3</v>
      </c>
      <c r="D62" s="37" t="s">
        <v>52</v>
      </c>
      <c r="E62" s="38" t="s">
        <v>24</v>
      </c>
      <c r="F62" s="39">
        <v>480</v>
      </c>
      <c r="G62" s="39">
        <v>43</v>
      </c>
      <c r="H62" s="39">
        <v>81</v>
      </c>
      <c r="I62" s="40" t="s">
        <v>54</v>
      </c>
      <c r="J62" s="41">
        <f t="shared" si="9"/>
        <v>356</v>
      </c>
      <c r="K62" s="42">
        <v>356</v>
      </c>
      <c r="L62" s="42">
        <v>327</v>
      </c>
      <c r="M62" s="42">
        <v>32</v>
      </c>
      <c r="N62" s="43">
        <f t="shared" si="10"/>
        <v>295</v>
      </c>
      <c r="O62" s="19">
        <f t="shared" si="11"/>
        <v>0.81464530892448517</v>
      </c>
      <c r="P62" s="19">
        <f t="shared" si="12"/>
        <v>0.9185393258426966</v>
      </c>
      <c r="Q62" s="19">
        <f t="shared" si="13"/>
        <v>0.90214067278287458</v>
      </c>
      <c r="R62" s="44">
        <f t="shared" si="14"/>
        <v>0.67505720823798632</v>
      </c>
      <c r="S62" s="45">
        <f t="shared" si="15"/>
        <v>0.7416666666666667</v>
      </c>
    </row>
    <row r="63" spans="2:19" ht="21.75" customHeight="1" x14ac:dyDescent="0.25">
      <c r="B63" s="46">
        <v>46037</v>
      </c>
      <c r="C63" s="47">
        <f t="shared" si="8"/>
        <v>3</v>
      </c>
      <c r="D63" s="48" t="s">
        <v>56</v>
      </c>
      <c r="E63" s="49" t="s">
        <v>26</v>
      </c>
      <c r="F63" s="50">
        <v>480</v>
      </c>
      <c r="G63" s="50">
        <v>27</v>
      </c>
      <c r="H63" s="50">
        <v>43</v>
      </c>
      <c r="I63" s="51" t="s">
        <v>53</v>
      </c>
      <c r="J63" s="41">
        <f t="shared" si="9"/>
        <v>410</v>
      </c>
      <c r="K63" s="52">
        <v>2050</v>
      </c>
      <c r="L63" s="52">
        <v>1746</v>
      </c>
      <c r="M63" s="52">
        <v>67</v>
      </c>
      <c r="N63" s="43">
        <f t="shared" si="10"/>
        <v>1679</v>
      </c>
      <c r="O63" s="27">
        <f t="shared" si="11"/>
        <v>0.90507726269315669</v>
      </c>
      <c r="P63" s="27">
        <f t="shared" si="12"/>
        <v>0.85170731707317071</v>
      </c>
      <c r="Q63" s="27">
        <f t="shared" si="13"/>
        <v>0.96162657502863691</v>
      </c>
      <c r="R63" s="44">
        <f t="shared" si="14"/>
        <v>0.74128035320088292</v>
      </c>
      <c r="S63" s="45">
        <f t="shared" si="15"/>
        <v>0.85416666666666663</v>
      </c>
    </row>
    <row r="64" spans="2:19" ht="21.75" customHeight="1" x14ac:dyDescent="0.25">
      <c r="B64" s="35">
        <v>46037</v>
      </c>
      <c r="C64" s="36">
        <f t="shared" si="8"/>
        <v>3</v>
      </c>
      <c r="D64" s="37" t="s">
        <v>56</v>
      </c>
      <c r="E64" s="38" t="s">
        <v>27</v>
      </c>
      <c r="F64" s="39">
        <v>480</v>
      </c>
      <c r="G64" s="39">
        <v>44</v>
      </c>
      <c r="H64" s="39">
        <v>95</v>
      </c>
      <c r="I64" s="40" t="s">
        <v>53</v>
      </c>
      <c r="J64" s="41">
        <f t="shared" si="9"/>
        <v>341</v>
      </c>
      <c r="K64" s="42">
        <v>255</v>
      </c>
      <c r="L64" s="42">
        <v>221</v>
      </c>
      <c r="M64" s="42">
        <v>16</v>
      </c>
      <c r="N64" s="43">
        <f t="shared" si="10"/>
        <v>205</v>
      </c>
      <c r="O64" s="19">
        <f t="shared" si="11"/>
        <v>0.7821100917431193</v>
      </c>
      <c r="P64" s="19">
        <f t="shared" si="12"/>
        <v>0.8666666666666667</v>
      </c>
      <c r="Q64" s="19">
        <f t="shared" si="13"/>
        <v>0.92760180995475117</v>
      </c>
      <c r="R64" s="44">
        <f t="shared" si="14"/>
        <v>0.62875517179348817</v>
      </c>
      <c r="S64" s="45">
        <f t="shared" si="15"/>
        <v>0.7104166666666667</v>
      </c>
    </row>
    <row r="65" spans="2:19" ht="21.75" customHeight="1" x14ac:dyDescent="0.25">
      <c r="B65" s="46">
        <v>46038</v>
      </c>
      <c r="C65" s="47">
        <f t="shared" si="8"/>
        <v>3</v>
      </c>
      <c r="D65" s="48" t="s">
        <v>56</v>
      </c>
      <c r="E65" s="49" t="s">
        <v>23</v>
      </c>
      <c r="F65" s="50">
        <v>480</v>
      </c>
      <c r="G65" s="50">
        <v>45</v>
      </c>
      <c r="H65" s="50">
        <v>137</v>
      </c>
      <c r="I65" s="51" t="s">
        <v>59</v>
      </c>
      <c r="J65" s="41">
        <f t="shared" si="9"/>
        <v>298</v>
      </c>
      <c r="K65" s="52">
        <v>298</v>
      </c>
      <c r="L65" s="52">
        <v>253</v>
      </c>
      <c r="M65" s="52">
        <v>21</v>
      </c>
      <c r="N65" s="43">
        <f t="shared" si="10"/>
        <v>232</v>
      </c>
      <c r="O65" s="27">
        <f t="shared" si="11"/>
        <v>0.68505747126436778</v>
      </c>
      <c r="P65" s="27">
        <f t="shared" si="12"/>
        <v>0.84899328859060408</v>
      </c>
      <c r="Q65" s="27">
        <f t="shared" si="13"/>
        <v>0.91699604743083007</v>
      </c>
      <c r="R65" s="44">
        <f t="shared" si="14"/>
        <v>0.53333333333333333</v>
      </c>
      <c r="S65" s="45">
        <f t="shared" si="15"/>
        <v>0.62083333333333335</v>
      </c>
    </row>
    <row r="66" spans="2:19" ht="21.75" customHeight="1" x14ac:dyDescent="0.25">
      <c r="B66" s="35">
        <v>46038</v>
      </c>
      <c r="C66" s="36">
        <f t="shared" si="8"/>
        <v>3</v>
      </c>
      <c r="D66" s="37" t="s">
        <v>56</v>
      </c>
      <c r="E66" s="38" t="s">
        <v>24</v>
      </c>
      <c r="F66" s="39">
        <v>480</v>
      </c>
      <c r="G66" s="39">
        <v>24</v>
      </c>
      <c r="H66" s="39">
        <v>102</v>
      </c>
      <c r="I66" s="40" t="s">
        <v>53</v>
      </c>
      <c r="J66" s="41">
        <f t="shared" si="9"/>
        <v>354</v>
      </c>
      <c r="K66" s="42">
        <v>354</v>
      </c>
      <c r="L66" s="42">
        <v>285</v>
      </c>
      <c r="M66" s="42">
        <v>28</v>
      </c>
      <c r="N66" s="43">
        <f t="shared" si="10"/>
        <v>257</v>
      </c>
      <c r="O66" s="19">
        <f t="shared" si="11"/>
        <v>0.77631578947368418</v>
      </c>
      <c r="P66" s="19">
        <f t="shared" si="12"/>
        <v>0.80508474576271183</v>
      </c>
      <c r="Q66" s="19">
        <f t="shared" si="13"/>
        <v>0.90175438596491231</v>
      </c>
      <c r="R66" s="44">
        <f t="shared" si="14"/>
        <v>0.56359649122807021</v>
      </c>
      <c r="S66" s="45">
        <f t="shared" si="15"/>
        <v>0.73750000000000004</v>
      </c>
    </row>
    <row r="67" spans="2:19" ht="21.75" customHeight="1" x14ac:dyDescent="0.25">
      <c r="B67" s="46">
        <v>46038</v>
      </c>
      <c r="C67" s="47">
        <f t="shared" si="8"/>
        <v>3</v>
      </c>
      <c r="D67" s="48" t="s">
        <v>56</v>
      </c>
      <c r="E67" s="49" t="s">
        <v>25</v>
      </c>
      <c r="F67" s="50">
        <v>480</v>
      </c>
      <c r="G67" s="50">
        <v>40</v>
      </c>
      <c r="H67" s="50">
        <v>48</v>
      </c>
      <c r="I67" s="51" t="s">
        <v>53</v>
      </c>
      <c r="J67" s="41">
        <f t="shared" si="9"/>
        <v>392</v>
      </c>
      <c r="K67" s="52">
        <v>980</v>
      </c>
      <c r="L67" s="52">
        <v>899</v>
      </c>
      <c r="M67" s="52">
        <v>37</v>
      </c>
      <c r="N67" s="43">
        <f t="shared" si="10"/>
        <v>862</v>
      </c>
      <c r="O67" s="27">
        <f t="shared" si="11"/>
        <v>0.89090909090909087</v>
      </c>
      <c r="P67" s="27">
        <f t="shared" si="12"/>
        <v>0.91734693877551021</v>
      </c>
      <c r="Q67" s="27">
        <f t="shared" si="13"/>
        <v>0.95884315906562845</v>
      </c>
      <c r="R67" s="44">
        <f t="shared" si="14"/>
        <v>0.78363636363636358</v>
      </c>
      <c r="S67" s="45">
        <f t="shared" si="15"/>
        <v>0.81666666666666665</v>
      </c>
    </row>
    <row r="68" spans="2:19" ht="21.75" customHeight="1" x14ac:dyDescent="0.25">
      <c r="B68" s="35">
        <v>46038</v>
      </c>
      <c r="C68" s="36">
        <f t="shared" si="8"/>
        <v>3</v>
      </c>
      <c r="D68" s="37" t="s">
        <v>56</v>
      </c>
      <c r="E68" s="38" t="s">
        <v>26</v>
      </c>
      <c r="F68" s="39">
        <v>480</v>
      </c>
      <c r="G68" s="39">
        <v>26</v>
      </c>
      <c r="H68" s="39">
        <v>55</v>
      </c>
      <c r="I68" s="40" t="s">
        <v>58</v>
      </c>
      <c r="J68" s="41">
        <f t="shared" si="9"/>
        <v>399</v>
      </c>
      <c r="K68" s="42">
        <v>1995</v>
      </c>
      <c r="L68" s="42">
        <v>1730</v>
      </c>
      <c r="M68" s="42">
        <v>60</v>
      </c>
      <c r="N68" s="43">
        <f t="shared" si="10"/>
        <v>1670</v>
      </c>
      <c r="O68" s="19">
        <f t="shared" si="11"/>
        <v>0.87885462555066074</v>
      </c>
      <c r="P68" s="19">
        <f t="shared" si="12"/>
        <v>0.8671679197994987</v>
      </c>
      <c r="Q68" s="19">
        <f t="shared" si="13"/>
        <v>0.96531791907514453</v>
      </c>
      <c r="R68" s="44">
        <f t="shared" si="14"/>
        <v>0.73568281938325986</v>
      </c>
      <c r="S68" s="45">
        <f t="shared" si="15"/>
        <v>0.83125000000000004</v>
      </c>
    </row>
    <row r="69" spans="2:19" ht="21.75" customHeight="1" x14ac:dyDescent="0.25">
      <c r="B69" s="46">
        <v>46038</v>
      </c>
      <c r="C69" s="47">
        <f t="shared" si="8"/>
        <v>3</v>
      </c>
      <c r="D69" s="48" t="s">
        <v>56</v>
      </c>
      <c r="E69" s="49" t="s">
        <v>27</v>
      </c>
      <c r="F69" s="50">
        <v>480</v>
      </c>
      <c r="G69" s="50">
        <v>44</v>
      </c>
      <c r="H69" s="50">
        <v>112</v>
      </c>
      <c r="I69" s="51" t="s">
        <v>61</v>
      </c>
      <c r="J69" s="41">
        <f t="shared" si="9"/>
        <v>324</v>
      </c>
      <c r="K69" s="52">
        <v>243</v>
      </c>
      <c r="L69" s="52">
        <v>197</v>
      </c>
      <c r="M69" s="52">
        <v>16</v>
      </c>
      <c r="N69" s="43">
        <f t="shared" si="10"/>
        <v>181</v>
      </c>
      <c r="O69" s="27">
        <f t="shared" si="11"/>
        <v>0.74311926605504586</v>
      </c>
      <c r="P69" s="27">
        <f t="shared" si="12"/>
        <v>0.81069958847736623</v>
      </c>
      <c r="Q69" s="27">
        <f t="shared" si="13"/>
        <v>0.91878172588832485</v>
      </c>
      <c r="R69" s="44">
        <f t="shared" si="14"/>
        <v>0.55351681957186549</v>
      </c>
      <c r="S69" s="45">
        <f t="shared" si="15"/>
        <v>0.67500000000000004</v>
      </c>
    </row>
    <row r="71" spans="2:19" ht="27.75" customHeight="1" x14ac:dyDescent="0.25">
      <c r="B71" s="68" t="s">
        <v>63</v>
      </c>
      <c r="C71" s="68"/>
      <c r="D71" s="68"/>
      <c r="E71" s="68"/>
      <c r="F71" s="53">
        <f>SUM(F8:F69)</f>
        <v>29760</v>
      </c>
      <c r="G71" s="53">
        <f>SUM(G8:G69)</f>
        <v>2198</v>
      </c>
      <c r="H71" s="53">
        <f>SUM(H8:H69)</f>
        <v>5364</v>
      </c>
      <c r="I71" s="54"/>
      <c r="J71" s="53">
        <f>SUM(J8:J69)</f>
        <v>22198</v>
      </c>
      <c r="K71" s="55">
        <f>SUM(K8:K69)</f>
        <v>41681</v>
      </c>
      <c r="L71" s="55">
        <f>SUM(L8:L69)</f>
        <v>36740</v>
      </c>
      <c r="M71" s="55">
        <f>SUM(M8:M69)</f>
        <v>1539</v>
      </c>
      <c r="N71" s="55">
        <f>SUM(N8:N69)</f>
        <v>35201</v>
      </c>
      <c r="O71" s="56">
        <f>IFERROR((F71-G71-H71)/(F71-G71),0)</f>
        <v>0.80538422465713666</v>
      </c>
      <c r="P71" s="56">
        <f>IFERROR(L71/K71,0)</f>
        <v>0.88145677886806939</v>
      </c>
      <c r="Q71" s="56">
        <f>IFERROR(N71/L71,0)</f>
        <v>0.95811105062602064</v>
      </c>
      <c r="R71" s="57">
        <f>O71*P71*Q71</f>
        <v>0.6801739423755635</v>
      </c>
      <c r="S71" s="56">
        <f>IFERROR(J71/F71,0)</f>
        <v>0.74590053763440856</v>
      </c>
    </row>
  </sheetData>
  <mergeCells count="7">
    <mergeCell ref="B71:E71"/>
    <mergeCell ref="B2:S2"/>
    <mergeCell ref="B4:S4"/>
    <mergeCell ref="B6:E6"/>
    <mergeCell ref="F6:I6"/>
    <mergeCell ref="J6:N6"/>
    <mergeCell ref="O6:S6"/>
  </mergeCells>
  <conditionalFormatting sqref="O8:O69">
    <cfRule type="colorScale" priority="7">
      <colorScale>
        <cfvo type="num" val="0.5"/>
        <cfvo type="num" val="0.8"/>
        <cfvo type="num" val="1"/>
        <color rgb="FFF2D8D2"/>
        <color rgb="FFF7F4ED"/>
        <color rgb="FFDFEADE"/>
      </colorScale>
    </cfRule>
  </conditionalFormatting>
  <conditionalFormatting sqref="P8:P69">
    <cfRule type="colorScale" priority="8">
      <colorScale>
        <cfvo type="num" val="0.5"/>
        <cfvo type="num" val="0.8"/>
        <cfvo type="num" val="1"/>
        <color rgb="FFF2D8D2"/>
        <color rgb="FFF7F4ED"/>
        <color rgb="FFDFEADE"/>
      </colorScale>
    </cfRule>
  </conditionalFormatting>
  <conditionalFormatting sqref="Q8:Q69">
    <cfRule type="colorScale" priority="9">
      <colorScale>
        <cfvo type="num" val="0.5"/>
        <cfvo type="num" val="0.8"/>
        <cfvo type="num" val="1"/>
        <color rgb="FFF2D8D2"/>
        <color rgb="FFF7F4ED"/>
        <color rgb="FFDFEADE"/>
      </colorScale>
    </cfRule>
  </conditionalFormatting>
  <conditionalFormatting sqref="R8:R69">
    <cfRule type="cellIs" dxfId="3" priority="2" operator="lessThan">
      <formula>0.6</formula>
    </cfRule>
    <cfRule type="cellIs" dxfId="2" priority="3" operator="between">
      <formula>0.6</formula>
      <formula>0.75</formula>
    </cfRule>
    <cfRule type="cellIs" dxfId="1" priority="4" operator="between">
      <formula>0.75</formula>
      <formula>0.85</formula>
    </cfRule>
    <cfRule type="cellIs" dxfId="0" priority="5" operator="greaterThanOrEqual">
      <formula>0.85</formula>
    </cfRule>
  </conditionalFormatting>
  <conditionalFormatting sqref="S8:S69">
    <cfRule type="dataBar" priority="6">
      <dataBar>
        <cfvo type="num" val="0"/>
        <cfvo type="num" val="1"/>
        <color rgb="FFC97B3D"/>
      </dataBar>
      <extLst>
        <ext xmlns:x14="http://schemas.microsoft.com/office/spreadsheetml/2009/9/main" uri="{B025F937-C7B1-47D3-B67F-A62EFF666E3E}">
          <x14:id>{9C6379CB-7BA0-4BAA-8035-211351F5F027}</x14:id>
        </ext>
      </extLst>
    </cfRule>
  </conditionalFormatting>
  <dataValidations count="3">
    <dataValidation type="list" allowBlank="1" sqref="D8:D99" xr:uid="{00000000-0002-0000-0100-000000000000}">
      <formula1>Schichten</formula1>
      <formula2>0</formula2>
    </dataValidation>
    <dataValidation type="list" allowBlank="1" sqref="E8:E99" xr:uid="{00000000-0002-0000-0100-000001000000}">
      <formula1>MaschinenIDs</formula1>
      <formula2>0</formula2>
    </dataValidation>
    <dataValidation type="list" allowBlank="1" sqref="I8:I99" xr:uid="{00000000-0002-0000-0100-000002000000}">
      <formula1>Stillstandsgruende</formula1>
      <formula2>0</formula2>
    </dataValidation>
  </dataValidations>
  <printOptions horizontalCentered="1"/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6379CB-7BA0-4BAA-8035-211351F5F027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C97B3D"/>
            </x14:dataBar>
          </x14:cfRule>
          <xm:sqref>S8:S69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412E"/>
    <pageSetUpPr fitToPage="1"/>
  </sheetPr>
  <dimension ref="B1:K22"/>
  <sheetViews>
    <sheetView showGridLines="0" zoomScaleNormal="100" workbookViewId="0"/>
  </sheetViews>
  <sheetFormatPr baseColWidth="10" defaultColWidth="8.7109375" defaultRowHeight="15" x14ac:dyDescent="0.25"/>
  <cols>
    <col min="1" max="1" width="1.5703125" customWidth="1"/>
    <col min="2" max="2" width="28" customWidth="1"/>
    <col min="3" max="4" width="16" customWidth="1"/>
    <col min="5" max="5" width="14" customWidth="1"/>
    <col min="6" max="6" width="16" customWidth="1"/>
    <col min="7" max="7" width="14" customWidth="1"/>
    <col min="8" max="8" width="1.5703125" customWidth="1"/>
    <col min="9" max="9" width="22" customWidth="1"/>
    <col min="10" max="11" width="14" customWidth="1"/>
    <col min="12" max="12" width="1.5703125" customWidth="1"/>
  </cols>
  <sheetData>
    <row r="1" spans="2:11" ht="7.5" customHeight="1" x14ac:dyDescent="0.25"/>
    <row r="2" spans="2:11" ht="42" customHeight="1" x14ac:dyDescent="0.25">
      <c r="B2" s="14" t="s">
        <v>64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9.75" customHeight="1" x14ac:dyDescent="0.25"/>
    <row r="4" spans="2:11" ht="15" customHeight="1" x14ac:dyDescent="0.25">
      <c r="B4" s="3" t="s">
        <v>65</v>
      </c>
      <c r="C4" s="3"/>
      <c r="D4" s="3"/>
      <c r="E4" s="3"/>
      <c r="F4" s="3"/>
      <c r="G4" s="3"/>
      <c r="H4" s="3"/>
      <c r="I4" s="3"/>
      <c r="J4" s="3"/>
      <c r="K4" s="3"/>
    </row>
    <row r="5" spans="2:11" ht="7.5" customHeight="1" x14ac:dyDescent="0.25"/>
    <row r="6" spans="2:11" ht="24" customHeight="1" x14ac:dyDescent="0.25">
      <c r="B6" s="5" t="s">
        <v>66</v>
      </c>
      <c r="C6" s="5"/>
      <c r="D6" s="5"/>
      <c r="E6" s="5"/>
      <c r="F6" s="5"/>
      <c r="G6" s="5"/>
      <c r="I6" s="5" t="s">
        <v>67</v>
      </c>
      <c r="J6" s="5"/>
      <c r="K6" s="5"/>
    </row>
    <row r="7" spans="2:11" ht="27.75" customHeight="1" x14ac:dyDescent="0.25">
      <c r="B7" s="58" t="s">
        <v>16</v>
      </c>
      <c r="C7" s="58" t="s">
        <v>17</v>
      </c>
      <c r="D7" s="58" t="s">
        <v>68</v>
      </c>
      <c r="E7" s="58" t="s">
        <v>18</v>
      </c>
      <c r="F7" s="58" t="s">
        <v>19</v>
      </c>
      <c r="G7" s="58" t="s">
        <v>69</v>
      </c>
      <c r="I7" s="58" t="s">
        <v>11</v>
      </c>
      <c r="J7" s="58" t="s">
        <v>12</v>
      </c>
      <c r="K7" s="58" t="s">
        <v>70</v>
      </c>
    </row>
    <row r="8" spans="2:11" ht="21.75" customHeight="1" x14ac:dyDescent="0.25">
      <c r="B8" s="23" t="str">
        <f>Stammdaten!E19</f>
        <v>Rüstzeit</v>
      </c>
      <c r="C8" s="59" t="str">
        <f>Stammdaten!F19</f>
        <v>Geplant</v>
      </c>
      <c r="D8" s="60">
        <f>COUNTIF('OEE-Erfassung 2026'!$I$8:$I$69,B8)</f>
        <v>29</v>
      </c>
      <c r="E8" s="24">
        <f>SUMIF('OEE-Erfassung 2026'!$I$8:$I$69,B8,'OEE-Erfassung 2026'!$G$8:$G$69)+SUMIF('OEE-Erfassung 2026'!$I$8:$I$69,B8,'OEE-Erfassung 2026'!$H$8:$H$69)</f>
        <v>3627</v>
      </c>
      <c r="F8" s="25">
        <f t="shared" ref="F8:F18" si="0">IFERROR(E8/SUM($E$8:$E$18),0)</f>
        <v>0.47963501719121926</v>
      </c>
      <c r="G8" s="25">
        <f t="shared" ref="G8:G18" si="1">IFERROR(SUMPRODUCT(($E$8:$E$18&gt;=E8)*$F$8:$F$18),0)</f>
        <v>0.47963501719121926</v>
      </c>
      <c r="I8" s="38" t="s">
        <v>20</v>
      </c>
      <c r="J8" s="25">
        <f>IFERROR(AVERAGEIF('OEE-Erfassung 2026'!$E$8:$E$69,I8,'OEE-Erfassung 2026'!$R$8:$R$69),0)</f>
        <v>0.81849859536853753</v>
      </c>
      <c r="K8" s="24">
        <f>SUMIF('OEE-Erfassung 2026'!$E$8:$E$69,I8,'OEE-Erfassung 2026'!$G$8:$G$69)+SUMIF('OEE-Erfassung 2026'!$E$8:$E$69,I8,'OEE-Erfassung 2026'!$H$8:$H$69)</f>
        <v>474</v>
      </c>
    </row>
    <row r="9" spans="2:11" ht="21.75" customHeight="1" x14ac:dyDescent="0.25">
      <c r="B9" s="31" t="str">
        <f>Stammdaten!E20</f>
        <v>Wartung (planmäßig)</v>
      </c>
      <c r="C9" s="59" t="str">
        <f>Stammdaten!F20</f>
        <v>Geplant</v>
      </c>
      <c r="D9" s="61">
        <f>COUNTIF('OEE-Erfassung 2026'!$I$8:$I$69,B9)</f>
        <v>7</v>
      </c>
      <c r="E9" s="32">
        <f>SUMIF('OEE-Erfassung 2026'!$I$8:$I$69,B9,'OEE-Erfassung 2026'!$G$8:$G$69)+SUMIF('OEE-Erfassung 2026'!$I$8:$I$69,B9,'OEE-Erfassung 2026'!$H$8:$H$69)</f>
        <v>757</v>
      </c>
      <c r="F9" s="33">
        <f t="shared" si="0"/>
        <v>0.10010579211848718</v>
      </c>
      <c r="G9" s="33">
        <f t="shared" si="1"/>
        <v>0.69095477386934667</v>
      </c>
      <c r="I9" s="49" t="s">
        <v>21</v>
      </c>
      <c r="J9" s="33">
        <f>IFERROR(AVERAGEIF('OEE-Erfassung 2026'!$E$8:$E$69,I9,'OEE-Erfassung 2026'!$R$8:$R$69),0)</f>
        <v>0.77657224444834261</v>
      </c>
      <c r="K9" s="32">
        <f>SUMIF('OEE-Erfassung 2026'!$E$8:$E$69,I9,'OEE-Erfassung 2026'!$G$8:$G$69)+SUMIF('OEE-Erfassung 2026'!$E$8:$E$69,I9,'OEE-Erfassung 2026'!$H$8:$H$69)</f>
        <v>418</v>
      </c>
    </row>
    <row r="10" spans="2:11" ht="21.75" customHeight="1" x14ac:dyDescent="0.25">
      <c r="B10" s="23" t="str">
        <f>Stammdaten!E21</f>
        <v>Pause / Schichtwechsel</v>
      </c>
      <c r="C10" s="59" t="str">
        <f>Stammdaten!F21</f>
        <v>Geplant</v>
      </c>
      <c r="D10" s="60">
        <f>COUNTIF('OEE-Erfassung 2026'!$I$8:$I$69,B10)</f>
        <v>5</v>
      </c>
      <c r="E10" s="24">
        <f>SUMIF('OEE-Erfassung 2026'!$I$8:$I$69,B10,'OEE-Erfassung 2026'!$G$8:$G$69)+SUMIF('OEE-Erfassung 2026'!$I$8:$I$69,B10,'OEE-Erfassung 2026'!$H$8:$H$69)</f>
        <v>669</v>
      </c>
      <c r="F10" s="25">
        <f t="shared" si="0"/>
        <v>8.8468659084898177E-2</v>
      </c>
      <c r="G10" s="25">
        <f t="shared" si="1"/>
        <v>0.77942343295424488</v>
      </c>
      <c r="I10" s="38" t="s">
        <v>22</v>
      </c>
      <c r="J10" s="25">
        <f>IFERROR(AVERAGEIF('OEE-Erfassung 2026'!$E$8:$E$69,I10,'OEE-Erfassung 2026'!$R$8:$R$69),0)</f>
        <v>0.65973641186930931</v>
      </c>
      <c r="K10" s="24">
        <f>SUMIF('OEE-Erfassung 2026'!$E$8:$E$69,I10,'OEE-Erfassung 2026'!$G$8:$G$69)+SUMIF('OEE-Erfassung 2026'!$E$8:$E$69,I10,'OEE-Erfassung 2026'!$H$8:$H$69)</f>
        <v>619</v>
      </c>
    </row>
    <row r="11" spans="2:11" ht="21.75" customHeight="1" x14ac:dyDescent="0.25">
      <c r="B11" s="31" t="str">
        <f>Stammdaten!E22</f>
        <v>Schulung</v>
      </c>
      <c r="C11" s="59" t="str">
        <f>Stammdaten!F22</f>
        <v>Geplant</v>
      </c>
      <c r="D11" s="61">
        <f>COUNTIF('OEE-Erfassung 2026'!$I$8:$I$69,B11)</f>
        <v>0</v>
      </c>
      <c r="E11" s="32">
        <f>SUMIF('OEE-Erfassung 2026'!$I$8:$I$69,B11,'OEE-Erfassung 2026'!$G$8:$G$69)+SUMIF('OEE-Erfassung 2026'!$I$8:$I$69,B11,'OEE-Erfassung 2026'!$H$8:$H$69)</f>
        <v>0</v>
      </c>
      <c r="F11" s="33">
        <f t="shared" si="0"/>
        <v>0</v>
      </c>
      <c r="G11" s="33">
        <f t="shared" si="1"/>
        <v>1</v>
      </c>
      <c r="I11" s="49" t="s">
        <v>23</v>
      </c>
      <c r="J11" s="33">
        <f>IFERROR(AVERAGEIF('OEE-Erfassung 2026'!$E$8:$E$69,I11,'OEE-Erfassung 2026'!$R$8:$R$69),0)</f>
        <v>0.53495723880227852</v>
      </c>
      <c r="K11" s="32">
        <f>SUMIF('OEE-Erfassung 2026'!$E$8:$E$69,I11,'OEE-Erfassung 2026'!$G$8:$G$69)+SUMIF('OEE-Erfassung 2026'!$E$8:$E$69,I11,'OEE-Erfassung 2026'!$H$8:$H$69)</f>
        <v>2262</v>
      </c>
    </row>
    <row r="12" spans="2:11" ht="21.75" customHeight="1" x14ac:dyDescent="0.25">
      <c r="B12" s="23" t="str">
        <f>Stammdaten!E23</f>
        <v>Maschinenstörung</v>
      </c>
      <c r="C12" s="62" t="str">
        <f>Stammdaten!F23</f>
        <v>Ungeplant</v>
      </c>
      <c r="D12" s="60">
        <f>COUNTIF('OEE-Erfassung 2026'!$I$8:$I$69,B12)</f>
        <v>7</v>
      </c>
      <c r="E12" s="24">
        <f>SUMIF('OEE-Erfassung 2026'!$I$8:$I$69,B12,'OEE-Erfassung 2026'!$G$8:$G$69)+SUMIF('OEE-Erfassung 2026'!$I$8:$I$69,B12,'OEE-Erfassung 2026'!$H$8:$H$69)</f>
        <v>841</v>
      </c>
      <c r="F12" s="25">
        <f t="shared" si="0"/>
        <v>0.1112139645596403</v>
      </c>
      <c r="G12" s="25">
        <f t="shared" si="1"/>
        <v>0.59084898175085954</v>
      </c>
      <c r="I12" s="38" t="s">
        <v>24</v>
      </c>
      <c r="J12" s="25">
        <f>IFERROR(AVERAGEIF('OEE-Erfassung 2026'!$E$8:$E$69,I12,'OEE-Erfassung 2026'!$R$8:$R$69),0)</f>
        <v>0.6049290236169681</v>
      </c>
      <c r="K12" s="24">
        <f>SUMIF('OEE-Erfassung 2026'!$E$8:$E$69,I12,'OEE-Erfassung 2026'!$G$8:$G$69)+SUMIF('OEE-Erfassung 2026'!$E$8:$E$69,I12,'OEE-Erfassung 2026'!$H$8:$H$69)</f>
        <v>1468</v>
      </c>
    </row>
    <row r="13" spans="2:11" ht="21.75" customHeight="1" x14ac:dyDescent="0.25">
      <c r="B13" s="31" t="str">
        <f>Stammdaten!E24</f>
        <v>Werkzeugbruch</v>
      </c>
      <c r="C13" s="62" t="str">
        <f>Stammdaten!F24</f>
        <v>Ungeplant</v>
      </c>
      <c r="D13" s="61">
        <f>COUNTIF('OEE-Erfassung 2026'!$I$8:$I$69,B13)</f>
        <v>4</v>
      </c>
      <c r="E13" s="32">
        <f>SUMIF('OEE-Erfassung 2026'!$I$8:$I$69,B13,'OEE-Erfassung 2026'!$G$8:$G$69)+SUMIF('OEE-Erfassung 2026'!$I$8:$I$69,B13,'OEE-Erfassung 2026'!$H$8:$H$69)</f>
        <v>395</v>
      </c>
      <c r="F13" s="33">
        <f t="shared" si="0"/>
        <v>5.223485850304152E-2</v>
      </c>
      <c r="G13" s="33">
        <f t="shared" si="1"/>
        <v>0.9104734197302301</v>
      </c>
      <c r="I13" s="49" t="s">
        <v>25</v>
      </c>
      <c r="J13" s="33">
        <f>IFERROR(AVERAGEIF('OEE-Erfassung 2026'!$E$8:$E$69,I13,'OEE-Erfassung 2026'!$R$8:$R$69),0)</f>
        <v>0.7489519048744353</v>
      </c>
      <c r="K13" s="32">
        <f>SUMIF('OEE-Erfassung 2026'!$E$8:$E$69,I13,'OEE-Erfassung 2026'!$G$8:$G$69)+SUMIF('OEE-Erfassung 2026'!$E$8:$E$69,I13,'OEE-Erfassung 2026'!$H$8:$H$69)</f>
        <v>586</v>
      </c>
    </row>
    <row r="14" spans="2:11" ht="21.75" customHeight="1" x14ac:dyDescent="0.25">
      <c r="B14" s="23" t="str">
        <f>Stammdaten!E25</f>
        <v>Materialmangel</v>
      </c>
      <c r="C14" s="62" t="str">
        <f>Stammdaten!F25</f>
        <v>Ungeplant</v>
      </c>
      <c r="D14" s="60">
        <f>COUNTIF('OEE-Erfassung 2026'!$I$8:$I$69,B14)</f>
        <v>5</v>
      </c>
      <c r="E14" s="24">
        <f>SUMIF('OEE-Erfassung 2026'!$I$8:$I$69,B14,'OEE-Erfassung 2026'!$G$8:$G$69)+SUMIF('OEE-Erfassung 2026'!$I$8:$I$69,B14,'OEE-Erfassung 2026'!$H$8:$H$69)</f>
        <v>596</v>
      </c>
      <c r="F14" s="25">
        <f t="shared" si="0"/>
        <v>7.8815128272943666E-2</v>
      </c>
      <c r="G14" s="25">
        <f t="shared" si="1"/>
        <v>0.85823856122718856</v>
      </c>
      <c r="I14" s="38" t="s">
        <v>26</v>
      </c>
      <c r="J14" s="25">
        <f>IFERROR(AVERAGEIF('OEE-Erfassung 2026'!$E$8:$E$69,I14,'OEE-Erfassung 2026'!$R$8:$R$69),0)</f>
        <v>0.78720979601165486</v>
      </c>
      <c r="K14" s="24">
        <f>SUMIF('OEE-Erfassung 2026'!$E$8:$E$69,I14,'OEE-Erfassung 2026'!$G$8:$G$69)+SUMIF('OEE-Erfassung 2026'!$E$8:$E$69,I14,'OEE-Erfassung 2026'!$H$8:$H$69)</f>
        <v>561</v>
      </c>
    </row>
    <row r="15" spans="2:11" ht="21.75" customHeight="1" x14ac:dyDescent="0.25">
      <c r="B15" s="31" t="str">
        <f>Stammdaten!E26</f>
        <v>Qualitätsabweichung</v>
      </c>
      <c r="C15" s="62" t="str">
        <f>Stammdaten!F26</f>
        <v>Ungeplant</v>
      </c>
      <c r="D15" s="61">
        <f>COUNTIF('OEE-Erfassung 2026'!$I$8:$I$69,B15)</f>
        <v>2</v>
      </c>
      <c r="E15" s="32">
        <f>SUMIF('OEE-Erfassung 2026'!$I$8:$I$69,B15,'OEE-Erfassung 2026'!$G$8:$G$69)+SUMIF('OEE-Erfassung 2026'!$I$8:$I$69,B15,'OEE-Erfassung 2026'!$H$8:$H$69)</f>
        <v>278</v>
      </c>
      <c r="F15" s="33">
        <f t="shared" si="0"/>
        <v>3.6762761174292516E-2</v>
      </c>
      <c r="G15" s="33">
        <f t="shared" si="1"/>
        <v>0.98598254430044963</v>
      </c>
      <c r="I15" s="49" t="s">
        <v>27</v>
      </c>
      <c r="J15" s="33">
        <f>IFERROR(AVERAGEIF('OEE-Erfassung 2026'!$E$8:$E$69,I15,'OEE-Erfassung 2026'!$R$8:$R$69),0)</f>
        <v>0.57469089157324371</v>
      </c>
      <c r="K15" s="32">
        <f>SUMIF('OEE-Erfassung 2026'!$E$8:$E$69,I15,'OEE-Erfassung 2026'!$G$8:$G$69)+SUMIF('OEE-Erfassung 2026'!$E$8:$E$69,I15,'OEE-Erfassung 2026'!$H$8:$H$69)</f>
        <v>1174</v>
      </c>
    </row>
    <row r="16" spans="2:11" ht="21.75" customHeight="1" x14ac:dyDescent="0.25">
      <c r="B16" s="23" t="str">
        <f>Stammdaten!E27</f>
        <v>Personalmangel</v>
      </c>
      <c r="C16" s="62" t="str">
        <f>Stammdaten!F27</f>
        <v>Ungeplant</v>
      </c>
      <c r="D16" s="60">
        <f>COUNTIF('OEE-Erfassung 2026'!$I$8:$I$69,B16)</f>
        <v>2</v>
      </c>
      <c r="E16" s="24">
        <f>SUMIF('OEE-Erfassung 2026'!$I$8:$I$69,B16,'OEE-Erfassung 2026'!$G$8:$G$69)+SUMIF('OEE-Erfassung 2026'!$I$8:$I$69,B16,'OEE-Erfassung 2026'!$H$8:$H$69)</f>
        <v>293</v>
      </c>
      <c r="F16" s="25">
        <f t="shared" si="0"/>
        <v>3.8746363395927005E-2</v>
      </c>
      <c r="G16" s="25">
        <f t="shared" si="1"/>
        <v>0.94921978312615707</v>
      </c>
    </row>
    <row r="17" spans="2:7" ht="21.75" customHeight="1" x14ac:dyDescent="0.25">
      <c r="B17" s="31" t="str">
        <f>Stammdaten!E28</f>
        <v>Stromausfall</v>
      </c>
      <c r="C17" s="62" t="str">
        <f>Stammdaten!F28</f>
        <v>Ungeplant</v>
      </c>
      <c r="D17" s="61">
        <f>COUNTIF('OEE-Erfassung 2026'!$I$8:$I$69,B17)</f>
        <v>0</v>
      </c>
      <c r="E17" s="32">
        <f>SUMIF('OEE-Erfassung 2026'!$I$8:$I$69,B17,'OEE-Erfassung 2026'!$G$8:$G$69)+SUMIF('OEE-Erfassung 2026'!$I$8:$I$69,B17,'OEE-Erfassung 2026'!$H$8:$H$69)</f>
        <v>0</v>
      </c>
      <c r="F17" s="33">
        <f t="shared" si="0"/>
        <v>0</v>
      </c>
      <c r="G17" s="33">
        <f t="shared" si="1"/>
        <v>1</v>
      </c>
    </row>
    <row r="18" spans="2:7" ht="21.75" customHeight="1" x14ac:dyDescent="0.25">
      <c r="B18" s="23" t="str">
        <f>Stammdaten!E29</f>
        <v>Sonstiges</v>
      </c>
      <c r="C18" s="62" t="str">
        <f>Stammdaten!F29</f>
        <v>Ungeplant</v>
      </c>
      <c r="D18" s="60">
        <f>COUNTIF('OEE-Erfassung 2026'!$I$8:$I$69,B18)</f>
        <v>1</v>
      </c>
      <c r="E18" s="24">
        <f>SUMIF('OEE-Erfassung 2026'!$I$8:$I$69,B18,'OEE-Erfassung 2026'!$G$8:$G$69)+SUMIF('OEE-Erfassung 2026'!$I$8:$I$69,B18,'OEE-Erfassung 2026'!$H$8:$H$69)</f>
        <v>106</v>
      </c>
      <c r="F18" s="25">
        <f t="shared" si="0"/>
        <v>1.4017455699550383E-2</v>
      </c>
      <c r="G18" s="25">
        <f t="shared" si="1"/>
        <v>1</v>
      </c>
    </row>
    <row r="19" spans="2:7" ht="24" customHeight="1" x14ac:dyDescent="0.25">
      <c r="B19" s="69" t="s">
        <v>71</v>
      </c>
      <c r="C19" s="69"/>
      <c r="D19" s="63">
        <f>SUM(D8:D18)</f>
        <v>62</v>
      </c>
      <c r="E19" s="53">
        <f>SUM(E8:E18)</f>
        <v>7562</v>
      </c>
      <c r="F19" s="64" t="s">
        <v>72</v>
      </c>
      <c r="G19" s="54"/>
    </row>
    <row r="22" spans="2:7" ht="24" customHeight="1" x14ac:dyDescent="0.25">
      <c r="B22" s="5" t="s">
        <v>73</v>
      </c>
      <c r="C22" s="5"/>
      <c r="D22" s="5"/>
      <c r="E22" s="5"/>
      <c r="F22" s="5"/>
      <c r="G22" s="5"/>
    </row>
  </sheetData>
  <mergeCells count="6">
    <mergeCell ref="B22:G22"/>
    <mergeCell ref="B2:K2"/>
    <mergeCell ref="B4:K4"/>
    <mergeCell ref="B6:G6"/>
    <mergeCell ref="I6:K6"/>
    <mergeCell ref="B19:C19"/>
  </mergeCells>
  <conditionalFormatting sqref="E8:E18">
    <cfRule type="dataBar" priority="2">
      <dataBar>
        <cfvo type="min"/>
        <cfvo type="max"/>
        <color rgb="FFC97B3D"/>
      </dataBar>
      <extLst>
        <ext xmlns:x14="http://schemas.microsoft.com/office/spreadsheetml/2009/9/main" uri="{B025F937-C7B1-47D3-B67F-A62EFF666E3E}">
          <x14:id>{F550A7EE-9FC3-4AE0-B5CA-E797249341C0}</x14:id>
        </ext>
      </extLst>
    </cfRule>
  </conditionalFormatting>
  <conditionalFormatting sqref="J8:J15">
    <cfRule type="colorScale" priority="3">
      <colorScale>
        <cfvo type="num" val="0.5"/>
        <cfvo type="num" val="0.7"/>
        <cfvo type="num" val="0.9"/>
        <color rgb="FFF2D8D2"/>
        <color rgb="FFF7EDCC"/>
        <color rgb="FFDFEADE"/>
      </colorScale>
    </cfRule>
  </conditionalFormatting>
  <conditionalFormatting sqref="K8:K15">
    <cfRule type="dataBar" priority="4">
      <dataBar>
        <cfvo type="min"/>
        <cfvo type="max"/>
        <color rgb="FFB8412E"/>
      </dataBar>
      <extLst>
        <ext xmlns:x14="http://schemas.microsoft.com/office/spreadsheetml/2009/9/main" uri="{B025F937-C7B1-47D3-B67F-A62EFF666E3E}">
          <x14:id>{BE808A9A-4226-4290-957D-6A66EFEC5578}</x14:id>
        </ext>
      </extLst>
    </cfRule>
  </conditionalFormatting>
  <printOptions horizontalCentered="1"/>
  <pageMargins left="0.3" right="0.3" top="0.4" bottom="0.4" header="0.511811023622047" footer="0.511811023622047"/>
  <pageSetup fitToHeight="0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0A7EE-9FC3-4AE0-B5CA-E797249341C0}">
            <x14:dataBar axisPosition="none">
              <x14:cfvo type="min"/>
              <x14:cfvo type="max"/>
              <x14:negativeFillColor rgb="FFC97B3D"/>
            </x14:dataBar>
          </x14:cfRule>
          <xm:sqref>E8:E18</xm:sqref>
        </x14:conditionalFormatting>
        <x14:conditionalFormatting xmlns:xm="http://schemas.microsoft.com/office/excel/2006/main">
          <x14:cfRule type="dataBar" id="{BE808A9A-4226-4290-957D-6A66EFEC5578}">
            <x14:dataBar axisPosition="none">
              <x14:cfvo type="min"/>
              <x14:cfvo type="max"/>
              <x14:negativeFillColor rgb="FFB8412E"/>
            </x14:dataBar>
          </x14:cfRule>
          <xm:sqref>K8:K15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B6B6B"/>
    <pageSetUpPr fitToPage="1"/>
  </sheetPr>
  <dimension ref="B1:J2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14" customWidth="1"/>
    <col min="3" max="3" width="28" customWidth="1"/>
    <col min="4" max="4" width="20" customWidth="1"/>
    <col min="5" max="5" width="26" customWidth="1"/>
    <col min="6" max="6" width="14" customWidth="1"/>
    <col min="7" max="7" width="16" customWidth="1"/>
    <col min="8" max="10" width="2" customWidth="1"/>
  </cols>
  <sheetData>
    <row r="1" spans="2:10" ht="7.5" customHeight="1" x14ac:dyDescent="0.25"/>
    <row r="2" spans="2:10" ht="39.75" customHeight="1" x14ac:dyDescent="0.25">
      <c r="B2" s="14" t="s">
        <v>74</v>
      </c>
      <c r="C2" s="14"/>
      <c r="D2" s="14"/>
      <c r="E2" s="14"/>
      <c r="F2" s="14"/>
      <c r="G2" s="14"/>
      <c r="H2" s="14"/>
      <c r="I2" s="14"/>
      <c r="J2" s="14"/>
    </row>
    <row r="3" spans="2:10" ht="9.75" customHeight="1" x14ac:dyDescent="0.25"/>
    <row r="4" spans="2:10" ht="15" customHeight="1" x14ac:dyDescent="0.25">
      <c r="B4" s="3" t="s">
        <v>75</v>
      </c>
      <c r="C4" s="3"/>
      <c r="D4" s="3"/>
      <c r="E4" s="3"/>
      <c r="F4" s="3"/>
      <c r="G4" s="3"/>
      <c r="H4" s="3"/>
      <c r="I4" s="3"/>
      <c r="J4" s="3"/>
    </row>
    <row r="5" spans="2:10" ht="7.5" customHeight="1" x14ac:dyDescent="0.25"/>
    <row r="6" spans="2:10" ht="24" customHeight="1" x14ac:dyDescent="0.25">
      <c r="B6" s="5" t="s">
        <v>76</v>
      </c>
      <c r="C6" s="5"/>
      <c r="D6" s="5"/>
      <c r="E6" s="5"/>
      <c r="F6" s="5"/>
      <c r="G6" s="5"/>
    </row>
    <row r="7" spans="2:10" ht="27.75" customHeight="1" x14ac:dyDescent="0.25">
      <c r="B7" s="58" t="s">
        <v>77</v>
      </c>
      <c r="C7" s="58" t="s">
        <v>78</v>
      </c>
      <c r="D7" s="58" t="s">
        <v>79</v>
      </c>
      <c r="E7" s="58" t="s">
        <v>80</v>
      </c>
      <c r="F7" s="58" t="s">
        <v>81</v>
      </c>
      <c r="G7" s="58" t="s">
        <v>82</v>
      </c>
    </row>
    <row r="8" spans="2:10" ht="21.75" customHeight="1" x14ac:dyDescent="0.25">
      <c r="B8" s="38" t="s">
        <v>20</v>
      </c>
      <c r="C8" s="23" t="s">
        <v>83</v>
      </c>
      <c r="D8" s="23" t="s">
        <v>84</v>
      </c>
      <c r="E8" s="65" t="s">
        <v>85</v>
      </c>
      <c r="F8" s="60">
        <v>120</v>
      </c>
      <c r="G8" s="65" t="s">
        <v>86</v>
      </c>
    </row>
    <row r="9" spans="2:10" ht="21.75" customHeight="1" x14ac:dyDescent="0.25">
      <c r="B9" s="49" t="s">
        <v>21</v>
      </c>
      <c r="C9" s="31" t="s">
        <v>87</v>
      </c>
      <c r="D9" s="31" t="s">
        <v>84</v>
      </c>
      <c r="E9" s="66" t="s">
        <v>85</v>
      </c>
      <c r="F9" s="61">
        <v>120</v>
      </c>
      <c r="G9" s="66" t="s">
        <v>86</v>
      </c>
    </row>
    <row r="10" spans="2:10" ht="21.75" customHeight="1" x14ac:dyDescent="0.25">
      <c r="B10" s="38" t="s">
        <v>22</v>
      </c>
      <c r="C10" s="23" t="s">
        <v>88</v>
      </c>
      <c r="D10" s="23" t="s">
        <v>89</v>
      </c>
      <c r="E10" s="65" t="s">
        <v>85</v>
      </c>
      <c r="F10" s="60">
        <v>90</v>
      </c>
      <c r="G10" s="65" t="s">
        <v>90</v>
      </c>
    </row>
    <row r="11" spans="2:10" ht="21.75" customHeight="1" x14ac:dyDescent="0.25">
      <c r="B11" s="49" t="s">
        <v>23</v>
      </c>
      <c r="C11" s="31" t="s">
        <v>91</v>
      </c>
      <c r="D11" s="31" t="s">
        <v>92</v>
      </c>
      <c r="E11" s="66" t="s">
        <v>93</v>
      </c>
      <c r="F11" s="61">
        <v>60</v>
      </c>
      <c r="G11" s="66" t="s">
        <v>90</v>
      </c>
    </row>
    <row r="12" spans="2:10" ht="21.75" customHeight="1" x14ac:dyDescent="0.25">
      <c r="B12" s="38" t="s">
        <v>24</v>
      </c>
      <c r="C12" s="23" t="s">
        <v>94</v>
      </c>
      <c r="D12" s="23" t="s">
        <v>92</v>
      </c>
      <c r="E12" s="65" t="s">
        <v>93</v>
      </c>
      <c r="F12" s="60">
        <v>60</v>
      </c>
      <c r="G12" s="65" t="s">
        <v>90</v>
      </c>
    </row>
    <row r="13" spans="2:10" ht="21.75" customHeight="1" x14ac:dyDescent="0.25">
      <c r="B13" s="49" t="s">
        <v>25</v>
      </c>
      <c r="C13" s="31" t="s">
        <v>95</v>
      </c>
      <c r="D13" s="31" t="s">
        <v>96</v>
      </c>
      <c r="E13" s="66" t="s">
        <v>97</v>
      </c>
      <c r="F13" s="61">
        <v>150</v>
      </c>
      <c r="G13" s="66" t="s">
        <v>86</v>
      </c>
    </row>
    <row r="14" spans="2:10" ht="21.75" customHeight="1" x14ac:dyDescent="0.25">
      <c r="B14" s="38" t="s">
        <v>26</v>
      </c>
      <c r="C14" s="23" t="s">
        <v>98</v>
      </c>
      <c r="D14" s="23" t="s">
        <v>99</v>
      </c>
      <c r="E14" s="65" t="s">
        <v>97</v>
      </c>
      <c r="F14" s="60">
        <v>300</v>
      </c>
      <c r="G14" s="65" t="s">
        <v>86</v>
      </c>
    </row>
    <row r="15" spans="2:10" ht="21.75" customHeight="1" x14ac:dyDescent="0.25">
      <c r="B15" s="49" t="s">
        <v>27</v>
      </c>
      <c r="C15" s="31" t="s">
        <v>100</v>
      </c>
      <c r="D15" s="31" t="s">
        <v>101</v>
      </c>
      <c r="E15" s="66" t="s">
        <v>102</v>
      </c>
      <c r="F15" s="61">
        <v>45</v>
      </c>
      <c r="G15" s="66" t="s">
        <v>90</v>
      </c>
    </row>
    <row r="17" spans="2:7" ht="24" customHeight="1" x14ac:dyDescent="0.25">
      <c r="B17" s="5" t="s">
        <v>103</v>
      </c>
      <c r="C17" s="5"/>
      <c r="E17" s="5" t="s">
        <v>104</v>
      </c>
      <c r="F17" s="5"/>
      <c r="G17" s="5"/>
    </row>
    <row r="18" spans="2:7" ht="24" customHeight="1" x14ac:dyDescent="0.25">
      <c r="B18" s="58" t="s">
        <v>37</v>
      </c>
      <c r="C18" s="58" t="s">
        <v>105</v>
      </c>
      <c r="E18" s="58" t="s">
        <v>16</v>
      </c>
      <c r="F18" s="58" t="s">
        <v>17</v>
      </c>
      <c r="G18" s="58" t="s">
        <v>106</v>
      </c>
    </row>
    <row r="19" spans="2:7" ht="19.5" customHeight="1" x14ac:dyDescent="0.25">
      <c r="B19" s="23" t="s">
        <v>52</v>
      </c>
      <c r="C19" s="37" t="s">
        <v>107</v>
      </c>
      <c r="E19" s="23" t="s">
        <v>53</v>
      </c>
      <c r="F19" s="59" t="s">
        <v>108</v>
      </c>
      <c r="G19" s="37" t="s">
        <v>109</v>
      </c>
    </row>
    <row r="20" spans="2:7" ht="19.5" customHeight="1" x14ac:dyDescent="0.25">
      <c r="B20" s="31" t="s">
        <v>56</v>
      </c>
      <c r="C20" s="48" t="s">
        <v>110</v>
      </c>
      <c r="E20" s="31" t="s">
        <v>58</v>
      </c>
      <c r="F20" s="59" t="s">
        <v>108</v>
      </c>
      <c r="G20" s="48" t="s">
        <v>111</v>
      </c>
    </row>
    <row r="21" spans="2:7" ht="19.5" customHeight="1" x14ac:dyDescent="0.25">
      <c r="B21" s="23" t="s">
        <v>112</v>
      </c>
      <c r="C21" s="37" t="s">
        <v>113</v>
      </c>
      <c r="E21" s="23" t="s">
        <v>59</v>
      </c>
      <c r="F21" s="59" t="s">
        <v>108</v>
      </c>
      <c r="G21" s="37" t="s">
        <v>114</v>
      </c>
    </row>
    <row r="22" spans="2:7" ht="19.5" customHeight="1" x14ac:dyDescent="0.25">
      <c r="E22" s="31" t="s">
        <v>115</v>
      </c>
      <c r="F22" s="59" t="s">
        <v>108</v>
      </c>
      <c r="G22" s="48" t="s">
        <v>116</v>
      </c>
    </row>
    <row r="23" spans="2:7" ht="19.5" customHeight="1" x14ac:dyDescent="0.25">
      <c r="E23" s="23" t="s">
        <v>54</v>
      </c>
      <c r="F23" s="62" t="s">
        <v>117</v>
      </c>
      <c r="G23" s="37" t="s">
        <v>118</v>
      </c>
    </row>
    <row r="24" spans="2:7" ht="19.5" customHeight="1" x14ac:dyDescent="0.25">
      <c r="E24" s="31" t="s">
        <v>57</v>
      </c>
      <c r="F24" s="62" t="s">
        <v>117</v>
      </c>
      <c r="G24" s="48" t="s">
        <v>119</v>
      </c>
    </row>
    <row r="25" spans="2:7" ht="19.5" customHeight="1" x14ac:dyDescent="0.25">
      <c r="E25" s="23" t="s">
        <v>55</v>
      </c>
      <c r="F25" s="62" t="s">
        <v>117</v>
      </c>
      <c r="G25" s="37" t="s">
        <v>120</v>
      </c>
    </row>
    <row r="26" spans="2:7" ht="19.5" customHeight="1" x14ac:dyDescent="0.25">
      <c r="E26" s="31" t="s">
        <v>60</v>
      </c>
      <c r="F26" s="62" t="s">
        <v>117</v>
      </c>
      <c r="G26" s="48" t="s">
        <v>121</v>
      </c>
    </row>
    <row r="27" spans="2:7" ht="19.5" customHeight="1" x14ac:dyDescent="0.25">
      <c r="E27" s="23" t="s">
        <v>61</v>
      </c>
      <c r="F27" s="62" t="s">
        <v>117</v>
      </c>
      <c r="G27" s="37" t="s">
        <v>122</v>
      </c>
    </row>
    <row r="28" spans="2:7" ht="19.5" customHeight="1" x14ac:dyDescent="0.25">
      <c r="E28" s="31" t="s">
        <v>123</v>
      </c>
      <c r="F28" s="62" t="s">
        <v>117</v>
      </c>
      <c r="G28" s="48" t="s">
        <v>124</v>
      </c>
    </row>
    <row r="29" spans="2:7" ht="19.5" customHeight="1" x14ac:dyDescent="0.25">
      <c r="E29" s="23" t="s">
        <v>62</v>
      </c>
      <c r="F29" s="62" t="s">
        <v>117</v>
      </c>
      <c r="G29" s="37" t="s">
        <v>125</v>
      </c>
    </row>
  </sheetData>
  <mergeCells count="5">
    <mergeCell ref="B2:J2"/>
    <mergeCell ref="B4:J4"/>
    <mergeCell ref="B6:G6"/>
    <mergeCell ref="B17:C17"/>
    <mergeCell ref="E17:G17"/>
  </mergeCells>
  <printOptions horizontalCentered="1"/>
  <pageMargins left="0.3" right="0.3" top="0.4" bottom="0.4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Dashboard</vt:lpstr>
      <vt:lpstr>OEE-Erfassung 2026</vt:lpstr>
      <vt:lpstr>Stillstandsanalyse</vt:lpstr>
      <vt:lpstr>Stammdaten</vt:lpstr>
      <vt:lpstr>Maschinen</vt:lpstr>
      <vt:lpstr>MaschinenIDs</vt:lpstr>
      <vt:lpstr>Schichten</vt:lpstr>
      <vt:lpstr>Stillstandsgruende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2026-06-24T05:18:32Z</dcterms:created>
  <dcterms:modified xsi:type="dcterms:W3CDTF">2026-06-24T06:15:15Z</dcterms:modified>
  <dc:language>en-US</dc:language>
</cp:coreProperties>
</file>