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5EBCBE9E-DBE5-413A-98A5-7E137FFB34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shboard" sheetId="1" r:id="rId1"/>
    <sheet name="Maschinenplanung" sheetId="2" r:id="rId2"/>
    <sheet name="Maschinenstamm" sheetId="3" r:id="rId3"/>
  </sheets>
  <definedNames>
    <definedName name="_xlnm.Print_Area" localSheetId="0">Dashboard!$A$1:$N$49</definedName>
    <definedName name="_xlnm.Print_Area" localSheetId="1">Maschinenplanung!$A$1:$N$22</definedName>
    <definedName name="_xlnm.Print_Area" localSheetId="2">Maschinenstamm!$A$1:$I$44</definedName>
    <definedName name="_xlnm.Print_Titles" localSheetId="1">Maschinenplanung!$5:$5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3" l="1"/>
  <c r="E42" i="3" s="1"/>
  <c r="B42" i="3"/>
  <c r="D42" i="3" s="1"/>
  <c r="A42" i="3"/>
  <c r="C41" i="3"/>
  <c r="E41" i="3" s="1"/>
  <c r="B41" i="3"/>
  <c r="D41" i="3" s="1"/>
  <c r="A41" i="3"/>
  <c r="O40" i="3"/>
  <c r="C40" i="3"/>
  <c r="E40" i="3" s="1"/>
  <c r="B40" i="3"/>
  <c r="A40" i="3"/>
  <c r="O39" i="3"/>
  <c r="L39" i="3"/>
  <c r="C39" i="3"/>
  <c r="E39" i="3" s="1"/>
  <c r="B39" i="3"/>
  <c r="A39" i="3"/>
  <c r="O38" i="3"/>
  <c r="L38" i="3"/>
  <c r="C38" i="3"/>
  <c r="E38" i="3" s="1"/>
  <c r="B38" i="3"/>
  <c r="A38" i="3"/>
  <c r="O37" i="3"/>
  <c r="L37" i="3"/>
  <c r="C37" i="3"/>
  <c r="D37" i="3" s="1"/>
  <c r="B37" i="3"/>
  <c r="A37" i="3"/>
  <c r="O36" i="3"/>
  <c r="L36" i="3"/>
  <c r="C36" i="3"/>
  <c r="E36" i="3" s="1"/>
  <c r="B36" i="3"/>
  <c r="B43" i="3" s="1"/>
  <c r="A36" i="3"/>
  <c r="O35" i="3"/>
  <c r="L35" i="3"/>
  <c r="C35" i="3"/>
  <c r="C43" i="3" s="1"/>
  <c r="E43" i="3" s="1"/>
  <c r="F7" i="1" s="1"/>
  <c r="B35" i="3"/>
  <c r="A35" i="3"/>
  <c r="D18" i="3"/>
  <c r="N60" i="2"/>
  <c r="A60" i="2"/>
  <c r="N59" i="2"/>
  <c r="A59" i="2"/>
  <c r="N58" i="2"/>
  <c r="A58" i="2"/>
  <c r="N57" i="2"/>
  <c r="A57" i="2"/>
  <c r="N56" i="2"/>
  <c r="A56" i="2"/>
  <c r="N55" i="2"/>
  <c r="A55" i="2"/>
  <c r="N54" i="2"/>
  <c r="A54" i="2"/>
  <c r="N53" i="2"/>
  <c r="A53" i="2"/>
  <c r="N52" i="2"/>
  <c r="A52" i="2"/>
  <c r="N51" i="2"/>
  <c r="A51" i="2"/>
  <c r="N50" i="2"/>
  <c r="A50" i="2"/>
  <c r="N49" i="2"/>
  <c r="A49" i="2"/>
  <c r="N48" i="2"/>
  <c r="A48" i="2"/>
  <c r="N47" i="2"/>
  <c r="A47" i="2"/>
  <c r="N46" i="2"/>
  <c r="A46" i="2"/>
  <c r="N45" i="2"/>
  <c r="A45" i="2"/>
  <c r="N44" i="2"/>
  <c r="A44" i="2"/>
  <c r="N43" i="2"/>
  <c r="A43" i="2"/>
  <c r="N42" i="2"/>
  <c r="A42" i="2"/>
  <c r="N41" i="2"/>
  <c r="A41" i="2"/>
  <c r="N40" i="2"/>
  <c r="A40" i="2"/>
  <c r="N39" i="2"/>
  <c r="A39" i="2"/>
  <c r="N38" i="2"/>
  <c r="A38" i="2"/>
  <c r="N37" i="2"/>
  <c r="A37" i="2"/>
  <c r="N36" i="2"/>
  <c r="A36" i="2"/>
  <c r="N35" i="2"/>
  <c r="A35" i="2"/>
  <c r="N34" i="2"/>
  <c r="A34" i="2"/>
  <c r="N33" i="2"/>
  <c r="A33" i="2"/>
  <c r="N32" i="2"/>
  <c r="A32" i="2"/>
  <c r="N31" i="2"/>
  <c r="A31" i="2"/>
  <c r="N30" i="2"/>
  <c r="A30" i="2"/>
  <c r="N29" i="2"/>
  <c r="A29" i="2"/>
  <c r="N28" i="2"/>
  <c r="A28" i="2"/>
  <c r="N27" i="2"/>
  <c r="A27" i="2"/>
  <c r="N26" i="2"/>
  <c r="A26" i="2"/>
  <c r="N25" i="2"/>
  <c r="A25" i="2"/>
  <c r="N24" i="2"/>
  <c r="A24" i="2"/>
  <c r="N23" i="2"/>
  <c r="A23" i="2"/>
  <c r="N22" i="2"/>
  <c r="A22" i="2"/>
  <c r="N21" i="2"/>
  <c r="A21" i="2"/>
  <c r="N20" i="2"/>
  <c r="A20" i="2"/>
  <c r="N19" i="2"/>
  <c r="A19" i="2"/>
  <c r="N18" i="2"/>
  <c r="A18" i="2"/>
  <c r="N17" i="2"/>
  <c r="A17" i="2"/>
  <c r="N16" i="2"/>
  <c r="A16" i="2"/>
  <c r="N15" i="2"/>
  <c r="A15" i="2"/>
  <c r="N14" i="2"/>
  <c r="A14" i="2"/>
  <c r="N13" i="2"/>
  <c r="A13" i="2"/>
  <c r="N12" i="2"/>
  <c r="A12" i="2"/>
  <c r="N11" i="2"/>
  <c r="A11" i="2"/>
  <c r="N10" i="2"/>
  <c r="A10" i="2"/>
  <c r="N9" i="2"/>
  <c r="A9" i="2"/>
  <c r="N8" i="2"/>
  <c r="A8" i="2"/>
  <c r="N7" i="2"/>
  <c r="A7" i="2"/>
  <c r="N6" i="2"/>
  <c r="L7" i="1" s="1"/>
  <c r="A6" i="2"/>
  <c r="B10" i="1"/>
  <c r="H7" i="1"/>
  <c r="D7" i="1"/>
  <c r="B7" i="1"/>
  <c r="I1" i="1"/>
  <c r="D35" i="3" l="1"/>
  <c r="E37" i="3"/>
  <c r="D40" i="3"/>
  <c r="E35" i="3"/>
  <c r="D38" i="3"/>
  <c r="D36" i="3"/>
  <c r="D39" i="3"/>
  <c r="D43" i="3" l="1"/>
  <c r="J7" i="1" s="1"/>
</calcChain>
</file>

<file path=xl/sharedStrings.xml><?xml version="1.0" encoding="utf-8"?>
<sst xmlns="http://schemas.openxmlformats.org/spreadsheetml/2006/main" count="236" uniqueCount="117">
  <si>
    <t>MASCHINENPLANUNG</t>
  </si>
  <si>
    <t>Dashboard &amp; Auslastungsübersicht  ·  Werk Nord, KW 06–10 / 2026</t>
  </si>
  <si>
    <t>Musterproduktion GmbH – Fertigungssteuerung</t>
  </si>
  <si>
    <t>AUFTRÄGE GESAMT</t>
  </si>
  <si>
    <t>OFFENE AUFTRÄGE</t>
  </si>
  <si>
    <t>GES. AUSLASTUNG</t>
  </si>
  <si>
    <t>GEPLANTE STUNDEN</t>
  </si>
  <si>
    <t>FREIE KAPAZITÄT</t>
  </si>
  <si>
    <t>GEPLANTE KOSTEN</t>
  </si>
  <si>
    <t>Produktionsfeinplanung – KW 06–10 / 2026</t>
  </si>
  <si>
    <t>Auftragsbelegung, Termine und Auslastung – Beispieldaten 2026</t>
  </si>
  <si>
    <t>Musterproduktion GmbH – Werk Nord</t>
  </si>
  <si>
    <t>Auftrags-Nr.</t>
  </si>
  <si>
    <t>Auftrag / Produkt</t>
  </si>
  <si>
    <t>Kunde</t>
  </si>
  <si>
    <t>Menge</t>
  </si>
  <si>
    <t>Maschinen-
Nr.</t>
  </si>
  <si>
    <t>Maschine</t>
  </si>
  <si>
    <t>Schicht</t>
  </si>
  <si>
    <t>Geplante
Stunden</t>
  </si>
  <si>
    <t>Start-
datum</t>
  </si>
  <si>
    <t>End-
datum</t>
  </si>
  <si>
    <t>Priorität</t>
  </si>
  <si>
    <t>Status</t>
  </si>
  <si>
    <t>Fort-
schritt</t>
  </si>
  <si>
    <t>Geplante Kosten (€)</t>
  </si>
  <si>
    <t>Getriebegehäuse Serie G7</t>
  </si>
  <si>
    <t>Nordmetall AG</t>
  </si>
  <si>
    <t>M-01</t>
  </si>
  <si>
    <t>CNC-Fräszentrum Alpha</t>
  </si>
  <si>
    <t>Frühschicht</t>
  </si>
  <si>
    <t>Hoch</t>
  </si>
  <si>
    <t>Fertiggestellt</t>
  </si>
  <si>
    <t>Wellenadapter Typ 12</t>
  </si>
  <si>
    <t>Hydratec GmbH</t>
  </si>
  <si>
    <t>M-02</t>
  </si>
  <si>
    <t>CNC-Drehmaschine Beta</t>
  </si>
  <si>
    <t>Mittel</t>
  </si>
  <si>
    <t>Stahlblech-Zuschnitt 4 mm</t>
  </si>
  <si>
    <t>BauStahl KG</t>
  </si>
  <si>
    <t>M-03</t>
  </si>
  <si>
    <t>Laserschneidanlage Gamma</t>
  </si>
  <si>
    <t>Spätschicht</t>
  </si>
  <si>
    <t>In Bearbeitung</t>
  </si>
  <si>
    <t>Gehäusedeckel gekantet</t>
  </si>
  <si>
    <t>M-04</t>
  </si>
  <si>
    <t>Abkantpresse Delta</t>
  </si>
  <si>
    <t>Rahmenbaugruppe geschweißt</t>
  </si>
  <si>
    <t>Mobiltech SE</t>
  </si>
  <si>
    <t>M-05</t>
  </si>
  <si>
    <t>Schweißroboter Epsilon</t>
  </si>
  <si>
    <t>Nachtschicht</t>
  </si>
  <si>
    <t>Dringend</t>
  </si>
  <si>
    <t>Endmontage Pumpe P-200</t>
  </si>
  <si>
    <t>M-06</t>
  </si>
  <si>
    <t>Montagelinie Zeta</t>
  </si>
  <si>
    <t>Geplant</t>
  </si>
  <si>
    <t>Beschichtung Chassis-Teile</t>
  </si>
  <si>
    <t>M-07</t>
  </si>
  <si>
    <t>Pulverbeschichtung Eta</t>
  </si>
  <si>
    <t>Endprüfung Charge Q-88</t>
  </si>
  <si>
    <t>M-08</t>
  </si>
  <si>
    <t>Qualitätsprüfstand Theta</t>
  </si>
  <si>
    <t>Niedrig</t>
  </si>
  <si>
    <t>Lagerschild gefräst</t>
  </si>
  <si>
    <t>Flansch gedreht DN100</t>
  </si>
  <si>
    <t>Blechprofil gelasert</t>
  </si>
  <si>
    <t>Schweißbaugruppe Träger</t>
  </si>
  <si>
    <t>Montage Schaltschrank</t>
  </si>
  <si>
    <t>Beschichtung Rahmenteile</t>
  </si>
  <si>
    <t>Pausiert</t>
  </si>
  <si>
    <t>Feinprüfung Baugruppe X</t>
  </si>
  <si>
    <t>MASCHINENSTAMM</t>
  </si>
  <si>
    <t>Musterproduktion GmbH</t>
  </si>
  <si>
    <t>Maschinen, Kapazitäten und Wartung – Beispieldaten 2026</t>
  </si>
  <si>
    <t>Werk Nord – Fertigungssteuerung</t>
  </si>
  <si>
    <t>MASCHINENÜBERSICHT</t>
  </si>
  <si>
    <t>Wöchentliche Kapazität in Stunden. Stundensatz dient der Kostenkalkulation. Werte editierbar – die Planung und das Dashboard aktualisieren sich automatisch.</t>
  </si>
  <si>
    <t>Maschinen-Nr.</t>
  </si>
  <si>
    <t>Maschine / Anlage</t>
  </si>
  <si>
    <t>Bereich</t>
  </si>
  <si>
    <t>Kapazität
(Std./Woche)</t>
  </si>
  <si>
    <t>Stundensatz
(€/Std.)</t>
  </si>
  <si>
    <t>Letzte
Wartung</t>
  </si>
  <si>
    <t>Nächste
Wartung</t>
  </si>
  <si>
    <t>Standort</t>
  </si>
  <si>
    <t>Zerspanung</t>
  </si>
  <si>
    <t>Verfügbar</t>
  </si>
  <si>
    <t>Halle 1</t>
  </si>
  <si>
    <t>Blechbearbeitung</t>
  </si>
  <si>
    <t>Halle 2</t>
  </si>
  <si>
    <t>Wartung geplant</t>
  </si>
  <si>
    <t>Fügetechnik</t>
  </si>
  <si>
    <t>Halle 3</t>
  </si>
  <si>
    <t>Montage</t>
  </si>
  <si>
    <t>Oberfläche</t>
  </si>
  <si>
    <t>Halle 4</t>
  </si>
  <si>
    <t>Qualitätssicherung</t>
  </si>
  <si>
    <t>Eingeschränkt</t>
  </si>
  <si>
    <t>Gesamt</t>
  </si>
  <si>
    <t>Gesamtkapazität aller Maschinen</t>
  </si>
  <si>
    <t>LISTEN FÜR AUSWAHLFELDER</t>
  </si>
  <si>
    <t>Hinweis: Diese Listen steuern die Dropdown-Auswahl in der Maschinenplanung. Ergänzen oder ändern Sie hier Werte, um die Auswahlfelder anzupassen.</t>
  </si>
  <si>
    <t>Auftragsstatus</t>
  </si>
  <si>
    <t>Maschinenstatus</t>
  </si>
  <si>
    <t>Außer Betrieb</t>
  </si>
  <si>
    <t>Storniert</t>
  </si>
  <si>
    <t>AUSWERTUNG – AUSLASTUNG JE MASCHINE</t>
  </si>
  <si>
    <t>Geplante Stunden je Maschine aus der Maschinenplanung gegenüber der verfügbaren Kapazität. Wird automatisch berechnet – nicht löschen.</t>
  </si>
  <si>
    <t>AUFTRÄGE NACH STATUS</t>
  </si>
  <si>
    <t>GEPLANTE STUNDEN NACH BEREICH</t>
  </si>
  <si>
    <t>Kapazität
(Std.)</t>
  </si>
  <si>
    <t>Geplant
(Std.)</t>
  </si>
  <si>
    <t>Freie Kapazität
(Std.)</t>
  </si>
  <si>
    <t>Auslastung</t>
  </si>
  <si>
    <t>Anzahl</t>
  </si>
  <si>
    <t>Stunden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</si>
</sst>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€&quot;"/>
    <numFmt numFmtId="165" formatCode="dd\.mm\.yyyy"/>
    <numFmt numFmtId="166" formatCode="#,##0&quot; h&quot;"/>
  </numFmts>
  <fonts count="16" x14ac:knownFonts="1">
    <font>
      <sz val="11"/>
      <color theme="1"/>
      <name val="Calibri"/>
      <family val="2"/>
      <scheme val="minor"/>
    </font>
    <font>
      <b/>
      <sz val="24"/>
      <color rgb="FFFFFFFF"/>
      <name val="Calibri"/>
    </font>
    <font>
      <i/>
      <sz val="11"/>
      <color rgb="FFC9D9D9"/>
      <name val="Calibri"/>
    </font>
    <font>
      <b/>
      <sz val="11"/>
      <color rgb="FFFFFFFF"/>
      <name val="Calibri"/>
    </font>
    <font>
      <i/>
      <sz val="10"/>
      <color rgb="FFC9D9D9"/>
      <name val="Calibri"/>
    </font>
    <font>
      <b/>
      <sz val="12"/>
      <color rgb="FFFFFFFF"/>
      <name val="Calibri"/>
    </font>
    <font>
      <i/>
      <sz val="9"/>
      <color rgb="FF53605F"/>
      <name val="Calibri"/>
    </font>
    <font>
      <b/>
      <sz val="10"/>
      <color rgb="FFFFFFFF"/>
      <name val="Calibri"/>
    </font>
    <font>
      <b/>
      <sz val="10"/>
      <color rgb="FF0F3D3E"/>
      <name val="Calibri"/>
    </font>
    <font>
      <sz val="10"/>
      <color rgb="FF000000"/>
      <name val="Calibri"/>
    </font>
    <font>
      <b/>
      <sz val="10"/>
      <color rgb="FF000000"/>
      <name val="Calibri"/>
    </font>
    <font>
      <b/>
      <sz val="22"/>
      <color rgb="FFFFFFFF"/>
      <name val="Calibri"/>
    </font>
    <font>
      <b/>
      <sz val="10"/>
      <color rgb="FF1B5E5F"/>
      <name val="Calibri"/>
    </font>
    <font>
      <b/>
      <sz val="22"/>
      <color rgb="FF0F3D3E"/>
      <name val="Calibri"/>
    </font>
    <font>
      <b/>
      <sz val="9"/>
      <color rgb="FF53605F"/>
      <name val="Calibri"/>
    </font>
    <font>
      <i/>
      <sz val="10"/>
      <color rgb="FF53605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F3D3E"/>
      </patternFill>
    </fill>
    <fill>
      <patternFill patternType="solid">
        <fgColor rgb="FF1B5E5F"/>
      </patternFill>
    </fill>
    <fill>
      <patternFill patternType="solid">
        <fgColor rgb="FFFFFFFF"/>
      </patternFill>
    </fill>
    <fill>
      <patternFill patternType="solid">
        <fgColor rgb="FFF4F6F6"/>
      </patternFill>
    </fill>
  </fills>
  <borders count="4">
    <border>
      <left/>
      <right/>
      <top/>
      <bottom/>
      <diagonal/>
    </border>
    <border>
      <left style="thin">
        <color rgb="FF0F3D3E"/>
      </left>
      <right style="thin">
        <color rgb="FF0F3D3E"/>
      </right>
      <top style="thin">
        <color rgb="FF0F3D3E"/>
      </top>
      <bottom style="thin">
        <color rgb="FF0F3D3E"/>
      </bottom>
      <diagonal/>
    </border>
    <border>
      <left style="thin">
        <color rgb="FFCDD6D6"/>
      </left>
      <right style="thin">
        <color rgb="FFCDD6D6"/>
      </right>
      <top style="thin">
        <color rgb="FFCDD6D6"/>
      </top>
      <bottom style="thin">
        <color rgb="FFCDD6D6"/>
      </bottom>
      <diagonal/>
    </border>
    <border>
      <left/>
      <right style="thin">
        <color rgb="FFCDD6D6"/>
      </right>
      <top style="thin">
        <color rgb="FFCDD6D6"/>
      </top>
      <bottom style="thin">
        <color rgb="FFCDD6D6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3" fontId="9" fillId="4" borderId="2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165" fontId="9" fillId="4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3" fontId="9" fillId="5" borderId="2" xfId="0" applyNumberFormat="1" applyFont="1" applyFill="1" applyBorder="1" applyAlignment="1">
      <alignment horizontal="center" vertical="center"/>
    </xf>
    <xf numFmtId="164" fontId="9" fillId="5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165" fontId="9" fillId="5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3" fontId="7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/>
    <xf numFmtId="9" fontId="10" fillId="4" borderId="2" xfId="0" applyNumberFormat="1" applyFont="1" applyFill="1" applyBorder="1" applyAlignment="1">
      <alignment horizontal="center" vertical="center"/>
    </xf>
    <xf numFmtId="9" fontId="10" fillId="5" borderId="2" xfId="0" applyNumberFormat="1" applyFont="1" applyFill="1" applyBorder="1" applyAlignment="1">
      <alignment horizontal="center" vertical="center"/>
    </xf>
    <xf numFmtId="9" fontId="7" fillId="3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9" fontId="9" fillId="4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9" fontId="9" fillId="5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indent="2"/>
    </xf>
    <xf numFmtId="0" fontId="0" fillId="0" borderId="0" xfId="0"/>
    <xf numFmtId="0" fontId="3" fillId="2" borderId="0" xfId="0" applyFont="1" applyFill="1" applyAlignment="1">
      <alignment horizontal="right" vertical="center"/>
    </xf>
    <xf numFmtId="164" fontId="13" fillId="4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13" fillId="4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9" fontId="1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4" fillId="5" borderId="2" xfId="0" applyFont="1" applyFill="1" applyBorder="1" applyAlignment="1">
      <alignment horizontal="center" vertical="center"/>
    </xf>
    <xf numFmtId="166" fontId="13" fillId="4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 indent="2"/>
    </xf>
    <xf numFmtId="0" fontId="11" fillId="2" borderId="0" xfId="0" applyFont="1" applyFill="1" applyAlignment="1">
      <alignment horizontal="left" vertical="center" indent="2"/>
    </xf>
    <xf numFmtId="0" fontId="6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4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</cellXfs>
  <cellStyles count="1">
    <cellStyle name="Standard" xfId="0" builtinId="0"/>
  </cellStyles>
  <dxfs count="9">
    <dxf>
      <font>
        <b/>
        <sz val="10"/>
        <color rgb="FF6E6E6E"/>
        <name val="Calibri"/>
      </font>
      <fill>
        <patternFill patternType="solid">
          <fgColor rgb="FFEDEDED"/>
        </patternFill>
      </fill>
    </dxf>
    <dxf>
      <font>
        <b/>
        <sz val="10"/>
        <color rgb="FF9B4A1E"/>
        <name val="Calibri"/>
      </font>
      <fill>
        <patternFill patternType="solid">
          <fgColor rgb="FFFBE4DA"/>
        </patternFill>
      </fill>
    </dxf>
    <dxf>
      <font>
        <b/>
        <sz val="10"/>
        <color rgb="FF1F6B3B"/>
        <name val="Calibri"/>
      </font>
      <fill>
        <patternFill patternType="solid">
          <fgColor rgb="FFD8EBDE"/>
        </patternFill>
      </fill>
    </dxf>
    <dxf>
      <font>
        <b/>
        <sz val="10"/>
        <color rgb="FF8A5A12"/>
        <name val="Calibri"/>
      </font>
      <fill>
        <patternFill patternType="solid">
          <fgColor rgb="FFFCEFD6"/>
        </patternFill>
      </fill>
    </dxf>
    <dxf>
      <font>
        <b/>
        <sz val="10"/>
        <color rgb="FF33403F"/>
        <name val="Calibri"/>
      </font>
      <fill>
        <patternFill patternType="solid">
          <fgColor rgb="FFE2E8E8"/>
        </patternFill>
      </fill>
    </dxf>
    <dxf>
      <font>
        <b/>
        <sz val="10"/>
        <color rgb="FF9B1C1C"/>
        <name val="Calibri"/>
      </font>
      <fill>
        <patternFill patternType="solid">
          <fgColor rgb="FFF6D2D2"/>
        </patternFill>
      </fill>
    </dxf>
    <dxf>
      <font>
        <b/>
        <sz val="10"/>
        <color rgb="FFB0451B"/>
        <name val="Calibri"/>
      </font>
      <fill>
        <patternFill patternType="solid">
          <fgColor rgb="FFFBE1D2"/>
        </patternFill>
      </fill>
    </dxf>
    <dxf>
      <font>
        <b/>
        <sz val="10"/>
        <color rgb="FF8A5A12"/>
        <name val="Calibri"/>
      </font>
      <fill>
        <patternFill patternType="solid">
          <fgColor rgb="FFFCEFD6"/>
        </patternFill>
      </fill>
    </dxf>
    <dxf>
      <font>
        <b/>
        <sz val="10"/>
        <color rgb="FF1F6B3B"/>
        <name val="Calibri"/>
      </font>
      <fill>
        <patternFill patternType="solid">
          <fgColor rgb="FFD8EBD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DE" sz="1300" b="1">
                <a:solidFill>
                  <a:srgbClr val="0F3D3E"/>
                </a:solidFill>
              </a:rPr>
              <a:t>Auslastung je Maschine – Kapazität vs. geplante Stunden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Maschinenstamm!$B$34</c:f>
              <c:strCache>
                <c:ptCount val="1"/>
                <c:pt idx="0">
                  <c:v>Kapazität
(Std.)</c:v>
                </c:pt>
              </c:strCache>
            </c:strRef>
          </c:tx>
          <c:spPr>
            <a:solidFill>
              <a:srgbClr val="C9D6D6"/>
            </a:solidFill>
            <a:ln>
              <a:prstDash val="solid"/>
            </a:ln>
          </c:spPr>
          <c:invertIfNegative val="1"/>
          <c:cat>
            <c:strRef>
              <c:f>Maschinenstamm!$A$35:$A$42</c:f>
              <c:strCache>
                <c:ptCount val="8"/>
                <c:pt idx="0">
                  <c:v>M-01</c:v>
                </c:pt>
                <c:pt idx="1">
                  <c:v>M-02</c:v>
                </c:pt>
                <c:pt idx="2">
                  <c:v>M-03</c:v>
                </c:pt>
                <c:pt idx="3">
                  <c:v>M-04</c:v>
                </c:pt>
                <c:pt idx="4">
                  <c:v>M-05</c:v>
                </c:pt>
                <c:pt idx="5">
                  <c:v>M-06</c:v>
                </c:pt>
                <c:pt idx="6">
                  <c:v>M-07</c:v>
                </c:pt>
                <c:pt idx="7">
                  <c:v>M-08</c:v>
                </c:pt>
              </c:strCache>
            </c:strRef>
          </c:cat>
          <c:val>
            <c:numRef>
              <c:f>Maschinenstamm!$B$35:$B$42</c:f>
              <c:numCache>
                <c:formatCode>#,##0</c:formatCode>
                <c:ptCount val="8"/>
                <c:pt idx="0">
                  <c:v>80</c:v>
                </c:pt>
                <c:pt idx="1">
                  <c:v>80</c:v>
                </c:pt>
                <c:pt idx="2">
                  <c:v>100</c:v>
                </c:pt>
                <c:pt idx="3">
                  <c:v>60</c:v>
                </c:pt>
                <c:pt idx="4">
                  <c:v>90</c:v>
                </c:pt>
                <c:pt idx="5">
                  <c:v>120</c:v>
                </c:pt>
                <c:pt idx="6">
                  <c:v>70</c:v>
                </c:pt>
                <c:pt idx="7">
                  <c:v>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C9B-471D-B75B-0E1C89B3A734}"/>
            </c:ext>
          </c:extLst>
        </c:ser>
        <c:ser>
          <c:idx val="1"/>
          <c:order val="1"/>
          <c:tx>
            <c:strRef>
              <c:f>Maschinenstamm!$C$34</c:f>
              <c:strCache>
                <c:ptCount val="1"/>
                <c:pt idx="0">
                  <c:v>Geplant
(Std.)</c:v>
                </c:pt>
              </c:strCache>
            </c:strRef>
          </c:tx>
          <c:spPr>
            <a:solidFill>
              <a:srgbClr val="1B5E5F"/>
            </a:solidFill>
            <a:ln>
              <a:prstDash val="solid"/>
            </a:ln>
          </c:spPr>
          <c:invertIfNegative val="1"/>
          <c:cat>
            <c:strRef>
              <c:f>Maschinenstamm!$A$35:$A$42</c:f>
              <c:strCache>
                <c:ptCount val="8"/>
                <c:pt idx="0">
                  <c:v>M-01</c:v>
                </c:pt>
                <c:pt idx="1">
                  <c:v>M-02</c:v>
                </c:pt>
                <c:pt idx="2">
                  <c:v>M-03</c:v>
                </c:pt>
                <c:pt idx="3">
                  <c:v>M-04</c:v>
                </c:pt>
                <c:pt idx="4">
                  <c:v>M-05</c:v>
                </c:pt>
                <c:pt idx="5">
                  <c:v>M-06</c:v>
                </c:pt>
                <c:pt idx="6">
                  <c:v>M-07</c:v>
                </c:pt>
                <c:pt idx="7">
                  <c:v>M-08</c:v>
                </c:pt>
              </c:strCache>
            </c:strRef>
          </c:cat>
          <c:val>
            <c:numRef>
              <c:f>Maschinenstamm!$C$35:$C$42</c:f>
              <c:numCache>
                <c:formatCode>#,##0</c:formatCode>
                <c:ptCount val="8"/>
                <c:pt idx="0">
                  <c:v>66</c:v>
                </c:pt>
                <c:pt idx="1">
                  <c:v>62</c:v>
                </c:pt>
                <c:pt idx="2">
                  <c:v>84</c:v>
                </c:pt>
                <c:pt idx="3">
                  <c:v>30</c:v>
                </c:pt>
                <c:pt idx="4">
                  <c:v>86</c:v>
                </c:pt>
                <c:pt idx="5">
                  <c:v>112</c:v>
                </c:pt>
                <c:pt idx="6">
                  <c:v>64</c:v>
                </c:pt>
                <c:pt idx="7">
                  <c:v>42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DC9B-471D-B75B-0E1C89B3A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"/>
        <c:crosses val="autoZero"/>
        <c:crossBetween val="between"/>
      </c:valAx>
      <c:spPr>
        <a:solidFill>
          <a:schemeClr val="bg2"/>
        </a:solidFill>
      </c:spPr>
    </c:plotArea>
    <c:legend>
      <c:legendPos val="b"/>
      <c:overlay val="1"/>
    </c:legend>
    <c:plotVisOnly val="1"/>
    <c:dispBlanksAs val="gap"/>
    <c:showDLblsOverMax val="1"/>
  </c:chart>
  <c:spPr>
    <a:solidFill>
      <a:schemeClr val="bg2"/>
    </a:solidFill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DE" sz="1300" b="1">
                <a:solidFill>
                  <a:srgbClr val="0F3D3E"/>
                </a:solidFill>
              </a:rPr>
              <a:t>Aufträge nach Status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Maschinenstamm!$L$34</c:f>
              <c:strCache>
                <c:ptCount val="1"/>
                <c:pt idx="0">
                  <c:v>Anzahl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spPr>
              <a:solidFill>
                <a:srgbClr val="8A8F8E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2E9-4DC1-88A6-4F2517773C61}"/>
              </c:ext>
            </c:extLst>
          </c:dPt>
          <c:dPt>
            <c:idx val="1"/>
            <c:bubble3D val="0"/>
            <c:spPr>
              <a:solidFill>
                <a:srgbClr val="C7882B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2E9-4DC1-88A6-4F2517773C61}"/>
              </c:ext>
            </c:extLst>
          </c:dPt>
          <c:dPt>
            <c:idx val="2"/>
            <c:bubble3D val="0"/>
            <c:spPr>
              <a:solidFill>
                <a:srgbClr val="3E8E5A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2E9-4DC1-88A6-4F2517773C61}"/>
              </c:ext>
            </c:extLst>
          </c:dPt>
          <c:dPt>
            <c:idx val="3"/>
            <c:bubble3D val="0"/>
            <c:spPr>
              <a:solidFill>
                <a:srgbClr val="C2693C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2E9-4DC1-88A6-4F2517773C61}"/>
              </c:ext>
            </c:extLst>
          </c:dPt>
          <c:dPt>
            <c:idx val="4"/>
            <c:bubble3D val="0"/>
            <c:spPr>
              <a:solidFill>
                <a:srgbClr val="B0413F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2E9-4DC1-88A6-4F2517773C6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Maschinenstamm!$K$35:$K$39</c:f>
              <c:strCache>
                <c:ptCount val="5"/>
                <c:pt idx="0">
                  <c:v>Geplant</c:v>
                </c:pt>
                <c:pt idx="1">
                  <c:v>In Bearbeitung</c:v>
                </c:pt>
                <c:pt idx="2">
                  <c:v>Fertiggestellt</c:v>
                </c:pt>
                <c:pt idx="3">
                  <c:v>Pausiert</c:v>
                </c:pt>
                <c:pt idx="4">
                  <c:v>Storniert</c:v>
                </c:pt>
              </c:strCache>
            </c:strRef>
          </c:cat>
          <c:val>
            <c:numRef>
              <c:f>Maschinenstamm!$L$35:$L$39</c:f>
              <c:numCache>
                <c:formatCode>General</c:formatCode>
                <c:ptCount val="5"/>
                <c:pt idx="0">
                  <c:v>9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E9-4DC1-88A6-4F2517773C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spPr>
    <a:solidFill>
      <a:schemeClr val="bg2"/>
    </a:solidFill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DE" sz="1300" b="1">
                <a:solidFill>
                  <a:srgbClr val="0F3D3E"/>
                </a:solidFill>
              </a:rPr>
              <a:t>Auslastungsgrad je Maschine (%)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Maschinenstamm!$E$34</c:f>
              <c:strCache>
                <c:ptCount val="1"/>
                <c:pt idx="0">
                  <c:v>Auslastung</c:v>
                </c:pt>
              </c:strCache>
            </c:strRef>
          </c:tx>
          <c:spPr>
            <a:solidFill>
              <a:srgbClr val="C7882B"/>
            </a:solidFill>
            <a:ln>
              <a:prstDash val="solid"/>
            </a:ln>
          </c:spPr>
          <c:invertIfNegative val="1"/>
          <c:cat>
            <c:strRef>
              <c:f>Maschinenstamm!$A$35:$A$42</c:f>
              <c:strCache>
                <c:ptCount val="8"/>
                <c:pt idx="0">
                  <c:v>M-01</c:v>
                </c:pt>
                <c:pt idx="1">
                  <c:v>M-02</c:v>
                </c:pt>
                <c:pt idx="2">
                  <c:v>M-03</c:v>
                </c:pt>
                <c:pt idx="3">
                  <c:v>M-04</c:v>
                </c:pt>
                <c:pt idx="4">
                  <c:v>M-05</c:v>
                </c:pt>
                <c:pt idx="5">
                  <c:v>M-06</c:v>
                </c:pt>
                <c:pt idx="6">
                  <c:v>M-07</c:v>
                </c:pt>
                <c:pt idx="7">
                  <c:v>M-08</c:v>
                </c:pt>
              </c:strCache>
            </c:strRef>
          </c:cat>
          <c:val>
            <c:numRef>
              <c:f>Maschinenstamm!$E$35:$E$42</c:f>
              <c:numCache>
                <c:formatCode>0%</c:formatCode>
                <c:ptCount val="8"/>
                <c:pt idx="0">
                  <c:v>0.82499999999999996</c:v>
                </c:pt>
                <c:pt idx="1">
                  <c:v>0.77500000000000002</c:v>
                </c:pt>
                <c:pt idx="2">
                  <c:v>0.84</c:v>
                </c:pt>
                <c:pt idx="3">
                  <c:v>0.5</c:v>
                </c:pt>
                <c:pt idx="4">
                  <c:v>0.9555555555555556</c:v>
                </c:pt>
                <c:pt idx="5">
                  <c:v>0.93333333333333335</c:v>
                </c:pt>
                <c:pt idx="6">
                  <c:v>0.91428571428571426</c:v>
                </c:pt>
                <c:pt idx="7">
                  <c:v>0.84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A11-4363-818C-FE6EFCE69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numFmt formatCode="0%" sourceLinked="0"/>
        <c:majorTickMark val="none"/>
        <c:minorTickMark val="none"/>
        <c:tickLblPos val="nextTo"/>
        <c:crossAx val="10"/>
        <c:crosses val="autoZero"/>
        <c:crossBetween val="between"/>
      </c:valAx>
      <c:spPr>
        <a:solidFill>
          <a:schemeClr val="bg2"/>
        </a:solidFill>
      </c:spPr>
    </c:plotArea>
    <c:plotVisOnly val="1"/>
    <c:dispBlanksAs val="gap"/>
    <c:showDLblsOverMax val="1"/>
  </c:chart>
  <c:spPr>
    <a:solidFill>
      <a:schemeClr val="bg2"/>
    </a:solidFill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20000" cy="313199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7</xdr:col>
      <xdr:colOff>0</xdr:colOff>
      <xdr:row>12</xdr:row>
      <xdr:rowOff>0</xdr:rowOff>
    </xdr:from>
    <xdr:ext cx="5220000" cy="3131999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171450</xdr:colOff>
      <xdr:row>29</xdr:row>
      <xdr:rowOff>0</xdr:rowOff>
    </xdr:from>
    <xdr:ext cx="11649375" cy="3131999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Planung" displayName="tblPlanung" ref="A5:N60">
  <autoFilter ref="A5:N60" xr:uid="{00000000-0009-0000-0100-000001000000}"/>
  <tableColumns count="14">
    <tableColumn id="1" xr3:uid="{00000000-0010-0000-0000-000001000000}" name="Auftrags-Nr."/>
    <tableColumn id="2" xr3:uid="{00000000-0010-0000-0000-000002000000}" name="Auftrag / Produkt"/>
    <tableColumn id="3" xr3:uid="{00000000-0010-0000-0000-000003000000}" name="Kunde"/>
    <tableColumn id="4" xr3:uid="{00000000-0010-0000-0000-000004000000}" name="Menge"/>
    <tableColumn id="5" xr3:uid="{00000000-0010-0000-0000-000005000000}" name="Maschinen-_x000a_Nr."/>
    <tableColumn id="6" xr3:uid="{00000000-0010-0000-0000-000006000000}" name="Maschine"/>
    <tableColumn id="7" xr3:uid="{00000000-0010-0000-0000-000007000000}" name="Schicht"/>
    <tableColumn id="8" xr3:uid="{00000000-0010-0000-0000-000008000000}" name="Geplante_x000a_Stunden"/>
    <tableColumn id="9" xr3:uid="{00000000-0010-0000-0000-000009000000}" name="Start-_x000a_datum"/>
    <tableColumn id="10" xr3:uid="{00000000-0010-0000-0000-00000A000000}" name="End-_x000a_datum"/>
    <tableColumn id="11" xr3:uid="{00000000-0010-0000-0000-00000B000000}" name="Priorität"/>
    <tableColumn id="12" xr3:uid="{00000000-0010-0000-0000-00000C000000}" name="Status"/>
    <tableColumn id="13" xr3:uid="{00000000-0010-0000-0000-00000D000000}" name="Fort-_x000a_schritt"/>
    <tableColumn id="14" xr3:uid="{00000000-0010-0000-0000-00000E000000}" name="Geplante Kosten (€)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F3D3E"/>
    <pageSetUpPr fitToPage="1"/>
  </sheetPr>
  <dimension ref="A1:N10"/>
  <sheetViews>
    <sheetView showGridLines="0" tabSelected="1" workbookViewId="0">
      <selection activeCell="P18" sqref="P18"/>
    </sheetView>
  </sheetViews>
  <sheetFormatPr baseColWidth="10" defaultColWidth="9.140625" defaultRowHeight="15" x14ac:dyDescent="0.25"/>
  <cols>
    <col min="1" max="1" width="3" customWidth="1"/>
    <col min="2" max="13" width="16" customWidth="1"/>
    <col min="14" max="14" width="3" customWidth="1"/>
  </cols>
  <sheetData>
    <row r="1" spans="1:14" ht="21.95" customHeight="1" x14ac:dyDescent="0.25">
      <c r="A1" s="41" t="s">
        <v>0</v>
      </c>
      <c r="B1" s="30"/>
      <c r="C1" s="30"/>
      <c r="D1" s="30"/>
      <c r="E1" s="30"/>
      <c r="F1" s="30"/>
      <c r="G1" s="30"/>
      <c r="H1" s="30"/>
      <c r="I1" s="31" t="str">
        <f ca="1">"Datenstand: " &amp; TEXT(TODAY(),"DD.MM.YYYY")</f>
        <v>Datenstand: 23.06.YYYY</v>
      </c>
      <c r="J1" s="30"/>
      <c r="K1" s="30"/>
      <c r="L1" s="30"/>
      <c r="M1" s="30"/>
      <c r="N1" s="30"/>
    </row>
    <row r="2" spans="1:14" ht="14.1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21.95" customHeight="1" x14ac:dyDescent="0.25">
      <c r="A3" s="29" t="s">
        <v>1</v>
      </c>
      <c r="B3" s="30"/>
      <c r="C3" s="30"/>
      <c r="D3" s="30"/>
      <c r="E3" s="30"/>
      <c r="F3" s="30"/>
      <c r="G3" s="30"/>
      <c r="H3" s="30"/>
      <c r="I3" s="40" t="s">
        <v>2</v>
      </c>
      <c r="J3" s="30"/>
      <c r="K3" s="30"/>
      <c r="L3" s="30"/>
      <c r="M3" s="30"/>
      <c r="N3" s="30"/>
    </row>
    <row r="4" spans="1:14" ht="14.1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6" spans="1:14" ht="5.0999999999999996" customHeight="1" x14ac:dyDescent="0.25">
      <c r="B6" s="35"/>
      <c r="C6" s="33"/>
      <c r="D6" s="35"/>
      <c r="E6" s="33"/>
      <c r="F6" s="35"/>
      <c r="G6" s="33"/>
      <c r="H6" s="35"/>
      <c r="I6" s="33"/>
      <c r="J6" s="35"/>
      <c r="K6" s="33"/>
      <c r="L6" s="35"/>
      <c r="M6" s="33"/>
    </row>
    <row r="7" spans="1:14" ht="45.95" customHeight="1" x14ac:dyDescent="0.25">
      <c r="B7" s="34">
        <f>COUNTA(Maschinenplanung!$B$6:$B$60)</f>
        <v>15</v>
      </c>
      <c r="C7" s="33"/>
      <c r="D7" s="34">
        <f>COUNTIF(Maschinenplanung!$L$6:$L$60,"Geplant")+COUNTIF(Maschinenplanung!$L$6:$L$60,"In Bearbeitung")</f>
        <v>12</v>
      </c>
      <c r="E7" s="33"/>
      <c r="F7" s="36">
        <f>Maschinenstamm!E43</f>
        <v>0.84</v>
      </c>
      <c r="G7" s="33"/>
      <c r="H7" s="39">
        <f>SUM(Maschinenplanung!$H$6:$H$60)</f>
        <v>546</v>
      </c>
      <c r="I7" s="33"/>
      <c r="J7" s="39">
        <f>Maschinenstamm!D43</f>
        <v>104</v>
      </c>
      <c r="K7" s="33"/>
      <c r="L7" s="32">
        <f>SUM(Maschinenplanung!$N$6:$N$60)</f>
        <v>48486</v>
      </c>
      <c r="M7" s="33"/>
    </row>
    <row r="8" spans="1:14" ht="18" customHeight="1" x14ac:dyDescent="0.25">
      <c r="B8" s="38" t="s">
        <v>3</v>
      </c>
      <c r="C8" s="33"/>
      <c r="D8" s="38" t="s">
        <v>4</v>
      </c>
      <c r="E8" s="33"/>
      <c r="F8" s="38" t="s">
        <v>5</v>
      </c>
      <c r="G8" s="33"/>
      <c r="H8" s="38" t="s">
        <v>6</v>
      </c>
      <c r="I8" s="33"/>
      <c r="J8" s="38" t="s">
        <v>7</v>
      </c>
      <c r="K8" s="33"/>
      <c r="L8" s="38" t="s">
        <v>8</v>
      </c>
      <c r="M8" s="33"/>
    </row>
    <row r="10" spans="1:14" ht="18" customHeight="1" x14ac:dyDescent="0.25">
      <c r="B10" s="37" t="str">
        <f>"Fertiggestellte Aufträge: " &amp; COUNTIF(Maschinenplanung!$L$6:$L$60,"Fertiggestellt") &amp; "   |   Durchschnittlicher Fortschritt aller Aufträge: " &amp; TEXT(IFERROR(AVERAGE(Maschinenplanung!$M$6:$M$60),0),"0%") &amp; "   |   Maschinen im Bestand: " &amp; COUNTA(Maschinenstamm!$A$10:$A$17)</f>
        <v>Fertiggestellte Aufträge: 2   |   Durchschnittlicher Fortschritt aller Aufträge: 24%   |   Maschinen im Bestand: 8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</sheetData>
  <mergeCells count="23">
    <mergeCell ref="B10:M10"/>
    <mergeCell ref="H6:I6"/>
    <mergeCell ref="J6:K6"/>
    <mergeCell ref="L8:M8"/>
    <mergeCell ref="B8:C8"/>
    <mergeCell ref="F8:G8"/>
    <mergeCell ref="D7:E7"/>
    <mergeCell ref="H7:I7"/>
    <mergeCell ref="J7:K7"/>
    <mergeCell ref="D8:E8"/>
    <mergeCell ref="B6:C6"/>
    <mergeCell ref="L6:M6"/>
    <mergeCell ref="H8:I8"/>
    <mergeCell ref="J8:K8"/>
    <mergeCell ref="A3:H4"/>
    <mergeCell ref="I1:N2"/>
    <mergeCell ref="L7:M7"/>
    <mergeCell ref="B7:C7"/>
    <mergeCell ref="F6:G6"/>
    <mergeCell ref="F7:G7"/>
    <mergeCell ref="D6:E6"/>
    <mergeCell ref="I3:N4"/>
    <mergeCell ref="A1:H2"/>
  </mergeCells>
  <pageMargins left="0.75" right="0.75" top="1" bottom="1" header="0.5" footer="0.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F3D3E"/>
    <pageSetUpPr fitToPage="1"/>
  </sheetPr>
  <dimension ref="A1:N60"/>
  <sheetViews>
    <sheetView showGridLines="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9.140625" defaultRowHeight="15" x14ac:dyDescent="0.25"/>
  <cols>
    <col min="1" max="1" width="13" customWidth="1"/>
    <col min="2" max="2" width="26" customWidth="1"/>
    <col min="3" max="3" width="20" customWidth="1"/>
    <col min="4" max="4" width="9" customWidth="1"/>
    <col min="5" max="5" width="12" customWidth="1"/>
    <col min="6" max="6" width="22" customWidth="1"/>
    <col min="7" max="7" width="13" customWidth="1"/>
    <col min="8" max="8" width="11" customWidth="1"/>
    <col min="9" max="10" width="12" customWidth="1"/>
    <col min="11" max="11" width="11" customWidth="1"/>
    <col min="12" max="12" width="15" customWidth="1"/>
    <col min="13" max="13" width="11" customWidth="1"/>
    <col min="14" max="14" width="17" customWidth="1"/>
  </cols>
  <sheetData>
    <row r="1" spans="1:14" ht="21.95" customHeight="1" x14ac:dyDescent="0.25">
      <c r="A1" s="42" t="s">
        <v>0</v>
      </c>
      <c r="B1" s="30"/>
      <c r="C1" s="30"/>
      <c r="D1" s="30"/>
      <c r="E1" s="30"/>
      <c r="F1" s="30"/>
      <c r="G1" s="30"/>
      <c r="H1" s="30"/>
      <c r="I1" s="31" t="s">
        <v>9</v>
      </c>
      <c r="J1" s="30"/>
      <c r="K1" s="30"/>
      <c r="L1" s="30"/>
      <c r="M1" s="30"/>
      <c r="N1" s="30"/>
    </row>
    <row r="2" spans="1:14" ht="14.1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21.95" customHeight="1" x14ac:dyDescent="0.25">
      <c r="A3" s="29" t="s">
        <v>10</v>
      </c>
      <c r="B3" s="30"/>
      <c r="C3" s="30"/>
      <c r="D3" s="30"/>
      <c r="E3" s="30"/>
      <c r="F3" s="30"/>
      <c r="G3" s="30"/>
      <c r="H3" s="30"/>
      <c r="I3" s="40" t="s">
        <v>11</v>
      </c>
      <c r="J3" s="30"/>
      <c r="K3" s="30"/>
      <c r="L3" s="30"/>
      <c r="M3" s="30"/>
      <c r="N3" s="30"/>
    </row>
    <row r="4" spans="1:14" ht="14.1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32.1" customHeight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</row>
    <row r="6" spans="1:14" ht="30" customHeight="1" x14ac:dyDescent="0.25">
      <c r="A6" s="2" t="str">
        <f t="shared" ref="A6:A37" si="0">"A-2026-"&amp;TEXT(ROW()-5,"000")</f>
        <v>A-2026-001</v>
      </c>
      <c r="B6" s="21" t="s">
        <v>26</v>
      </c>
      <c r="C6" s="3" t="s">
        <v>27</v>
      </c>
      <c r="D6" s="4">
        <v>250</v>
      </c>
      <c r="E6" s="22" t="s">
        <v>28</v>
      </c>
      <c r="F6" s="21" t="s">
        <v>29</v>
      </c>
      <c r="G6" s="6" t="s">
        <v>30</v>
      </c>
      <c r="H6" s="4">
        <v>36</v>
      </c>
      <c r="I6" s="7">
        <v>46055</v>
      </c>
      <c r="J6" s="7">
        <v>46059</v>
      </c>
      <c r="K6" s="23" t="s">
        <v>31</v>
      </c>
      <c r="L6" s="23" t="s">
        <v>32</v>
      </c>
      <c r="M6" s="24">
        <v>1</v>
      </c>
      <c r="N6" s="5">
        <f>H6*IFERROR(VLOOKUP(E6,Maschinenstamm!$A$10:$E$17,5,FALSE),0)</f>
        <v>3420</v>
      </c>
    </row>
    <row r="7" spans="1:14" ht="30" customHeight="1" x14ac:dyDescent="0.25">
      <c r="A7" s="8" t="str">
        <f t="shared" si="0"/>
        <v>A-2026-002</v>
      </c>
      <c r="B7" s="25" t="s">
        <v>33</v>
      </c>
      <c r="C7" s="9" t="s">
        <v>34</v>
      </c>
      <c r="D7" s="10">
        <v>480</v>
      </c>
      <c r="E7" s="26" t="s">
        <v>35</v>
      </c>
      <c r="F7" s="25" t="s">
        <v>36</v>
      </c>
      <c r="G7" s="12" t="s">
        <v>30</v>
      </c>
      <c r="H7" s="10">
        <v>28</v>
      </c>
      <c r="I7" s="13">
        <v>46056</v>
      </c>
      <c r="J7" s="13">
        <v>46059</v>
      </c>
      <c r="K7" s="27" t="s">
        <v>37</v>
      </c>
      <c r="L7" s="27" t="s">
        <v>32</v>
      </c>
      <c r="M7" s="28">
        <v>1</v>
      </c>
      <c r="N7" s="11">
        <f>H7*IFERROR(VLOOKUP(E7,Maschinenstamm!$A$10:$E$17,5,FALSE),0)</f>
        <v>2464</v>
      </c>
    </row>
    <row r="8" spans="1:14" ht="30" customHeight="1" x14ac:dyDescent="0.25">
      <c r="A8" s="2" t="str">
        <f t="shared" si="0"/>
        <v>A-2026-003</v>
      </c>
      <c r="B8" s="21" t="s">
        <v>38</v>
      </c>
      <c r="C8" s="3" t="s">
        <v>39</v>
      </c>
      <c r="D8" s="4">
        <v>1200</v>
      </c>
      <c r="E8" s="22" t="s">
        <v>40</v>
      </c>
      <c r="F8" s="21" t="s">
        <v>41</v>
      </c>
      <c r="G8" s="6" t="s">
        <v>42</v>
      </c>
      <c r="H8" s="4">
        <v>44</v>
      </c>
      <c r="I8" s="7">
        <v>46057</v>
      </c>
      <c r="J8" s="7">
        <v>46063</v>
      </c>
      <c r="K8" s="23" t="s">
        <v>31</v>
      </c>
      <c r="L8" s="23" t="s">
        <v>43</v>
      </c>
      <c r="M8" s="24">
        <v>0.65</v>
      </c>
      <c r="N8" s="5">
        <f>H8*IFERROR(VLOOKUP(E8,Maschinenstamm!$A$10:$E$17,5,FALSE),0)</f>
        <v>5280</v>
      </c>
    </row>
    <row r="9" spans="1:14" ht="30" customHeight="1" x14ac:dyDescent="0.25">
      <c r="A9" s="8" t="str">
        <f t="shared" si="0"/>
        <v>A-2026-004</v>
      </c>
      <c r="B9" s="25" t="s">
        <v>44</v>
      </c>
      <c r="C9" s="9" t="s">
        <v>39</v>
      </c>
      <c r="D9" s="10">
        <v>900</v>
      </c>
      <c r="E9" s="26" t="s">
        <v>45</v>
      </c>
      <c r="F9" s="25" t="s">
        <v>46</v>
      </c>
      <c r="G9" s="12" t="s">
        <v>30</v>
      </c>
      <c r="H9" s="10">
        <v>30</v>
      </c>
      <c r="I9" s="13">
        <v>46062</v>
      </c>
      <c r="J9" s="13">
        <v>46065</v>
      </c>
      <c r="K9" s="27" t="s">
        <v>37</v>
      </c>
      <c r="L9" s="27" t="s">
        <v>43</v>
      </c>
      <c r="M9" s="28">
        <v>0.4</v>
      </c>
      <c r="N9" s="11">
        <f>H9*IFERROR(VLOOKUP(E9,Maschinenstamm!$A$10:$E$17,5,FALSE),0)</f>
        <v>2100</v>
      </c>
    </row>
    <row r="10" spans="1:14" ht="30" customHeight="1" x14ac:dyDescent="0.25">
      <c r="A10" s="2" t="str">
        <f t="shared" si="0"/>
        <v>A-2026-005</v>
      </c>
      <c r="B10" s="21" t="s">
        <v>47</v>
      </c>
      <c r="C10" s="3" t="s">
        <v>48</v>
      </c>
      <c r="D10" s="4">
        <v>160</v>
      </c>
      <c r="E10" s="22" t="s">
        <v>49</v>
      </c>
      <c r="F10" s="21" t="s">
        <v>50</v>
      </c>
      <c r="G10" s="6" t="s">
        <v>51</v>
      </c>
      <c r="H10" s="4">
        <v>52</v>
      </c>
      <c r="I10" s="7">
        <v>46058</v>
      </c>
      <c r="J10" s="7">
        <v>46065</v>
      </c>
      <c r="K10" s="23" t="s">
        <v>52</v>
      </c>
      <c r="L10" s="23" t="s">
        <v>43</v>
      </c>
      <c r="M10" s="24">
        <v>0.55000000000000004</v>
      </c>
      <c r="N10" s="5">
        <f>H10*IFERROR(VLOOKUP(E10,Maschinenstamm!$A$10:$E$17,5,FALSE),0)</f>
        <v>5460</v>
      </c>
    </row>
    <row r="11" spans="1:14" ht="30" customHeight="1" x14ac:dyDescent="0.25">
      <c r="A11" s="8" t="str">
        <f t="shared" si="0"/>
        <v>A-2026-006</v>
      </c>
      <c r="B11" s="25" t="s">
        <v>53</v>
      </c>
      <c r="C11" s="9" t="s">
        <v>34</v>
      </c>
      <c r="D11" s="10">
        <v>120</v>
      </c>
      <c r="E11" s="26" t="s">
        <v>54</v>
      </c>
      <c r="F11" s="25" t="s">
        <v>55</v>
      </c>
      <c r="G11" s="12" t="s">
        <v>30</v>
      </c>
      <c r="H11" s="10">
        <v>64</v>
      </c>
      <c r="I11" s="13">
        <v>46063</v>
      </c>
      <c r="J11" s="13">
        <v>46071</v>
      </c>
      <c r="K11" s="27" t="s">
        <v>31</v>
      </c>
      <c r="L11" s="27" t="s">
        <v>56</v>
      </c>
      <c r="M11" s="28">
        <v>0</v>
      </c>
      <c r="N11" s="11">
        <f>H11*IFERROR(VLOOKUP(E11,Maschinenstamm!$A$10:$E$17,5,FALSE),0)</f>
        <v>4160</v>
      </c>
    </row>
    <row r="12" spans="1:14" ht="30" customHeight="1" x14ac:dyDescent="0.25">
      <c r="A12" s="2" t="str">
        <f t="shared" si="0"/>
        <v>A-2026-007</v>
      </c>
      <c r="B12" s="21" t="s">
        <v>57</v>
      </c>
      <c r="C12" s="3" t="s">
        <v>48</v>
      </c>
      <c r="D12" s="4">
        <v>600</v>
      </c>
      <c r="E12" s="22" t="s">
        <v>58</v>
      </c>
      <c r="F12" s="21" t="s">
        <v>59</v>
      </c>
      <c r="G12" s="6" t="s">
        <v>42</v>
      </c>
      <c r="H12" s="4">
        <v>38</v>
      </c>
      <c r="I12" s="7">
        <v>46064</v>
      </c>
      <c r="J12" s="7">
        <v>46069</v>
      </c>
      <c r="K12" s="23" t="s">
        <v>37</v>
      </c>
      <c r="L12" s="23" t="s">
        <v>56</v>
      </c>
      <c r="M12" s="24">
        <v>0</v>
      </c>
      <c r="N12" s="5">
        <f>H12*IFERROR(VLOOKUP(E12,Maschinenstamm!$A$10:$E$17,5,FALSE),0)</f>
        <v>3040</v>
      </c>
    </row>
    <row r="13" spans="1:14" ht="30" customHeight="1" x14ac:dyDescent="0.25">
      <c r="A13" s="8" t="str">
        <f t="shared" si="0"/>
        <v>A-2026-008</v>
      </c>
      <c r="B13" s="25" t="s">
        <v>60</v>
      </c>
      <c r="C13" s="9" t="s">
        <v>27</v>
      </c>
      <c r="D13" s="10">
        <v>300</v>
      </c>
      <c r="E13" s="26" t="s">
        <v>61</v>
      </c>
      <c r="F13" s="25" t="s">
        <v>62</v>
      </c>
      <c r="G13" s="12" t="s">
        <v>30</v>
      </c>
      <c r="H13" s="10">
        <v>22</v>
      </c>
      <c r="I13" s="13">
        <v>46065</v>
      </c>
      <c r="J13" s="13">
        <v>46069</v>
      </c>
      <c r="K13" s="27" t="s">
        <v>63</v>
      </c>
      <c r="L13" s="27" t="s">
        <v>56</v>
      </c>
      <c r="M13" s="28">
        <v>0</v>
      </c>
      <c r="N13" s="11">
        <f>H13*IFERROR(VLOOKUP(E13,Maschinenstamm!$A$10:$E$17,5,FALSE),0)</f>
        <v>1650</v>
      </c>
    </row>
    <row r="14" spans="1:14" ht="30" customHeight="1" x14ac:dyDescent="0.25">
      <c r="A14" s="2" t="str">
        <f t="shared" si="0"/>
        <v>A-2026-009</v>
      </c>
      <c r="B14" s="21" t="s">
        <v>64</v>
      </c>
      <c r="C14" s="3" t="s">
        <v>34</v>
      </c>
      <c r="D14" s="4">
        <v>340</v>
      </c>
      <c r="E14" s="22" t="s">
        <v>28</v>
      </c>
      <c r="F14" s="21" t="s">
        <v>29</v>
      </c>
      <c r="G14" s="6" t="s">
        <v>42</v>
      </c>
      <c r="H14" s="4">
        <v>30</v>
      </c>
      <c r="I14" s="7">
        <v>46062</v>
      </c>
      <c r="J14" s="7">
        <v>46066</v>
      </c>
      <c r="K14" s="23" t="s">
        <v>37</v>
      </c>
      <c r="L14" s="23" t="s">
        <v>56</v>
      </c>
      <c r="M14" s="24">
        <v>0</v>
      </c>
      <c r="N14" s="5">
        <f>H14*IFERROR(VLOOKUP(E14,Maschinenstamm!$A$10:$E$17,5,FALSE),0)</f>
        <v>2850</v>
      </c>
    </row>
    <row r="15" spans="1:14" ht="30" customHeight="1" x14ac:dyDescent="0.25">
      <c r="A15" s="8" t="str">
        <f t="shared" si="0"/>
        <v>A-2026-010</v>
      </c>
      <c r="B15" s="25" t="s">
        <v>65</v>
      </c>
      <c r="C15" s="9" t="s">
        <v>39</v>
      </c>
      <c r="D15" s="10">
        <v>520</v>
      </c>
      <c r="E15" s="26" t="s">
        <v>35</v>
      </c>
      <c r="F15" s="25" t="s">
        <v>36</v>
      </c>
      <c r="G15" s="12" t="s">
        <v>30</v>
      </c>
      <c r="H15" s="10">
        <v>34</v>
      </c>
      <c r="I15" s="13">
        <v>46063</v>
      </c>
      <c r="J15" s="13">
        <v>46069</v>
      </c>
      <c r="K15" s="27" t="s">
        <v>31</v>
      </c>
      <c r="L15" s="27" t="s">
        <v>56</v>
      </c>
      <c r="M15" s="28">
        <v>0</v>
      </c>
      <c r="N15" s="11">
        <f>H15*IFERROR(VLOOKUP(E15,Maschinenstamm!$A$10:$E$17,5,FALSE),0)</f>
        <v>2992</v>
      </c>
    </row>
    <row r="16" spans="1:14" ht="30" customHeight="1" x14ac:dyDescent="0.25">
      <c r="A16" s="2" t="str">
        <f t="shared" si="0"/>
        <v>A-2026-011</v>
      </c>
      <c r="B16" s="21" t="s">
        <v>66</v>
      </c>
      <c r="C16" s="3" t="s">
        <v>48</v>
      </c>
      <c r="D16" s="4">
        <v>750</v>
      </c>
      <c r="E16" s="22" t="s">
        <v>40</v>
      </c>
      <c r="F16" s="21" t="s">
        <v>41</v>
      </c>
      <c r="G16" s="6" t="s">
        <v>30</v>
      </c>
      <c r="H16" s="4">
        <v>40</v>
      </c>
      <c r="I16" s="7">
        <v>46069</v>
      </c>
      <c r="J16" s="7">
        <v>46073</v>
      </c>
      <c r="K16" s="23" t="s">
        <v>37</v>
      </c>
      <c r="L16" s="23" t="s">
        <v>56</v>
      </c>
      <c r="M16" s="24">
        <v>0</v>
      </c>
      <c r="N16" s="5">
        <f>H16*IFERROR(VLOOKUP(E16,Maschinenstamm!$A$10:$E$17,5,FALSE),0)</f>
        <v>4800</v>
      </c>
    </row>
    <row r="17" spans="1:14" ht="30" customHeight="1" x14ac:dyDescent="0.25">
      <c r="A17" s="8" t="str">
        <f t="shared" si="0"/>
        <v>A-2026-012</v>
      </c>
      <c r="B17" s="25" t="s">
        <v>67</v>
      </c>
      <c r="C17" s="9" t="s">
        <v>27</v>
      </c>
      <c r="D17" s="10">
        <v>90</v>
      </c>
      <c r="E17" s="26" t="s">
        <v>49</v>
      </c>
      <c r="F17" s="25" t="s">
        <v>50</v>
      </c>
      <c r="G17" s="12" t="s">
        <v>42</v>
      </c>
      <c r="H17" s="10">
        <v>34</v>
      </c>
      <c r="I17" s="13">
        <v>46069</v>
      </c>
      <c r="J17" s="13">
        <v>46073</v>
      </c>
      <c r="K17" s="27" t="s">
        <v>31</v>
      </c>
      <c r="L17" s="27" t="s">
        <v>56</v>
      </c>
      <c r="M17" s="28">
        <v>0</v>
      </c>
      <c r="N17" s="11">
        <f>H17*IFERROR(VLOOKUP(E17,Maschinenstamm!$A$10:$E$17,5,FALSE),0)</f>
        <v>3570</v>
      </c>
    </row>
    <row r="18" spans="1:14" ht="30" customHeight="1" x14ac:dyDescent="0.25">
      <c r="A18" s="2" t="str">
        <f t="shared" si="0"/>
        <v>A-2026-013</v>
      </c>
      <c r="B18" s="21" t="s">
        <v>68</v>
      </c>
      <c r="C18" s="3" t="s">
        <v>48</v>
      </c>
      <c r="D18" s="4">
        <v>75</v>
      </c>
      <c r="E18" s="22" t="s">
        <v>54</v>
      </c>
      <c r="F18" s="21" t="s">
        <v>55</v>
      </c>
      <c r="G18" s="6" t="s">
        <v>30</v>
      </c>
      <c r="H18" s="4">
        <v>48</v>
      </c>
      <c r="I18" s="7">
        <v>46076</v>
      </c>
      <c r="J18" s="7">
        <v>46080</v>
      </c>
      <c r="K18" s="23" t="s">
        <v>37</v>
      </c>
      <c r="L18" s="23" t="s">
        <v>56</v>
      </c>
      <c r="M18" s="24">
        <v>0</v>
      </c>
      <c r="N18" s="5">
        <f>H18*IFERROR(VLOOKUP(E18,Maschinenstamm!$A$10:$E$17,5,FALSE),0)</f>
        <v>3120</v>
      </c>
    </row>
    <row r="19" spans="1:14" ht="30" customHeight="1" x14ac:dyDescent="0.25">
      <c r="A19" s="8" t="str">
        <f t="shared" si="0"/>
        <v>A-2026-014</v>
      </c>
      <c r="B19" s="25" t="s">
        <v>69</v>
      </c>
      <c r="C19" s="9" t="s">
        <v>34</v>
      </c>
      <c r="D19" s="10">
        <v>410</v>
      </c>
      <c r="E19" s="26" t="s">
        <v>58</v>
      </c>
      <c r="F19" s="25" t="s">
        <v>59</v>
      </c>
      <c r="G19" s="12" t="s">
        <v>42</v>
      </c>
      <c r="H19" s="10">
        <v>26</v>
      </c>
      <c r="I19" s="13">
        <v>46076</v>
      </c>
      <c r="J19" s="13">
        <v>46079</v>
      </c>
      <c r="K19" s="27" t="s">
        <v>63</v>
      </c>
      <c r="L19" s="27" t="s">
        <v>70</v>
      </c>
      <c r="M19" s="28">
        <v>0</v>
      </c>
      <c r="N19" s="11">
        <f>H19*IFERROR(VLOOKUP(E19,Maschinenstamm!$A$10:$E$17,5,FALSE),0)</f>
        <v>2080</v>
      </c>
    </row>
    <row r="20" spans="1:14" ht="30" customHeight="1" x14ac:dyDescent="0.25">
      <c r="A20" s="2" t="str">
        <f t="shared" si="0"/>
        <v>A-2026-015</v>
      </c>
      <c r="B20" s="21" t="s">
        <v>71</v>
      </c>
      <c r="C20" s="3" t="s">
        <v>39</v>
      </c>
      <c r="D20" s="4">
        <v>210</v>
      </c>
      <c r="E20" s="22" t="s">
        <v>61</v>
      </c>
      <c r="F20" s="21" t="s">
        <v>62</v>
      </c>
      <c r="G20" s="6" t="s">
        <v>30</v>
      </c>
      <c r="H20" s="4">
        <v>20</v>
      </c>
      <c r="I20" s="7">
        <v>46077</v>
      </c>
      <c r="J20" s="7">
        <v>46080</v>
      </c>
      <c r="K20" s="23" t="s">
        <v>37</v>
      </c>
      <c r="L20" s="23" t="s">
        <v>56</v>
      </c>
      <c r="M20" s="24">
        <v>0</v>
      </c>
      <c r="N20" s="5">
        <f>H20*IFERROR(VLOOKUP(E20,Maschinenstamm!$A$10:$E$17,5,FALSE),0)</f>
        <v>1500</v>
      </c>
    </row>
    <row r="21" spans="1:14" ht="26.1" customHeight="1" x14ac:dyDescent="0.25">
      <c r="A21" s="8" t="str">
        <f t="shared" si="0"/>
        <v>A-2026-016</v>
      </c>
      <c r="B21" s="25"/>
      <c r="C21" s="9"/>
      <c r="D21" s="10"/>
      <c r="E21" s="26"/>
      <c r="F21" s="25"/>
      <c r="G21" s="12"/>
      <c r="H21" s="10"/>
      <c r="I21" s="13"/>
      <c r="J21" s="13"/>
      <c r="K21" s="27"/>
      <c r="L21" s="27"/>
      <c r="M21" s="28"/>
      <c r="N21" s="11" t="str">
        <f>IF(H21="","",H21*IFERROR(VLOOKUP(E21,Maschinenstamm!$A$10:$E$17,5,FALSE),0))</f>
        <v/>
      </c>
    </row>
    <row r="22" spans="1:14" ht="26.1" customHeight="1" x14ac:dyDescent="0.25">
      <c r="A22" s="2" t="str">
        <f t="shared" si="0"/>
        <v>A-2026-017</v>
      </c>
      <c r="B22" s="21"/>
      <c r="C22" s="3"/>
      <c r="D22" s="4"/>
      <c r="E22" s="22"/>
      <c r="F22" s="21"/>
      <c r="G22" s="6"/>
      <c r="H22" s="4"/>
      <c r="I22" s="7"/>
      <c r="J22" s="7"/>
      <c r="K22" s="23"/>
      <c r="L22" s="23"/>
      <c r="M22" s="24"/>
      <c r="N22" s="5" t="str">
        <f>IF(H22="","",H22*IFERROR(VLOOKUP(E22,Maschinenstamm!$A$10:$E$17,5,FALSE),0))</f>
        <v/>
      </c>
    </row>
    <row r="23" spans="1:14" ht="26.1" customHeight="1" x14ac:dyDescent="0.25">
      <c r="A23" s="8" t="str">
        <f t="shared" si="0"/>
        <v>A-2026-018</v>
      </c>
      <c r="B23" s="25"/>
      <c r="C23" s="9"/>
      <c r="D23" s="10"/>
      <c r="E23" s="26"/>
      <c r="F23" s="25"/>
      <c r="G23" s="12"/>
      <c r="H23" s="10"/>
      <c r="I23" s="13"/>
      <c r="J23" s="13"/>
      <c r="K23" s="27"/>
      <c r="L23" s="27"/>
      <c r="M23" s="28"/>
      <c r="N23" s="11" t="str">
        <f>IF(H23="","",H23*IFERROR(VLOOKUP(E23,Maschinenstamm!$A$10:$E$17,5,FALSE),0))</f>
        <v/>
      </c>
    </row>
    <row r="24" spans="1:14" ht="26.1" customHeight="1" x14ac:dyDescent="0.25">
      <c r="A24" s="2" t="str">
        <f t="shared" si="0"/>
        <v>A-2026-019</v>
      </c>
      <c r="B24" s="21"/>
      <c r="C24" s="3"/>
      <c r="D24" s="4"/>
      <c r="E24" s="22"/>
      <c r="F24" s="21"/>
      <c r="G24" s="6"/>
      <c r="H24" s="4"/>
      <c r="I24" s="7"/>
      <c r="J24" s="7"/>
      <c r="K24" s="23"/>
      <c r="L24" s="23"/>
      <c r="M24" s="24"/>
      <c r="N24" s="5" t="str">
        <f>IF(H24="","",H24*IFERROR(VLOOKUP(E24,Maschinenstamm!$A$10:$E$17,5,FALSE),0))</f>
        <v/>
      </c>
    </row>
    <row r="25" spans="1:14" ht="26.1" customHeight="1" x14ac:dyDescent="0.25">
      <c r="A25" s="8" t="str">
        <f t="shared" si="0"/>
        <v>A-2026-020</v>
      </c>
      <c r="B25" s="25"/>
      <c r="C25" s="9"/>
      <c r="D25" s="10"/>
      <c r="E25" s="26"/>
      <c r="F25" s="25"/>
      <c r="G25" s="12"/>
      <c r="H25" s="10"/>
      <c r="I25" s="13"/>
      <c r="J25" s="13"/>
      <c r="K25" s="27"/>
      <c r="L25" s="27"/>
      <c r="M25" s="28"/>
      <c r="N25" s="11" t="str">
        <f>IF(H25="","",H25*IFERROR(VLOOKUP(E25,Maschinenstamm!$A$10:$E$17,5,FALSE),0))</f>
        <v/>
      </c>
    </row>
    <row r="26" spans="1:14" ht="26.1" customHeight="1" x14ac:dyDescent="0.25">
      <c r="A26" s="2" t="str">
        <f t="shared" si="0"/>
        <v>A-2026-021</v>
      </c>
      <c r="B26" s="21"/>
      <c r="C26" s="3"/>
      <c r="D26" s="4"/>
      <c r="E26" s="22"/>
      <c r="F26" s="21"/>
      <c r="G26" s="6"/>
      <c r="H26" s="4"/>
      <c r="I26" s="7"/>
      <c r="J26" s="7"/>
      <c r="K26" s="23"/>
      <c r="L26" s="23"/>
      <c r="M26" s="24"/>
      <c r="N26" s="5" t="str">
        <f>IF(H26="","",H26*IFERROR(VLOOKUP(E26,Maschinenstamm!$A$10:$E$17,5,FALSE),0))</f>
        <v/>
      </c>
    </row>
    <row r="27" spans="1:14" ht="26.1" customHeight="1" x14ac:dyDescent="0.25">
      <c r="A27" s="8" t="str">
        <f t="shared" si="0"/>
        <v>A-2026-022</v>
      </c>
      <c r="B27" s="25"/>
      <c r="C27" s="9"/>
      <c r="D27" s="10"/>
      <c r="E27" s="26"/>
      <c r="F27" s="25"/>
      <c r="G27" s="12"/>
      <c r="H27" s="10"/>
      <c r="I27" s="13"/>
      <c r="J27" s="13"/>
      <c r="K27" s="27"/>
      <c r="L27" s="27"/>
      <c r="M27" s="28"/>
      <c r="N27" s="11" t="str">
        <f>IF(H27="","",H27*IFERROR(VLOOKUP(E27,Maschinenstamm!$A$10:$E$17,5,FALSE),0))</f>
        <v/>
      </c>
    </row>
    <row r="28" spans="1:14" ht="26.1" customHeight="1" x14ac:dyDescent="0.25">
      <c r="A28" s="2" t="str">
        <f t="shared" si="0"/>
        <v>A-2026-023</v>
      </c>
      <c r="B28" s="21"/>
      <c r="C28" s="3"/>
      <c r="D28" s="4"/>
      <c r="E28" s="22"/>
      <c r="F28" s="21"/>
      <c r="G28" s="6"/>
      <c r="H28" s="4"/>
      <c r="I28" s="7"/>
      <c r="J28" s="7"/>
      <c r="K28" s="23"/>
      <c r="L28" s="23"/>
      <c r="M28" s="24"/>
      <c r="N28" s="5" t="str">
        <f>IF(H28="","",H28*IFERROR(VLOOKUP(E28,Maschinenstamm!$A$10:$E$17,5,FALSE),0))</f>
        <v/>
      </c>
    </row>
    <row r="29" spans="1:14" ht="26.1" customHeight="1" x14ac:dyDescent="0.25">
      <c r="A29" s="8" t="str">
        <f t="shared" si="0"/>
        <v>A-2026-024</v>
      </c>
      <c r="B29" s="25"/>
      <c r="C29" s="9"/>
      <c r="D29" s="10"/>
      <c r="E29" s="26"/>
      <c r="F29" s="25"/>
      <c r="G29" s="12"/>
      <c r="H29" s="10"/>
      <c r="I29" s="13"/>
      <c r="J29" s="13"/>
      <c r="K29" s="27"/>
      <c r="L29" s="27"/>
      <c r="M29" s="28"/>
      <c r="N29" s="11" t="str">
        <f>IF(H29="","",H29*IFERROR(VLOOKUP(E29,Maschinenstamm!$A$10:$E$17,5,FALSE),0))</f>
        <v/>
      </c>
    </row>
    <row r="30" spans="1:14" ht="26.1" customHeight="1" x14ac:dyDescent="0.25">
      <c r="A30" s="2" t="str">
        <f t="shared" si="0"/>
        <v>A-2026-025</v>
      </c>
      <c r="B30" s="21"/>
      <c r="C30" s="3"/>
      <c r="D30" s="4"/>
      <c r="E30" s="22"/>
      <c r="F30" s="21"/>
      <c r="G30" s="6"/>
      <c r="H30" s="4"/>
      <c r="I30" s="7"/>
      <c r="J30" s="7"/>
      <c r="K30" s="23"/>
      <c r="L30" s="23"/>
      <c r="M30" s="24"/>
      <c r="N30" s="5" t="str">
        <f>IF(H30="","",H30*IFERROR(VLOOKUP(E30,Maschinenstamm!$A$10:$E$17,5,FALSE),0))</f>
        <v/>
      </c>
    </row>
    <row r="31" spans="1:14" ht="26.1" customHeight="1" x14ac:dyDescent="0.25">
      <c r="A31" s="8" t="str">
        <f t="shared" si="0"/>
        <v>A-2026-026</v>
      </c>
      <c r="B31" s="25"/>
      <c r="C31" s="9"/>
      <c r="D31" s="10"/>
      <c r="E31" s="26"/>
      <c r="F31" s="25"/>
      <c r="G31" s="12"/>
      <c r="H31" s="10"/>
      <c r="I31" s="13"/>
      <c r="J31" s="13"/>
      <c r="K31" s="27"/>
      <c r="L31" s="27"/>
      <c r="M31" s="28"/>
      <c r="N31" s="11" t="str">
        <f>IF(H31="","",H31*IFERROR(VLOOKUP(E31,Maschinenstamm!$A$10:$E$17,5,FALSE),0))</f>
        <v/>
      </c>
    </row>
    <row r="32" spans="1:14" ht="26.1" customHeight="1" x14ac:dyDescent="0.25">
      <c r="A32" s="2" t="str">
        <f t="shared" si="0"/>
        <v>A-2026-027</v>
      </c>
      <c r="B32" s="21"/>
      <c r="C32" s="3"/>
      <c r="D32" s="4"/>
      <c r="E32" s="22"/>
      <c r="F32" s="21"/>
      <c r="G32" s="6"/>
      <c r="H32" s="4"/>
      <c r="I32" s="7"/>
      <c r="J32" s="7"/>
      <c r="K32" s="23"/>
      <c r="L32" s="23"/>
      <c r="M32" s="24"/>
      <c r="N32" s="5" t="str">
        <f>IF(H32="","",H32*IFERROR(VLOOKUP(E32,Maschinenstamm!$A$10:$E$17,5,FALSE),0))</f>
        <v/>
      </c>
    </row>
    <row r="33" spans="1:14" ht="26.1" customHeight="1" x14ac:dyDescent="0.25">
      <c r="A33" s="8" t="str">
        <f t="shared" si="0"/>
        <v>A-2026-028</v>
      </c>
      <c r="B33" s="25"/>
      <c r="C33" s="9"/>
      <c r="D33" s="10"/>
      <c r="E33" s="26"/>
      <c r="F33" s="25"/>
      <c r="G33" s="12"/>
      <c r="H33" s="10"/>
      <c r="I33" s="13"/>
      <c r="J33" s="13"/>
      <c r="K33" s="27"/>
      <c r="L33" s="27"/>
      <c r="M33" s="28"/>
      <c r="N33" s="11" t="str">
        <f>IF(H33="","",H33*IFERROR(VLOOKUP(E33,Maschinenstamm!$A$10:$E$17,5,FALSE),0))</f>
        <v/>
      </c>
    </row>
    <row r="34" spans="1:14" ht="26.1" customHeight="1" x14ac:dyDescent="0.25">
      <c r="A34" s="2" t="str">
        <f t="shared" si="0"/>
        <v>A-2026-029</v>
      </c>
      <c r="B34" s="21"/>
      <c r="C34" s="3"/>
      <c r="D34" s="4"/>
      <c r="E34" s="22"/>
      <c r="F34" s="21"/>
      <c r="G34" s="6"/>
      <c r="H34" s="4"/>
      <c r="I34" s="7"/>
      <c r="J34" s="7"/>
      <c r="K34" s="23"/>
      <c r="L34" s="23"/>
      <c r="M34" s="24"/>
      <c r="N34" s="5" t="str">
        <f>IF(H34="","",H34*IFERROR(VLOOKUP(E34,Maschinenstamm!$A$10:$E$17,5,FALSE),0))</f>
        <v/>
      </c>
    </row>
    <row r="35" spans="1:14" ht="26.1" customHeight="1" x14ac:dyDescent="0.25">
      <c r="A35" s="8" t="str">
        <f t="shared" si="0"/>
        <v>A-2026-030</v>
      </c>
      <c r="B35" s="25"/>
      <c r="C35" s="9"/>
      <c r="D35" s="10"/>
      <c r="E35" s="26"/>
      <c r="F35" s="25"/>
      <c r="G35" s="12"/>
      <c r="H35" s="10"/>
      <c r="I35" s="13"/>
      <c r="J35" s="13"/>
      <c r="K35" s="27"/>
      <c r="L35" s="27"/>
      <c r="M35" s="28"/>
      <c r="N35" s="11" t="str">
        <f>IF(H35="","",H35*IFERROR(VLOOKUP(E35,Maschinenstamm!$A$10:$E$17,5,FALSE),0))</f>
        <v/>
      </c>
    </row>
    <row r="36" spans="1:14" ht="26.1" customHeight="1" x14ac:dyDescent="0.25">
      <c r="A36" s="2" t="str">
        <f t="shared" si="0"/>
        <v>A-2026-031</v>
      </c>
      <c r="B36" s="21"/>
      <c r="C36" s="3"/>
      <c r="D36" s="4"/>
      <c r="E36" s="22"/>
      <c r="F36" s="21"/>
      <c r="G36" s="6"/>
      <c r="H36" s="4"/>
      <c r="I36" s="7"/>
      <c r="J36" s="7"/>
      <c r="K36" s="23"/>
      <c r="L36" s="23"/>
      <c r="M36" s="24"/>
      <c r="N36" s="5" t="str">
        <f>IF(H36="","",H36*IFERROR(VLOOKUP(E36,Maschinenstamm!$A$10:$E$17,5,FALSE),0))</f>
        <v/>
      </c>
    </row>
    <row r="37" spans="1:14" ht="26.1" customHeight="1" x14ac:dyDescent="0.25">
      <c r="A37" s="8" t="str">
        <f t="shared" si="0"/>
        <v>A-2026-032</v>
      </c>
      <c r="B37" s="25"/>
      <c r="C37" s="9"/>
      <c r="D37" s="10"/>
      <c r="E37" s="26"/>
      <c r="F37" s="25"/>
      <c r="G37" s="12"/>
      <c r="H37" s="10"/>
      <c r="I37" s="13"/>
      <c r="J37" s="13"/>
      <c r="K37" s="27"/>
      <c r="L37" s="27"/>
      <c r="M37" s="28"/>
      <c r="N37" s="11" t="str">
        <f>IF(H37="","",H37*IFERROR(VLOOKUP(E37,Maschinenstamm!$A$10:$E$17,5,FALSE),0))</f>
        <v/>
      </c>
    </row>
    <row r="38" spans="1:14" ht="26.1" customHeight="1" x14ac:dyDescent="0.25">
      <c r="A38" s="2" t="str">
        <f t="shared" ref="A38:A60" si="1">"A-2026-"&amp;TEXT(ROW()-5,"000")</f>
        <v>A-2026-033</v>
      </c>
      <c r="B38" s="21"/>
      <c r="C38" s="3"/>
      <c r="D38" s="4"/>
      <c r="E38" s="22"/>
      <c r="F38" s="21"/>
      <c r="G38" s="6"/>
      <c r="H38" s="4"/>
      <c r="I38" s="7"/>
      <c r="J38" s="7"/>
      <c r="K38" s="23"/>
      <c r="L38" s="23"/>
      <c r="M38" s="24"/>
      <c r="N38" s="5" t="str">
        <f>IF(H38="","",H38*IFERROR(VLOOKUP(E38,Maschinenstamm!$A$10:$E$17,5,FALSE),0))</f>
        <v/>
      </c>
    </row>
    <row r="39" spans="1:14" ht="26.1" customHeight="1" x14ac:dyDescent="0.25">
      <c r="A39" s="8" t="str">
        <f t="shared" si="1"/>
        <v>A-2026-034</v>
      </c>
      <c r="B39" s="25"/>
      <c r="C39" s="9"/>
      <c r="D39" s="10"/>
      <c r="E39" s="26"/>
      <c r="F39" s="25"/>
      <c r="G39" s="12"/>
      <c r="H39" s="10"/>
      <c r="I39" s="13"/>
      <c r="J39" s="13"/>
      <c r="K39" s="27"/>
      <c r="L39" s="27"/>
      <c r="M39" s="28"/>
      <c r="N39" s="11" t="str">
        <f>IF(H39="","",H39*IFERROR(VLOOKUP(E39,Maschinenstamm!$A$10:$E$17,5,FALSE),0))</f>
        <v/>
      </c>
    </row>
    <row r="40" spans="1:14" ht="26.1" customHeight="1" x14ac:dyDescent="0.25">
      <c r="A40" s="2" t="str">
        <f t="shared" si="1"/>
        <v>A-2026-035</v>
      </c>
      <c r="B40" s="21"/>
      <c r="C40" s="3"/>
      <c r="D40" s="4"/>
      <c r="E40" s="22"/>
      <c r="F40" s="21"/>
      <c r="G40" s="6"/>
      <c r="H40" s="4"/>
      <c r="I40" s="7"/>
      <c r="J40" s="7"/>
      <c r="K40" s="23"/>
      <c r="L40" s="23"/>
      <c r="M40" s="24"/>
      <c r="N40" s="5" t="str">
        <f>IF(H40="","",H40*IFERROR(VLOOKUP(E40,Maschinenstamm!$A$10:$E$17,5,FALSE),0))</f>
        <v/>
      </c>
    </row>
    <row r="41" spans="1:14" ht="26.1" customHeight="1" x14ac:dyDescent="0.25">
      <c r="A41" s="8" t="str">
        <f t="shared" si="1"/>
        <v>A-2026-036</v>
      </c>
      <c r="B41" s="25"/>
      <c r="C41" s="9"/>
      <c r="D41" s="10"/>
      <c r="E41" s="26"/>
      <c r="F41" s="25"/>
      <c r="G41" s="12"/>
      <c r="H41" s="10"/>
      <c r="I41" s="13"/>
      <c r="J41" s="13"/>
      <c r="K41" s="27"/>
      <c r="L41" s="27"/>
      <c r="M41" s="28"/>
      <c r="N41" s="11" t="str">
        <f>IF(H41="","",H41*IFERROR(VLOOKUP(E41,Maschinenstamm!$A$10:$E$17,5,FALSE),0))</f>
        <v/>
      </c>
    </row>
    <row r="42" spans="1:14" ht="26.1" customHeight="1" x14ac:dyDescent="0.25">
      <c r="A42" s="2" t="str">
        <f t="shared" si="1"/>
        <v>A-2026-037</v>
      </c>
      <c r="B42" s="21"/>
      <c r="C42" s="3"/>
      <c r="D42" s="4"/>
      <c r="E42" s="22"/>
      <c r="F42" s="21"/>
      <c r="G42" s="6"/>
      <c r="H42" s="4"/>
      <c r="I42" s="7"/>
      <c r="J42" s="7"/>
      <c r="K42" s="23"/>
      <c r="L42" s="23"/>
      <c r="M42" s="24"/>
      <c r="N42" s="5" t="str">
        <f>IF(H42="","",H42*IFERROR(VLOOKUP(E42,Maschinenstamm!$A$10:$E$17,5,FALSE),0))</f>
        <v/>
      </c>
    </row>
    <row r="43" spans="1:14" ht="26.1" customHeight="1" x14ac:dyDescent="0.25">
      <c r="A43" s="8" t="str">
        <f t="shared" si="1"/>
        <v>A-2026-038</v>
      </c>
      <c r="B43" s="25"/>
      <c r="C43" s="9"/>
      <c r="D43" s="10"/>
      <c r="E43" s="26"/>
      <c r="F43" s="25"/>
      <c r="G43" s="12"/>
      <c r="H43" s="10"/>
      <c r="I43" s="13"/>
      <c r="J43" s="13"/>
      <c r="K43" s="27"/>
      <c r="L43" s="27"/>
      <c r="M43" s="28"/>
      <c r="N43" s="11" t="str">
        <f>IF(H43="","",H43*IFERROR(VLOOKUP(E43,Maschinenstamm!$A$10:$E$17,5,FALSE),0))</f>
        <v/>
      </c>
    </row>
    <row r="44" spans="1:14" ht="26.1" customHeight="1" x14ac:dyDescent="0.25">
      <c r="A44" s="2" t="str">
        <f t="shared" si="1"/>
        <v>A-2026-039</v>
      </c>
      <c r="B44" s="21"/>
      <c r="C44" s="3"/>
      <c r="D44" s="4"/>
      <c r="E44" s="22"/>
      <c r="F44" s="21"/>
      <c r="G44" s="6"/>
      <c r="H44" s="4"/>
      <c r="I44" s="7"/>
      <c r="J44" s="7"/>
      <c r="K44" s="23"/>
      <c r="L44" s="23"/>
      <c r="M44" s="24"/>
      <c r="N44" s="5" t="str">
        <f>IF(H44="","",H44*IFERROR(VLOOKUP(E44,Maschinenstamm!$A$10:$E$17,5,FALSE),0))</f>
        <v/>
      </c>
    </row>
    <row r="45" spans="1:14" ht="26.1" customHeight="1" x14ac:dyDescent="0.25">
      <c r="A45" s="8" t="str">
        <f t="shared" si="1"/>
        <v>A-2026-040</v>
      </c>
      <c r="B45" s="25"/>
      <c r="C45" s="9"/>
      <c r="D45" s="10"/>
      <c r="E45" s="26"/>
      <c r="F45" s="25"/>
      <c r="G45" s="12"/>
      <c r="H45" s="10"/>
      <c r="I45" s="13"/>
      <c r="J45" s="13"/>
      <c r="K45" s="27"/>
      <c r="L45" s="27"/>
      <c r="M45" s="28"/>
      <c r="N45" s="11" t="str">
        <f>IF(H45="","",H45*IFERROR(VLOOKUP(E45,Maschinenstamm!$A$10:$E$17,5,FALSE),0))</f>
        <v/>
      </c>
    </row>
    <row r="46" spans="1:14" ht="26.1" customHeight="1" x14ac:dyDescent="0.25">
      <c r="A46" s="2" t="str">
        <f t="shared" si="1"/>
        <v>A-2026-041</v>
      </c>
      <c r="B46" s="21"/>
      <c r="C46" s="3"/>
      <c r="D46" s="4"/>
      <c r="E46" s="22"/>
      <c r="F46" s="21"/>
      <c r="G46" s="6"/>
      <c r="H46" s="4"/>
      <c r="I46" s="7"/>
      <c r="J46" s="7"/>
      <c r="K46" s="23"/>
      <c r="L46" s="23"/>
      <c r="M46" s="24"/>
      <c r="N46" s="5" t="str">
        <f>IF(H46="","",H46*IFERROR(VLOOKUP(E46,Maschinenstamm!$A$10:$E$17,5,FALSE),0))</f>
        <v/>
      </c>
    </row>
    <row r="47" spans="1:14" ht="26.1" customHeight="1" x14ac:dyDescent="0.25">
      <c r="A47" s="8" t="str">
        <f t="shared" si="1"/>
        <v>A-2026-042</v>
      </c>
      <c r="B47" s="25"/>
      <c r="C47" s="9"/>
      <c r="D47" s="10"/>
      <c r="E47" s="26"/>
      <c r="F47" s="25"/>
      <c r="G47" s="12"/>
      <c r="H47" s="10"/>
      <c r="I47" s="13"/>
      <c r="J47" s="13"/>
      <c r="K47" s="27"/>
      <c r="L47" s="27"/>
      <c r="M47" s="28"/>
      <c r="N47" s="11" t="str">
        <f>IF(H47="","",H47*IFERROR(VLOOKUP(E47,Maschinenstamm!$A$10:$E$17,5,FALSE),0))</f>
        <v/>
      </c>
    </row>
    <row r="48" spans="1:14" ht="26.1" customHeight="1" x14ac:dyDescent="0.25">
      <c r="A48" s="2" t="str">
        <f t="shared" si="1"/>
        <v>A-2026-043</v>
      </c>
      <c r="B48" s="21"/>
      <c r="C48" s="3"/>
      <c r="D48" s="4"/>
      <c r="E48" s="22"/>
      <c r="F48" s="21"/>
      <c r="G48" s="6"/>
      <c r="H48" s="4"/>
      <c r="I48" s="7"/>
      <c r="J48" s="7"/>
      <c r="K48" s="23"/>
      <c r="L48" s="23"/>
      <c r="M48" s="24"/>
      <c r="N48" s="5" t="str">
        <f>IF(H48="","",H48*IFERROR(VLOOKUP(E48,Maschinenstamm!$A$10:$E$17,5,FALSE),0))</f>
        <v/>
      </c>
    </row>
    <row r="49" spans="1:14" ht="26.1" customHeight="1" x14ac:dyDescent="0.25">
      <c r="A49" s="8" t="str">
        <f t="shared" si="1"/>
        <v>A-2026-044</v>
      </c>
      <c r="B49" s="25"/>
      <c r="C49" s="9"/>
      <c r="D49" s="10"/>
      <c r="E49" s="26"/>
      <c r="F49" s="25"/>
      <c r="G49" s="12"/>
      <c r="H49" s="10"/>
      <c r="I49" s="13"/>
      <c r="J49" s="13"/>
      <c r="K49" s="27"/>
      <c r="L49" s="27"/>
      <c r="M49" s="28"/>
      <c r="N49" s="11" t="str">
        <f>IF(H49="","",H49*IFERROR(VLOOKUP(E49,Maschinenstamm!$A$10:$E$17,5,FALSE),0))</f>
        <v/>
      </c>
    </row>
    <row r="50" spans="1:14" ht="26.1" customHeight="1" x14ac:dyDescent="0.25">
      <c r="A50" s="2" t="str">
        <f t="shared" si="1"/>
        <v>A-2026-045</v>
      </c>
      <c r="B50" s="21"/>
      <c r="C50" s="3"/>
      <c r="D50" s="4"/>
      <c r="E50" s="22"/>
      <c r="F50" s="21"/>
      <c r="G50" s="6"/>
      <c r="H50" s="4"/>
      <c r="I50" s="7"/>
      <c r="J50" s="7"/>
      <c r="K50" s="23"/>
      <c r="L50" s="23"/>
      <c r="M50" s="24"/>
      <c r="N50" s="5" t="str">
        <f>IF(H50="","",H50*IFERROR(VLOOKUP(E50,Maschinenstamm!$A$10:$E$17,5,FALSE),0))</f>
        <v/>
      </c>
    </row>
    <row r="51" spans="1:14" ht="26.1" customHeight="1" x14ac:dyDescent="0.25">
      <c r="A51" s="8" t="str">
        <f t="shared" si="1"/>
        <v>A-2026-046</v>
      </c>
      <c r="B51" s="25"/>
      <c r="C51" s="9"/>
      <c r="D51" s="10"/>
      <c r="E51" s="26"/>
      <c r="F51" s="25"/>
      <c r="G51" s="12"/>
      <c r="H51" s="10"/>
      <c r="I51" s="13"/>
      <c r="J51" s="13"/>
      <c r="K51" s="27"/>
      <c r="L51" s="27"/>
      <c r="M51" s="28"/>
      <c r="N51" s="11" t="str">
        <f>IF(H51="","",H51*IFERROR(VLOOKUP(E51,Maschinenstamm!$A$10:$E$17,5,FALSE),0))</f>
        <v/>
      </c>
    </row>
    <row r="52" spans="1:14" ht="26.1" customHeight="1" x14ac:dyDescent="0.25">
      <c r="A52" s="2" t="str">
        <f t="shared" si="1"/>
        <v>A-2026-047</v>
      </c>
      <c r="B52" s="21"/>
      <c r="C52" s="3"/>
      <c r="D52" s="4"/>
      <c r="E52" s="22"/>
      <c r="F52" s="21"/>
      <c r="G52" s="6"/>
      <c r="H52" s="4"/>
      <c r="I52" s="7"/>
      <c r="J52" s="7"/>
      <c r="K52" s="23"/>
      <c r="L52" s="23"/>
      <c r="M52" s="24"/>
      <c r="N52" s="5" t="str">
        <f>IF(H52="","",H52*IFERROR(VLOOKUP(E52,Maschinenstamm!$A$10:$E$17,5,FALSE),0))</f>
        <v/>
      </c>
    </row>
    <row r="53" spans="1:14" ht="26.1" customHeight="1" x14ac:dyDescent="0.25">
      <c r="A53" s="8" t="str">
        <f t="shared" si="1"/>
        <v>A-2026-048</v>
      </c>
      <c r="B53" s="25"/>
      <c r="C53" s="9"/>
      <c r="D53" s="10"/>
      <c r="E53" s="26"/>
      <c r="F53" s="25"/>
      <c r="G53" s="12"/>
      <c r="H53" s="10"/>
      <c r="I53" s="13"/>
      <c r="J53" s="13"/>
      <c r="K53" s="27"/>
      <c r="L53" s="27"/>
      <c r="M53" s="28"/>
      <c r="N53" s="11" t="str">
        <f>IF(H53="","",H53*IFERROR(VLOOKUP(E53,Maschinenstamm!$A$10:$E$17,5,FALSE),0))</f>
        <v/>
      </c>
    </row>
    <row r="54" spans="1:14" ht="26.1" customHeight="1" x14ac:dyDescent="0.25">
      <c r="A54" s="2" t="str">
        <f t="shared" si="1"/>
        <v>A-2026-049</v>
      </c>
      <c r="B54" s="21"/>
      <c r="C54" s="3"/>
      <c r="D54" s="4"/>
      <c r="E54" s="22"/>
      <c r="F54" s="21"/>
      <c r="G54" s="6"/>
      <c r="H54" s="4"/>
      <c r="I54" s="7"/>
      <c r="J54" s="7"/>
      <c r="K54" s="23"/>
      <c r="L54" s="23"/>
      <c r="M54" s="24"/>
      <c r="N54" s="5" t="str">
        <f>IF(H54="","",H54*IFERROR(VLOOKUP(E54,Maschinenstamm!$A$10:$E$17,5,FALSE),0))</f>
        <v/>
      </c>
    </row>
    <row r="55" spans="1:14" ht="26.1" customHeight="1" x14ac:dyDescent="0.25">
      <c r="A55" s="8" t="str">
        <f t="shared" si="1"/>
        <v>A-2026-050</v>
      </c>
      <c r="B55" s="25"/>
      <c r="C55" s="9"/>
      <c r="D55" s="10"/>
      <c r="E55" s="26"/>
      <c r="F55" s="25"/>
      <c r="G55" s="12"/>
      <c r="H55" s="10"/>
      <c r="I55" s="13"/>
      <c r="J55" s="13"/>
      <c r="K55" s="27"/>
      <c r="L55" s="27"/>
      <c r="M55" s="28"/>
      <c r="N55" s="11" t="str">
        <f>IF(H55="","",H55*IFERROR(VLOOKUP(E55,Maschinenstamm!$A$10:$E$17,5,FALSE),0))</f>
        <v/>
      </c>
    </row>
    <row r="56" spans="1:14" ht="26.1" customHeight="1" x14ac:dyDescent="0.25">
      <c r="A56" s="2" t="str">
        <f t="shared" si="1"/>
        <v>A-2026-051</v>
      </c>
      <c r="B56" s="21"/>
      <c r="C56" s="3"/>
      <c r="D56" s="4"/>
      <c r="E56" s="22"/>
      <c r="F56" s="21"/>
      <c r="G56" s="6"/>
      <c r="H56" s="4"/>
      <c r="I56" s="7"/>
      <c r="J56" s="7"/>
      <c r="K56" s="23"/>
      <c r="L56" s="23"/>
      <c r="M56" s="24"/>
      <c r="N56" s="5" t="str">
        <f>IF(H56="","",H56*IFERROR(VLOOKUP(E56,Maschinenstamm!$A$10:$E$17,5,FALSE),0))</f>
        <v/>
      </c>
    </row>
    <row r="57" spans="1:14" ht="26.1" customHeight="1" x14ac:dyDescent="0.25">
      <c r="A57" s="8" t="str">
        <f t="shared" si="1"/>
        <v>A-2026-052</v>
      </c>
      <c r="B57" s="25"/>
      <c r="C57" s="9"/>
      <c r="D57" s="10"/>
      <c r="E57" s="26"/>
      <c r="F57" s="25"/>
      <c r="G57" s="12"/>
      <c r="H57" s="10"/>
      <c r="I57" s="13"/>
      <c r="J57" s="13"/>
      <c r="K57" s="27"/>
      <c r="L57" s="27"/>
      <c r="M57" s="28"/>
      <c r="N57" s="11" t="str">
        <f>IF(H57="","",H57*IFERROR(VLOOKUP(E57,Maschinenstamm!$A$10:$E$17,5,FALSE),0))</f>
        <v/>
      </c>
    </row>
    <row r="58" spans="1:14" ht="26.1" customHeight="1" x14ac:dyDescent="0.25">
      <c r="A58" s="2" t="str">
        <f t="shared" si="1"/>
        <v>A-2026-053</v>
      </c>
      <c r="B58" s="21"/>
      <c r="C58" s="3"/>
      <c r="D58" s="4"/>
      <c r="E58" s="22"/>
      <c r="F58" s="21"/>
      <c r="G58" s="6"/>
      <c r="H58" s="4"/>
      <c r="I58" s="7"/>
      <c r="J58" s="7"/>
      <c r="K58" s="23"/>
      <c r="L58" s="23"/>
      <c r="M58" s="24"/>
      <c r="N58" s="5" t="str">
        <f>IF(H58="","",H58*IFERROR(VLOOKUP(E58,Maschinenstamm!$A$10:$E$17,5,FALSE),0))</f>
        <v/>
      </c>
    </row>
    <row r="59" spans="1:14" ht="26.1" customHeight="1" x14ac:dyDescent="0.25">
      <c r="A59" s="8" t="str">
        <f t="shared" si="1"/>
        <v>A-2026-054</v>
      </c>
      <c r="B59" s="25"/>
      <c r="C59" s="9"/>
      <c r="D59" s="10"/>
      <c r="E59" s="26"/>
      <c r="F59" s="25"/>
      <c r="G59" s="12"/>
      <c r="H59" s="10"/>
      <c r="I59" s="13"/>
      <c r="J59" s="13"/>
      <c r="K59" s="27"/>
      <c r="L59" s="27"/>
      <c r="M59" s="28"/>
      <c r="N59" s="11" t="str">
        <f>IF(H59="","",H59*IFERROR(VLOOKUP(E59,Maschinenstamm!$A$10:$E$17,5,FALSE),0))</f>
        <v/>
      </c>
    </row>
    <row r="60" spans="1:14" ht="26.1" customHeight="1" x14ac:dyDescent="0.25">
      <c r="A60" s="2" t="str">
        <f t="shared" si="1"/>
        <v>A-2026-055</v>
      </c>
      <c r="B60" s="21"/>
      <c r="C60" s="3"/>
      <c r="D60" s="4"/>
      <c r="E60" s="22"/>
      <c r="F60" s="21"/>
      <c r="G60" s="6"/>
      <c r="H60" s="4"/>
      <c r="I60" s="7"/>
      <c r="J60" s="7"/>
      <c r="K60" s="23"/>
      <c r="L60" s="23"/>
      <c r="M60" s="24"/>
      <c r="N60" s="5" t="str">
        <f>IF(H60="","",H60*IFERROR(VLOOKUP(E60,Maschinenstamm!$A$10:$E$17,5,FALSE),0))</f>
        <v/>
      </c>
    </row>
  </sheetData>
  <mergeCells count="4">
    <mergeCell ref="I3:N4"/>
    <mergeCell ref="A1:H2"/>
    <mergeCell ref="A3:H4"/>
    <mergeCell ref="I1:N2"/>
  </mergeCells>
  <conditionalFormatting sqref="K6:K60">
    <cfRule type="cellIs" dxfId="8" priority="6" operator="equal">
      <formula>"Niedrig"</formula>
    </cfRule>
    <cfRule type="cellIs" dxfId="7" priority="7" operator="equal">
      <formula>"Mittel"</formula>
    </cfRule>
    <cfRule type="cellIs" dxfId="6" priority="8" operator="equal">
      <formula>"Hoch"</formula>
    </cfRule>
    <cfRule type="cellIs" dxfId="5" priority="9" operator="equal">
      <formula>"Dringend"</formula>
    </cfRule>
  </conditionalFormatting>
  <conditionalFormatting sqref="L6:L60">
    <cfRule type="cellIs" dxfId="4" priority="1" operator="equal">
      <formula>"Geplant"</formula>
    </cfRule>
    <cfRule type="cellIs" dxfId="3" priority="2" operator="equal">
      <formula>"In Bearbeitung"</formula>
    </cfRule>
    <cfRule type="cellIs" dxfId="2" priority="3" operator="equal">
      <formula>"Fertiggestellt"</formula>
    </cfRule>
    <cfRule type="cellIs" dxfId="1" priority="4" operator="equal">
      <formula>"Pausiert"</formula>
    </cfRule>
    <cfRule type="cellIs" dxfId="0" priority="5" operator="equal">
      <formula>"Storniert"</formula>
    </cfRule>
  </conditionalFormatting>
  <conditionalFormatting sqref="M6:M60">
    <cfRule type="dataBar" priority="10">
      <dataBar>
        <cfvo type="num" val="0"/>
        <cfvo type="num" val="1"/>
        <color rgb="FF1B5E5F"/>
      </dataBar>
    </cfRule>
  </conditionalFormatting>
  <dataValidations count="1">
    <dataValidation type="decimal" allowBlank="1" errorTitle="Ungültiger Fortschritt" error="Bitte einen Wert zwischen 0 und 100% eingeben." sqref="M6:M60" xr:uid="{00000000-0002-0000-0100-000004000000}">
      <formula1>0</formula1>
      <formula2>1</formula2>
    </dataValidation>
  </dataValidations>
  <pageMargins left="0.75" right="0.75" top="1" bottom="1" header="0.5" footer="0.5"/>
  <pageSetup fitToHeight="0"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100-000000000000}">
          <x14:formula1>
            <xm:f>Maschinenstamm!$A$10:$A$17</xm:f>
          </x14:formula1>
          <xm:sqref>E6:E60</xm:sqref>
        </x14:dataValidation>
        <x14:dataValidation type="list" allowBlank="1" xr:uid="{00000000-0002-0000-0100-000001000000}">
          <x14:formula1>
            <xm:f>Maschinenstamm!$E$25:$E$27</xm:f>
          </x14:formula1>
          <xm:sqref>G6:G60</xm:sqref>
        </x14:dataValidation>
        <x14:dataValidation type="list" allowBlank="1" xr:uid="{00000000-0002-0000-0100-000002000000}">
          <x14:formula1>
            <xm:f>Maschinenstamm!$C$25:$C$28</xm:f>
          </x14:formula1>
          <xm:sqref>K6:K60</xm:sqref>
        </x14:dataValidation>
        <x14:dataValidation type="list" allowBlank="1" xr:uid="{00000000-0002-0000-0100-000003000000}">
          <x14:formula1>
            <xm:f>Maschinenstamm!$A$25:$A$29</xm:f>
          </x14:formula1>
          <xm:sqref>L6:L60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F3D3E"/>
    <pageSetUpPr fitToPage="1"/>
  </sheetPr>
  <dimension ref="A1:O43"/>
  <sheetViews>
    <sheetView showGridLines="0" workbookViewId="0"/>
  </sheetViews>
  <sheetFormatPr baseColWidth="10" defaultColWidth="9.140625" defaultRowHeight="15" x14ac:dyDescent="0.25"/>
  <cols>
    <col min="1" max="1" width="12" customWidth="1"/>
    <col min="2" max="2" width="26" customWidth="1"/>
    <col min="3" max="3" width="18" customWidth="1"/>
    <col min="4" max="4" width="16" customWidth="1"/>
    <col min="5" max="6" width="14" customWidth="1"/>
    <col min="7" max="9" width="16" customWidth="1"/>
    <col min="10" max="10" width="4" customWidth="1"/>
    <col min="11" max="11" width="16" customWidth="1"/>
    <col min="12" max="12" width="12" customWidth="1"/>
    <col min="13" max="13" width="3" customWidth="1"/>
    <col min="14" max="14" width="18" customWidth="1"/>
    <col min="15" max="15" width="12" customWidth="1"/>
  </cols>
  <sheetData>
    <row r="1" spans="1:9" ht="21.95" customHeight="1" x14ac:dyDescent="0.25">
      <c r="A1" s="41" t="s">
        <v>72</v>
      </c>
      <c r="B1" s="30"/>
      <c r="C1" s="30"/>
      <c r="D1" s="30"/>
      <c r="E1" s="30"/>
      <c r="F1" s="30"/>
      <c r="G1" s="31" t="s">
        <v>73</v>
      </c>
      <c r="H1" s="30"/>
      <c r="I1" s="30"/>
    </row>
    <row r="2" spans="1:9" ht="14.1" customHeight="1" x14ac:dyDescent="0.25">
      <c r="A2" s="30"/>
      <c r="B2" s="30"/>
      <c r="C2" s="30"/>
      <c r="D2" s="30"/>
      <c r="E2" s="30"/>
      <c r="F2" s="30"/>
      <c r="G2" s="30"/>
      <c r="H2" s="30"/>
      <c r="I2" s="30"/>
    </row>
    <row r="3" spans="1:9" ht="21.95" customHeight="1" x14ac:dyDescent="0.25">
      <c r="A3" s="29" t="s">
        <v>74</v>
      </c>
      <c r="B3" s="30"/>
      <c r="C3" s="30"/>
      <c r="D3" s="30"/>
      <c r="E3" s="30"/>
      <c r="F3" s="30"/>
      <c r="G3" s="40" t="s">
        <v>75</v>
      </c>
      <c r="H3" s="30"/>
      <c r="I3" s="30"/>
    </row>
    <row r="4" spans="1:9" ht="14.1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6" spans="1:9" ht="21.95" customHeight="1" x14ac:dyDescent="0.25">
      <c r="A6" s="49" t="s">
        <v>76</v>
      </c>
      <c r="B6" s="30"/>
      <c r="C6" s="30"/>
      <c r="D6" s="30"/>
      <c r="E6" s="30"/>
      <c r="F6" s="30"/>
      <c r="G6" s="30"/>
      <c r="H6" s="30"/>
      <c r="I6" s="30"/>
    </row>
    <row r="7" spans="1:9" ht="15.95" customHeight="1" x14ac:dyDescent="0.25">
      <c r="A7" s="43" t="s">
        <v>77</v>
      </c>
      <c r="B7" s="30"/>
      <c r="C7" s="30"/>
      <c r="D7" s="30"/>
      <c r="E7" s="30"/>
      <c r="F7" s="30"/>
      <c r="G7" s="30"/>
      <c r="H7" s="30"/>
      <c r="I7" s="30"/>
    </row>
    <row r="9" spans="1:9" ht="30" customHeight="1" x14ac:dyDescent="0.25">
      <c r="A9" s="1" t="s">
        <v>78</v>
      </c>
      <c r="B9" s="1" t="s">
        <v>79</v>
      </c>
      <c r="C9" s="1" t="s">
        <v>80</v>
      </c>
      <c r="D9" s="1" t="s">
        <v>81</v>
      </c>
      <c r="E9" s="1" t="s">
        <v>82</v>
      </c>
      <c r="F9" s="1" t="s">
        <v>23</v>
      </c>
      <c r="G9" s="1" t="s">
        <v>83</v>
      </c>
      <c r="H9" s="1" t="s">
        <v>84</v>
      </c>
      <c r="I9" s="1" t="s">
        <v>85</v>
      </c>
    </row>
    <row r="10" spans="1:9" ht="21.95" customHeight="1" x14ac:dyDescent="0.25">
      <c r="A10" s="2" t="s">
        <v>28</v>
      </c>
      <c r="B10" s="3" t="s">
        <v>29</v>
      </c>
      <c r="C10" s="3" t="s">
        <v>86</v>
      </c>
      <c r="D10" s="4">
        <v>80</v>
      </c>
      <c r="E10" s="5">
        <v>95</v>
      </c>
      <c r="F10" s="6" t="s">
        <v>87</v>
      </c>
      <c r="G10" s="7">
        <v>46034</v>
      </c>
      <c r="H10" s="7">
        <v>46125</v>
      </c>
      <c r="I10" s="6" t="s">
        <v>88</v>
      </c>
    </row>
    <row r="11" spans="1:9" ht="21.95" customHeight="1" x14ac:dyDescent="0.25">
      <c r="A11" s="8" t="s">
        <v>35</v>
      </c>
      <c r="B11" s="9" t="s">
        <v>36</v>
      </c>
      <c r="C11" s="9" t="s">
        <v>86</v>
      </c>
      <c r="D11" s="10">
        <v>80</v>
      </c>
      <c r="E11" s="11">
        <v>88</v>
      </c>
      <c r="F11" s="12" t="s">
        <v>87</v>
      </c>
      <c r="G11" s="13">
        <v>46062</v>
      </c>
      <c r="H11" s="13">
        <v>46153</v>
      </c>
      <c r="I11" s="12" t="s">
        <v>88</v>
      </c>
    </row>
    <row r="12" spans="1:9" ht="21.95" customHeight="1" x14ac:dyDescent="0.25">
      <c r="A12" s="2" t="s">
        <v>40</v>
      </c>
      <c r="B12" s="3" t="s">
        <v>41</v>
      </c>
      <c r="C12" s="3" t="s">
        <v>89</v>
      </c>
      <c r="D12" s="4">
        <v>100</v>
      </c>
      <c r="E12" s="5">
        <v>120</v>
      </c>
      <c r="F12" s="6" t="s">
        <v>87</v>
      </c>
      <c r="G12" s="7">
        <v>46048</v>
      </c>
      <c r="H12" s="7">
        <v>46139</v>
      </c>
      <c r="I12" s="6" t="s">
        <v>90</v>
      </c>
    </row>
    <row r="13" spans="1:9" ht="21.95" customHeight="1" x14ac:dyDescent="0.25">
      <c r="A13" s="8" t="s">
        <v>45</v>
      </c>
      <c r="B13" s="9" t="s">
        <v>46</v>
      </c>
      <c r="C13" s="9" t="s">
        <v>89</v>
      </c>
      <c r="D13" s="10">
        <v>60</v>
      </c>
      <c r="E13" s="11">
        <v>70</v>
      </c>
      <c r="F13" s="12" t="s">
        <v>91</v>
      </c>
      <c r="G13" s="13">
        <v>46076</v>
      </c>
      <c r="H13" s="13">
        <v>46104</v>
      </c>
      <c r="I13" s="12" t="s">
        <v>90</v>
      </c>
    </row>
    <row r="14" spans="1:9" ht="21.95" customHeight="1" x14ac:dyDescent="0.25">
      <c r="A14" s="2" t="s">
        <v>49</v>
      </c>
      <c r="B14" s="3" t="s">
        <v>50</v>
      </c>
      <c r="C14" s="3" t="s">
        <v>92</v>
      </c>
      <c r="D14" s="4">
        <v>90</v>
      </c>
      <c r="E14" s="5">
        <v>105</v>
      </c>
      <c r="F14" s="6" t="s">
        <v>87</v>
      </c>
      <c r="G14" s="7">
        <v>46055</v>
      </c>
      <c r="H14" s="7">
        <v>46146</v>
      </c>
      <c r="I14" s="6" t="s">
        <v>93</v>
      </c>
    </row>
    <row r="15" spans="1:9" ht="21.95" customHeight="1" x14ac:dyDescent="0.25">
      <c r="A15" s="8" t="s">
        <v>54</v>
      </c>
      <c r="B15" s="9" t="s">
        <v>55</v>
      </c>
      <c r="C15" s="9" t="s">
        <v>94</v>
      </c>
      <c r="D15" s="10">
        <v>120</v>
      </c>
      <c r="E15" s="11">
        <v>65</v>
      </c>
      <c r="F15" s="12" t="s">
        <v>87</v>
      </c>
      <c r="G15" s="13">
        <v>46041</v>
      </c>
      <c r="H15" s="13">
        <v>46132</v>
      </c>
      <c r="I15" s="12" t="s">
        <v>93</v>
      </c>
    </row>
    <row r="16" spans="1:9" ht="21.95" customHeight="1" x14ac:dyDescent="0.25">
      <c r="A16" s="2" t="s">
        <v>58</v>
      </c>
      <c r="B16" s="3" t="s">
        <v>59</v>
      </c>
      <c r="C16" s="3" t="s">
        <v>95</v>
      </c>
      <c r="D16" s="4">
        <v>70</v>
      </c>
      <c r="E16" s="5">
        <v>80</v>
      </c>
      <c r="F16" s="6" t="s">
        <v>87</v>
      </c>
      <c r="G16" s="7">
        <v>46069</v>
      </c>
      <c r="H16" s="7">
        <v>46160</v>
      </c>
      <c r="I16" s="6" t="s">
        <v>96</v>
      </c>
    </row>
    <row r="17" spans="1:9" ht="21.95" customHeight="1" x14ac:dyDescent="0.25">
      <c r="A17" s="8" t="s">
        <v>61</v>
      </c>
      <c r="B17" s="9" t="s">
        <v>62</v>
      </c>
      <c r="C17" s="9" t="s">
        <v>97</v>
      </c>
      <c r="D17" s="10">
        <v>50</v>
      </c>
      <c r="E17" s="11">
        <v>75</v>
      </c>
      <c r="F17" s="12" t="s">
        <v>98</v>
      </c>
      <c r="G17" s="13">
        <v>46027</v>
      </c>
      <c r="H17" s="13">
        <v>46118</v>
      </c>
      <c r="I17" s="12" t="s">
        <v>96</v>
      </c>
    </row>
    <row r="18" spans="1:9" x14ac:dyDescent="0.25">
      <c r="A18" s="14" t="s">
        <v>99</v>
      </c>
      <c r="B18" s="47" t="s">
        <v>100</v>
      </c>
      <c r="C18" s="33"/>
      <c r="D18" s="16">
        <f>SUM(D10:D17)</f>
        <v>650</v>
      </c>
      <c r="E18" s="17"/>
      <c r="F18" s="17"/>
      <c r="G18" s="17"/>
      <c r="H18" s="17"/>
      <c r="I18" s="17"/>
    </row>
    <row r="21" spans="1:9" ht="21.95" customHeight="1" x14ac:dyDescent="0.25">
      <c r="A21" s="49" t="s">
        <v>101</v>
      </c>
      <c r="B21" s="30"/>
      <c r="C21" s="30"/>
      <c r="D21" s="30"/>
      <c r="E21" s="30"/>
      <c r="F21" s="30"/>
      <c r="G21" s="30"/>
      <c r="H21" s="30"/>
      <c r="I21" s="30"/>
    </row>
    <row r="22" spans="1:9" x14ac:dyDescent="0.25">
      <c r="A22" s="43" t="s">
        <v>102</v>
      </c>
      <c r="B22" s="30"/>
      <c r="C22" s="30"/>
      <c r="D22" s="30"/>
      <c r="E22" s="30"/>
      <c r="F22" s="30"/>
      <c r="G22" s="30"/>
      <c r="H22" s="30"/>
      <c r="I22" s="30"/>
    </row>
    <row r="24" spans="1:9" x14ac:dyDescent="0.25">
      <c r="A24" s="44" t="s">
        <v>103</v>
      </c>
      <c r="B24" s="33"/>
      <c r="C24" s="44" t="s">
        <v>22</v>
      </c>
      <c r="D24" s="33"/>
      <c r="E24" s="44" t="s">
        <v>18</v>
      </c>
      <c r="F24" s="33"/>
      <c r="G24" s="44" t="s">
        <v>104</v>
      </c>
      <c r="H24" s="33"/>
    </row>
    <row r="25" spans="1:9" x14ac:dyDescent="0.25">
      <c r="A25" s="46" t="s">
        <v>56</v>
      </c>
      <c r="B25" s="33"/>
      <c r="C25" s="46" t="s">
        <v>63</v>
      </c>
      <c r="D25" s="33"/>
      <c r="E25" s="46" t="s">
        <v>30</v>
      </c>
      <c r="F25" s="33"/>
      <c r="G25" s="46" t="s">
        <v>87</v>
      </c>
      <c r="H25" s="33"/>
    </row>
    <row r="26" spans="1:9" x14ac:dyDescent="0.25">
      <c r="A26" s="48" t="s">
        <v>43</v>
      </c>
      <c r="B26" s="33"/>
      <c r="C26" s="48" t="s">
        <v>37</v>
      </c>
      <c r="D26" s="33"/>
      <c r="E26" s="48" t="s">
        <v>42</v>
      </c>
      <c r="F26" s="33"/>
      <c r="G26" s="48" t="s">
        <v>91</v>
      </c>
      <c r="H26" s="33"/>
    </row>
    <row r="27" spans="1:9" x14ac:dyDescent="0.25">
      <c r="A27" s="46" t="s">
        <v>32</v>
      </c>
      <c r="B27" s="33"/>
      <c r="C27" s="46" t="s">
        <v>31</v>
      </c>
      <c r="D27" s="33"/>
      <c r="E27" s="46" t="s">
        <v>51</v>
      </c>
      <c r="F27" s="33"/>
      <c r="G27" s="46" t="s">
        <v>98</v>
      </c>
      <c r="H27" s="33"/>
    </row>
    <row r="28" spans="1:9" x14ac:dyDescent="0.25">
      <c r="A28" s="48" t="s">
        <v>70</v>
      </c>
      <c r="B28" s="33"/>
      <c r="C28" s="48" t="s">
        <v>52</v>
      </c>
      <c r="D28" s="33"/>
      <c r="G28" s="48" t="s">
        <v>105</v>
      </c>
      <c r="H28" s="33"/>
    </row>
    <row r="29" spans="1:9" x14ac:dyDescent="0.25">
      <c r="A29" s="46" t="s">
        <v>106</v>
      </c>
      <c r="B29" s="33"/>
    </row>
    <row r="32" spans="1:9" ht="21.95" customHeight="1" x14ac:dyDescent="0.25">
      <c r="A32" s="49" t="s">
        <v>107</v>
      </c>
      <c r="B32" s="30"/>
      <c r="C32" s="30"/>
      <c r="D32" s="30"/>
      <c r="E32" s="30"/>
      <c r="F32" s="30"/>
      <c r="G32" s="30"/>
      <c r="H32" s="30"/>
      <c r="I32" s="30"/>
    </row>
    <row r="33" spans="1:15" x14ac:dyDescent="0.25">
      <c r="A33" s="43" t="s">
        <v>108</v>
      </c>
      <c r="B33" s="30"/>
      <c r="C33" s="30"/>
      <c r="D33" s="30"/>
      <c r="E33" s="30"/>
      <c r="F33" s="30"/>
      <c r="G33" s="30"/>
      <c r="H33" s="30"/>
      <c r="I33" s="30"/>
      <c r="K33" s="45" t="s">
        <v>109</v>
      </c>
      <c r="L33" s="30"/>
      <c r="N33" s="45" t="s">
        <v>110</v>
      </c>
      <c r="O33" s="30"/>
    </row>
    <row r="34" spans="1:15" ht="27.95" customHeight="1" x14ac:dyDescent="0.25">
      <c r="A34" s="1" t="s">
        <v>17</v>
      </c>
      <c r="B34" s="1" t="s">
        <v>111</v>
      </c>
      <c r="C34" s="1" t="s">
        <v>112</v>
      </c>
      <c r="D34" s="1" t="s">
        <v>113</v>
      </c>
      <c r="E34" s="1" t="s">
        <v>114</v>
      </c>
      <c r="K34" s="14" t="s">
        <v>23</v>
      </c>
      <c r="L34" s="14" t="s">
        <v>115</v>
      </c>
      <c r="N34" s="14" t="s">
        <v>80</v>
      </c>
      <c r="O34" s="14" t="s">
        <v>116</v>
      </c>
    </row>
    <row r="35" spans="1:15" ht="20.100000000000001" customHeight="1" x14ac:dyDescent="0.25">
      <c r="A35" s="2" t="str">
        <f t="shared" ref="A35:A42" si="0">A10</f>
        <v>M-01</v>
      </c>
      <c r="B35" s="4">
        <f t="shared" ref="B35:B42" si="1">D10</f>
        <v>80</v>
      </c>
      <c r="C35" s="4">
        <f>SUMIFS(Maschinenplanung!$H$6:$H$60,Maschinenplanung!$E$6:$E$60,$A10)</f>
        <v>66</v>
      </c>
      <c r="D35" s="4">
        <f t="shared" ref="D35:D42" si="2">B35-C35</f>
        <v>14</v>
      </c>
      <c r="E35" s="18">
        <f t="shared" ref="E35:E43" si="3">IFERROR(C35/B35,0)</f>
        <v>0.82499999999999996</v>
      </c>
      <c r="K35" s="3" t="s">
        <v>56</v>
      </c>
      <c r="L35" s="6">
        <f>COUNTIF(Maschinenplanung!$L$6:$L$60,K35)</f>
        <v>9</v>
      </c>
      <c r="N35" s="3" t="s">
        <v>86</v>
      </c>
      <c r="O35" s="4">
        <f>SUMPRODUCT((Maschinenplanung!$H$6:$H$60)*(IFERROR(LOOKUP(Maschinenplanung!$E$6:$E$60,$A$10:$A$17,$C$10:$C$17),"")=N35))</f>
        <v>0</v>
      </c>
    </row>
    <row r="36" spans="1:15" ht="20.100000000000001" customHeight="1" x14ac:dyDescent="0.25">
      <c r="A36" s="8" t="str">
        <f t="shared" si="0"/>
        <v>M-02</v>
      </c>
      <c r="B36" s="10">
        <f t="shared" si="1"/>
        <v>80</v>
      </c>
      <c r="C36" s="10">
        <f>SUMIFS(Maschinenplanung!$H$6:$H$60,Maschinenplanung!$E$6:$E$60,$A11)</f>
        <v>62</v>
      </c>
      <c r="D36" s="10">
        <f t="shared" si="2"/>
        <v>18</v>
      </c>
      <c r="E36" s="19">
        <f t="shared" si="3"/>
        <v>0.77500000000000002</v>
      </c>
      <c r="K36" s="9" t="s">
        <v>43</v>
      </c>
      <c r="L36" s="12">
        <f>COUNTIF(Maschinenplanung!$L$6:$L$60,K36)</f>
        <v>3</v>
      </c>
      <c r="N36" s="9" t="s">
        <v>89</v>
      </c>
      <c r="O36" s="10">
        <f>SUMPRODUCT((Maschinenplanung!$H$6:$H$60)*(IFERROR(LOOKUP(Maschinenplanung!$E$6:$E$60,$A$10:$A$17,$C$10:$C$17),"")=N36))</f>
        <v>0</v>
      </c>
    </row>
    <row r="37" spans="1:15" ht="20.100000000000001" customHeight="1" x14ac:dyDescent="0.25">
      <c r="A37" s="2" t="str">
        <f t="shared" si="0"/>
        <v>M-03</v>
      </c>
      <c r="B37" s="4">
        <f t="shared" si="1"/>
        <v>100</v>
      </c>
      <c r="C37" s="4">
        <f>SUMIFS(Maschinenplanung!$H$6:$H$60,Maschinenplanung!$E$6:$E$60,$A12)</f>
        <v>84</v>
      </c>
      <c r="D37" s="4">
        <f t="shared" si="2"/>
        <v>16</v>
      </c>
      <c r="E37" s="18">
        <f t="shared" si="3"/>
        <v>0.84</v>
      </c>
      <c r="K37" s="3" t="s">
        <v>32</v>
      </c>
      <c r="L37" s="6">
        <f>COUNTIF(Maschinenplanung!$L$6:$L$60,K37)</f>
        <v>2</v>
      </c>
      <c r="N37" s="3" t="s">
        <v>92</v>
      </c>
      <c r="O37" s="4">
        <f>SUMPRODUCT((Maschinenplanung!$H$6:$H$60)*(IFERROR(LOOKUP(Maschinenplanung!$E$6:$E$60,$A$10:$A$17,$C$10:$C$17),"")=N37))</f>
        <v>0</v>
      </c>
    </row>
    <row r="38" spans="1:15" ht="20.100000000000001" customHeight="1" x14ac:dyDescent="0.25">
      <c r="A38" s="8" t="str">
        <f t="shared" si="0"/>
        <v>M-04</v>
      </c>
      <c r="B38" s="10">
        <f t="shared" si="1"/>
        <v>60</v>
      </c>
      <c r="C38" s="10">
        <f>SUMIFS(Maschinenplanung!$H$6:$H$60,Maschinenplanung!$E$6:$E$60,$A13)</f>
        <v>30</v>
      </c>
      <c r="D38" s="10">
        <f t="shared" si="2"/>
        <v>30</v>
      </c>
      <c r="E38" s="19">
        <f t="shared" si="3"/>
        <v>0.5</v>
      </c>
      <c r="K38" s="9" t="s">
        <v>70</v>
      </c>
      <c r="L38" s="12">
        <f>COUNTIF(Maschinenplanung!$L$6:$L$60,K38)</f>
        <v>1</v>
      </c>
      <c r="N38" s="9" t="s">
        <v>94</v>
      </c>
      <c r="O38" s="10">
        <f>SUMPRODUCT((Maschinenplanung!$H$6:$H$60)*(IFERROR(LOOKUP(Maschinenplanung!$E$6:$E$60,$A$10:$A$17,$C$10:$C$17),"")=N38))</f>
        <v>0</v>
      </c>
    </row>
    <row r="39" spans="1:15" ht="20.100000000000001" customHeight="1" x14ac:dyDescent="0.25">
      <c r="A39" s="2" t="str">
        <f t="shared" si="0"/>
        <v>M-05</v>
      </c>
      <c r="B39" s="4">
        <f t="shared" si="1"/>
        <v>90</v>
      </c>
      <c r="C39" s="4">
        <f>SUMIFS(Maschinenplanung!$H$6:$H$60,Maschinenplanung!$E$6:$E$60,$A14)</f>
        <v>86</v>
      </c>
      <c r="D39" s="4">
        <f t="shared" si="2"/>
        <v>4</v>
      </c>
      <c r="E39" s="18">
        <f t="shared" si="3"/>
        <v>0.9555555555555556</v>
      </c>
      <c r="K39" s="3" t="s">
        <v>106</v>
      </c>
      <c r="L39" s="6">
        <f>COUNTIF(Maschinenplanung!$L$6:$L$60,K39)</f>
        <v>0</v>
      </c>
      <c r="N39" s="3" t="s">
        <v>95</v>
      </c>
      <c r="O39" s="4">
        <f>SUMPRODUCT((Maschinenplanung!$H$6:$H$60)*(IFERROR(LOOKUP(Maschinenplanung!$E$6:$E$60,$A$10:$A$17,$C$10:$C$17),"")=N39))</f>
        <v>0</v>
      </c>
    </row>
    <row r="40" spans="1:15" ht="20.100000000000001" customHeight="1" x14ac:dyDescent="0.25">
      <c r="A40" s="8" t="str">
        <f t="shared" si="0"/>
        <v>M-06</v>
      </c>
      <c r="B40" s="10">
        <f t="shared" si="1"/>
        <v>120</v>
      </c>
      <c r="C40" s="10">
        <f>SUMIFS(Maschinenplanung!$H$6:$H$60,Maschinenplanung!$E$6:$E$60,$A15)</f>
        <v>112</v>
      </c>
      <c r="D40" s="10">
        <f t="shared" si="2"/>
        <v>8</v>
      </c>
      <c r="E40" s="19">
        <f t="shared" si="3"/>
        <v>0.93333333333333335</v>
      </c>
      <c r="N40" s="9" t="s">
        <v>97</v>
      </c>
      <c r="O40" s="10">
        <f>SUMPRODUCT((Maschinenplanung!$H$6:$H$60)*(IFERROR(LOOKUP(Maschinenplanung!$E$6:$E$60,$A$10:$A$17,$C$10:$C$17),"")=N40))</f>
        <v>0</v>
      </c>
    </row>
    <row r="41" spans="1:15" ht="20.100000000000001" customHeight="1" x14ac:dyDescent="0.25">
      <c r="A41" s="2" t="str">
        <f t="shared" si="0"/>
        <v>M-07</v>
      </c>
      <c r="B41" s="4">
        <f t="shared" si="1"/>
        <v>70</v>
      </c>
      <c r="C41" s="4">
        <f>SUMIFS(Maschinenplanung!$H$6:$H$60,Maschinenplanung!$E$6:$E$60,$A16)</f>
        <v>64</v>
      </c>
      <c r="D41" s="4">
        <f t="shared" si="2"/>
        <v>6</v>
      </c>
      <c r="E41" s="18">
        <f t="shared" si="3"/>
        <v>0.91428571428571426</v>
      </c>
    </row>
    <row r="42" spans="1:15" ht="20.100000000000001" customHeight="1" x14ac:dyDescent="0.25">
      <c r="A42" s="8" t="str">
        <f t="shared" si="0"/>
        <v>M-08</v>
      </c>
      <c r="B42" s="10">
        <f t="shared" si="1"/>
        <v>50</v>
      </c>
      <c r="C42" s="10">
        <f>SUMIFS(Maschinenplanung!$H$6:$H$60,Maschinenplanung!$E$6:$E$60,$A17)</f>
        <v>42</v>
      </c>
      <c r="D42" s="10">
        <f t="shared" si="2"/>
        <v>8</v>
      </c>
      <c r="E42" s="19">
        <f t="shared" si="3"/>
        <v>0.84</v>
      </c>
    </row>
    <row r="43" spans="1:15" x14ac:dyDescent="0.25">
      <c r="A43" s="15" t="s">
        <v>99</v>
      </c>
      <c r="B43" s="16">
        <f>SUM(B35:B42)</f>
        <v>650</v>
      </c>
      <c r="C43" s="16">
        <f>SUM(C35:C42)</f>
        <v>546</v>
      </c>
      <c r="D43" s="16">
        <f>SUM(D35:D42)</f>
        <v>104</v>
      </c>
      <c r="E43" s="20">
        <f t="shared" si="3"/>
        <v>0.84</v>
      </c>
    </row>
  </sheetData>
  <mergeCells count="33">
    <mergeCell ref="N33:O33"/>
    <mergeCell ref="A22:I22"/>
    <mergeCell ref="A27:B27"/>
    <mergeCell ref="A26:B26"/>
    <mergeCell ref="G24:H24"/>
    <mergeCell ref="C27:D27"/>
    <mergeCell ref="E27:F27"/>
    <mergeCell ref="E26:F26"/>
    <mergeCell ref="G26:H26"/>
    <mergeCell ref="A29:B29"/>
    <mergeCell ref="E25:F25"/>
    <mergeCell ref="G25:H25"/>
    <mergeCell ref="A28:B28"/>
    <mergeCell ref="C28:D28"/>
    <mergeCell ref="K33:L33"/>
    <mergeCell ref="G27:H27"/>
    <mergeCell ref="B18:C18"/>
    <mergeCell ref="C26:D26"/>
    <mergeCell ref="A21:I21"/>
    <mergeCell ref="A33:I33"/>
    <mergeCell ref="A25:B25"/>
    <mergeCell ref="C25:D25"/>
    <mergeCell ref="A32:I32"/>
    <mergeCell ref="G28:H28"/>
    <mergeCell ref="G1:I2"/>
    <mergeCell ref="A7:I7"/>
    <mergeCell ref="A24:B24"/>
    <mergeCell ref="C24:D24"/>
    <mergeCell ref="E24:F24"/>
    <mergeCell ref="A1:F2"/>
    <mergeCell ref="G3:I4"/>
    <mergeCell ref="A3:F4"/>
    <mergeCell ref="A6:I6"/>
  </mergeCells>
  <pageMargins left="0.75" right="0.75" top="1" bottom="1" header="0.5" footer="0.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Dashboard</vt:lpstr>
      <vt:lpstr>Maschinenplanung</vt:lpstr>
      <vt:lpstr>Maschinenstamm</vt:lpstr>
      <vt:lpstr>Dashboard!Druckbereich</vt:lpstr>
      <vt:lpstr>Maschinenplanung!Druckbereich</vt:lpstr>
      <vt:lpstr>Maschinenstamm!Druckbereich</vt:lpstr>
      <vt:lpstr>Maschinenplanung!Drucktitel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2026-06-23T07:33:06Z</dcterms:created>
  <dcterms:modified xsi:type="dcterms:W3CDTF">2026-06-23T14:48:10Z</dcterms:modified>
</cp:coreProperties>
</file>