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2B8066E-7731-4B2B-BDFB-CEA3CF112ACC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Lizenzverwaltung" sheetId="1" r:id="rId1"/>
    <sheet name="Auswertung" sheetId="2" r:id="rId2"/>
    <sheet name="Anlei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2" l="1"/>
  <c r="C32" i="2"/>
  <c r="D31" i="2"/>
  <c r="C31" i="2"/>
  <c r="D30" i="2"/>
  <c r="C30" i="2"/>
  <c r="C29" i="2"/>
  <c r="C28" i="2"/>
  <c r="D27" i="2"/>
  <c r="C27" i="2"/>
  <c r="C26" i="2"/>
  <c r="D25" i="2"/>
  <c r="C25" i="2"/>
  <c r="C24" i="2"/>
  <c r="D19" i="2"/>
  <c r="E19" i="2" s="1"/>
  <c r="C19" i="2"/>
  <c r="D18" i="2"/>
  <c r="E18" i="2" s="1"/>
  <c r="C18" i="2"/>
  <c r="D17" i="2"/>
  <c r="E17" i="2" s="1"/>
  <c r="C17" i="2"/>
  <c r="D16" i="2"/>
  <c r="E16" i="2" s="1"/>
  <c r="C16" i="2"/>
  <c r="C15" i="2"/>
  <c r="C14" i="2"/>
  <c r="J27" i="1"/>
  <c r="H27" i="1"/>
  <c r="G27" i="1"/>
  <c r="F27" i="1"/>
  <c r="N26" i="1"/>
  <c r="M26" i="1"/>
  <c r="J26" i="1"/>
  <c r="H26" i="1"/>
  <c r="N25" i="1"/>
  <c r="M25" i="1"/>
  <c r="J25" i="1"/>
  <c r="H25" i="1"/>
  <c r="N24" i="1"/>
  <c r="M24" i="1"/>
  <c r="J24" i="1"/>
  <c r="H24" i="1"/>
  <c r="N23" i="1"/>
  <c r="M23" i="1"/>
  <c r="J23" i="1"/>
  <c r="H23" i="1"/>
  <c r="N22" i="1"/>
  <c r="M22" i="1"/>
  <c r="J22" i="1"/>
  <c r="H22" i="1"/>
  <c r="N21" i="1"/>
  <c r="M21" i="1"/>
  <c r="J21" i="1"/>
  <c r="D28" i="2" s="1"/>
  <c r="H21" i="1"/>
  <c r="E28" i="2" s="1"/>
  <c r="N20" i="1"/>
  <c r="M20" i="1"/>
  <c r="J20" i="1"/>
  <c r="H20" i="1"/>
  <c r="N19" i="1"/>
  <c r="M19" i="1"/>
  <c r="J19" i="1"/>
  <c r="H19" i="1"/>
  <c r="E30" i="2" s="1"/>
  <c r="N18" i="1"/>
  <c r="M18" i="1"/>
  <c r="J18" i="1"/>
  <c r="H18" i="1"/>
  <c r="N17" i="1"/>
  <c r="M17" i="1"/>
  <c r="J17" i="1"/>
  <c r="H17" i="1"/>
  <c r="N16" i="1"/>
  <c r="M16" i="1"/>
  <c r="J16" i="1"/>
  <c r="D29" i="2" s="1"/>
  <c r="H16" i="1"/>
  <c r="E29" i="2" s="1"/>
  <c r="N15" i="1"/>
  <c r="M15" i="1"/>
  <c r="J15" i="1"/>
  <c r="H15" i="1"/>
  <c r="E32" i="2" s="1"/>
  <c r="N14" i="1"/>
  <c r="M14" i="1"/>
  <c r="J14" i="1"/>
  <c r="H14" i="1"/>
  <c r="E27" i="2" s="1"/>
  <c r="N13" i="1"/>
  <c r="M13" i="1"/>
  <c r="J13" i="1"/>
  <c r="H13" i="1"/>
  <c r="N12" i="1"/>
  <c r="M12" i="1"/>
  <c r="J12" i="1"/>
  <c r="D15" i="2" s="1"/>
  <c r="E15" i="2" s="1"/>
  <c r="H12" i="1"/>
  <c r="E24" i="2" s="1"/>
  <c r="N11" i="1"/>
  <c r="M11" i="1"/>
  <c r="J11" i="1"/>
  <c r="D24" i="2" s="1"/>
  <c r="H11" i="1"/>
  <c r="N10" i="1"/>
  <c r="M10" i="1"/>
  <c r="J10" i="1"/>
  <c r="H10" i="1"/>
  <c r="E31" i="2" s="1"/>
  <c r="N9" i="1"/>
  <c r="D9" i="2" s="1"/>
  <c r="M9" i="1"/>
  <c r="J9" i="1"/>
  <c r="H9" i="1"/>
  <c r="N8" i="1"/>
  <c r="M8" i="1"/>
  <c r="J8" i="1"/>
  <c r="H8" i="1"/>
  <c r="E25" i="2" s="1"/>
  <c r="N7" i="1"/>
  <c r="M7" i="1"/>
  <c r="J7" i="1"/>
  <c r="D26" i="2" s="1"/>
  <c r="H7" i="1"/>
  <c r="E4" i="1" s="1"/>
  <c r="G4" i="1"/>
  <c r="C4" i="1"/>
  <c r="A4" i="1"/>
  <c r="J4" i="1" l="1"/>
  <c r="L4" i="1"/>
  <c r="C9" i="2"/>
  <c r="D14" i="2"/>
  <c r="E14" i="2" s="1"/>
  <c r="D5" i="2"/>
  <c r="C6" i="2"/>
  <c r="E26" i="2"/>
  <c r="C5" i="2"/>
  <c r="D6" i="2"/>
  <c r="C7" i="2"/>
  <c r="D7" i="2"/>
  <c r="C8" i="2"/>
  <c r="E8" i="2" s="1"/>
  <c r="D8" i="2"/>
  <c r="E7" i="2" l="1"/>
  <c r="C10" i="2"/>
  <c r="E5" i="2"/>
  <c r="E6" i="2"/>
  <c r="D10" i="2"/>
  <c r="E9" i="2"/>
</calcChain>
</file>

<file path=xl/sharedStrings.xml><?xml version="1.0" encoding="utf-8"?>
<sst xmlns="http://schemas.openxmlformats.org/spreadsheetml/2006/main" count="253" uniqueCount="175">
  <si>
    <t>Lizenzen (gesamt)</t>
  </si>
  <si>
    <t>Lizenzen (genutzt)</t>
  </si>
  <si>
    <t>Über-/Unterlizenz.</t>
  </si>
  <si>
    <t>Gesamtkosten/Jahr</t>
  </si>
  <si>
    <t>Ablauf ≤ 90 Tage</t>
  </si>
  <si>
    <t>Bereits abgelaufen</t>
  </si>
  <si>
    <t>Nr.</t>
  </si>
  <si>
    <t>Software / Produkt</t>
  </si>
  <si>
    <t>Hersteller</t>
  </si>
  <si>
    <t>Version</t>
  </si>
  <si>
    <t>Lizenztyp</t>
  </si>
  <si>
    <t>Erworben</t>
  </si>
  <si>
    <t>Genutzt</t>
  </si>
  <si>
    <t>Differenz</t>
  </si>
  <si>
    <t>Kosten / Lic. €</t>
  </si>
  <si>
    <t>Gesamt €/Jahr</t>
  </si>
  <si>
    <t>Kaufdatum</t>
  </si>
  <si>
    <t>Ablaufdatum</t>
  </si>
  <si>
    <t>Verbleib. Tage</t>
  </si>
  <si>
    <t>Status</t>
  </si>
  <si>
    <t>Abteilung</t>
  </si>
  <si>
    <t>Verantwortlich</t>
  </si>
  <si>
    <t>Notiz</t>
  </si>
  <si>
    <t>Textverarbeitungs-Suite Pro</t>
  </si>
  <si>
    <t>Vertex Software</t>
  </si>
  <si>
    <t>2024</t>
  </si>
  <si>
    <t>Abonnement</t>
  </si>
  <si>
    <t>Verwaltung</t>
  </si>
  <si>
    <t>S. Lehmann</t>
  </si>
  <si>
    <t>Erneuerung vorgemerkt</t>
  </si>
  <si>
    <t>Bildbearbeitungs-Suite</t>
  </si>
  <si>
    <t>Kreativ AG</t>
  </si>
  <si>
    <t>v10</t>
  </si>
  <si>
    <t>Marketing</t>
  </si>
  <si>
    <t>A. Vogel</t>
  </si>
  <si>
    <t>Renewal bestätigt</t>
  </si>
  <si>
    <t>ERP-System Enterprise</t>
  </si>
  <si>
    <t>DataCore GmbH</t>
  </si>
  <si>
    <t>5.2</t>
  </si>
  <si>
    <t>Volumenlizenz</t>
  </si>
  <si>
    <t>IT</t>
  </si>
  <si>
    <t>J. Brauer</t>
  </si>
  <si>
    <t>3-Jahres-Vertrag</t>
  </si>
  <si>
    <t>Projektmanagement-Tool</t>
  </si>
  <si>
    <t>CollabTech</t>
  </si>
  <si>
    <t>Cloud</t>
  </si>
  <si>
    <t>Projektmgmt.</t>
  </si>
  <si>
    <t>K. Schulz</t>
  </si>
  <si>
    <t>8 Lizenzen ungenutzt</t>
  </si>
  <si>
    <t>Antivirensoftware</t>
  </si>
  <si>
    <t>SecureNet AG</t>
  </si>
  <si>
    <t>2026</t>
  </si>
  <si>
    <t>Datenbank-Server</t>
  </si>
  <si>
    <t>QuerySoft GmbH</t>
  </si>
  <si>
    <t>12.1</t>
  </si>
  <si>
    <t>Dauerlizenz</t>
  </si>
  <si>
    <t>Dauerlizenz – kein Ablauf</t>
  </si>
  <si>
    <t>Grafikdesign-Plattform</t>
  </si>
  <si>
    <t>PixelWorks Ltd.</t>
  </si>
  <si>
    <t>2025</t>
  </si>
  <si>
    <t>2 Lizenzen freigegeben</t>
  </si>
  <si>
    <t>Buchhaltungssoftware</t>
  </si>
  <si>
    <t>FinanzPro GmbH</t>
  </si>
  <si>
    <t>4.0</t>
  </si>
  <si>
    <t>Buchhaltung</t>
  </si>
  <si>
    <t>M. Ried</t>
  </si>
  <si>
    <t>Update fällig</t>
  </si>
  <si>
    <t>Videokonferenz-Plattform</t>
  </si>
  <si>
    <t>MeetNow Inc.</t>
  </si>
  <si>
    <t>Alle Abteilungen</t>
  </si>
  <si>
    <t>CAD-Software Standard</t>
  </si>
  <si>
    <t>DesignTech AG</t>
  </si>
  <si>
    <t>22</t>
  </si>
  <si>
    <t>Entwicklung</t>
  </si>
  <si>
    <t>P. Huber</t>
  </si>
  <si>
    <t>Passwort-Manager Business</t>
  </si>
  <si>
    <t>SafeKey GmbH</t>
  </si>
  <si>
    <t>E-Mail-Marketing-Tool</t>
  </si>
  <si>
    <t>MailFlow AG</t>
  </si>
  <si>
    <t>v3</t>
  </si>
  <si>
    <t>Teamkonto</t>
  </si>
  <si>
    <t>Statistik-Software</t>
  </si>
  <si>
    <t>NumericPro Ltd.</t>
  </si>
  <si>
    <t>18</t>
  </si>
  <si>
    <t>Forschung</t>
  </si>
  <si>
    <t>C. Bauer</t>
  </si>
  <si>
    <t>2 Lizenzen ungenutzt</t>
  </si>
  <si>
    <t>Remote-Access-Tool</t>
  </si>
  <si>
    <t>ConnectSec GmbH</t>
  </si>
  <si>
    <t>v7</t>
  </si>
  <si>
    <t>Prüfen ob Erneuerung nötig</t>
  </si>
  <si>
    <t>HR-Software</t>
  </si>
  <si>
    <t>PersonioSoft AG</t>
  </si>
  <si>
    <t>Personal</t>
  </si>
  <si>
    <t>K. Maier</t>
  </si>
  <si>
    <t>Jahresvertrag</t>
  </si>
  <si>
    <t>Backup-Lösung Enterprise</t>
  </si>
  <si>
    <t>DataGuard GmbH</t>
  </si>
  <si>
    <t>5.1</t>
  </si>
  <si>
    <t>Ablauf in Kürze</t>
  </si>
  <si>
    <t>Monitoring-Software</t>
  </si>
  <si>
    <t>NetWatch AG</t>
  </si>
  <si>
    <t>v4</t>
  </si>
  <si>
    <t>Office-Suite Einzel</t>
  </si>
  <si>
    <t>DocSoft GmbH</t>
  </si>
  <si>
    <t>Zeiterfassungs-Tool</t>
  </si>
  <si>
    <t>ChronoWork GmbH</t>
  </si>
  <si>
    <t>Testmanagement-Software</t>
  </si>
  <si>
    <t>QualTest AG</t>
  </si>
  <si>
    <t>v9</t>
  </si>
  <si>
    <t>1 Lizenz frei</t>
  </si>
  <si>
    <t>Summen / Gesamt</t>
  </si>
  <si>
    <t>Differenz = Erworben − Genutzt  ·  Negativ = unterlizenziert (Compliance-Risiko!)  ·  Status und verbleibende Tage werden automatisch berechnet  ·  Stand: Juni 2026</t>
  </si>
  <si>
    <t>Auswertung  ·  Lizenzverwaltung  ·  2026</t>
  </si>
  <si>
    <t>Lizenzstatus im Überblick</t>
  </si>
  <si>
    <t>Anzahl</t>
  </si>
  <si>
    <t>Gesamtkosten €</t>
  </si>
  <si>
    <t>Anteil (%)</t>
  </si>
  <si>
    <t>Aktiv</t>
  </si>
  <si>
    <t>Läuft ab (&lt;90T)</t>
  </si>
  <si>
    <t>Läuft ab (&lt;30T)</t>
  </si>
  <si>
    <t>Abgelaufen</t>
  </si>
  <si>
    <t>Gesamt</t>
  </si>
  <si>
    <t>100%</t>
  </si>
  <si>
    <t>Nach Lizenztyp</t>
  </si>
  <si>
    <t>Anzahl Produkte</t>
  </si>
  <si>
    <t>Ø Kosten €</t>
  </si>
  <si>
    <t>Einzellizenz</t>
  </si>
  <si>
    <t>Testlizenz</t>
  </si>
  <si>
    <t>OEM-Lizenz</t>
  </si>
  <si>
    <t>Nach Abteilung</t>
  </si>
  <si>
    <t>Anzahl Lizenzen</t>
  </si>
  <si>
    <t>Compliance-Check</t>
  </si>
  <si>
    <t>Alle Werte automatisch aus «Lizenzverwaltung» berechnet  ·  ⚠ = Compliance-Risiko prüfen  ·  Stand: Juni 2026</t>
  </si>
  <si>
    <t>Anleitung  ·  Lizenzverwaltung</t>
  </si>
  <si>
    <t>Schnellstart</t>
  </si>
  <si>
    <t>Schritt 1</t>
  </si>
  <si>
    <t>Blatt «Lizenzverwaltung» öffnen. Ab Zeile 7 stehen Beispieldaten – einfach überschreiben.</t>
  </si>
  <si>
    <t>Schritt 2</t>
  </si>
  <si>
    <t>Software, Hersteller, Version, Lizenztyp (Dropdown), Abteilung (Dropdown) eintragen.</t>
  </si>
  <si>
    <t>Schritt 3</t>
  </si>
  <si>
    <t>Anzahl erworbener und genutzter Lizenzen sowie Kosten pro Lizenz eingeben.</t>
  </si>
  <si>
    <t>Schritt 4</t>
  </si>
  <si>
    <t>Kauf- und Ablaufdatum eintragen. Bei Dauerlizenzen «Dauerlizenz» in Spalte L.</t>
  </si>
  <si>
    <t>Schritt 5</t>
  </si>
  <si>
    <t>Differenz, Gesamtkosten, Restlaufzeit und Status berechnen sich automatisch.</t>
  </si>
  <si>
    <t>Schritt 6</t>
  </si>
  <si>
    <t>«Auswertung» zeigt die aktuelle Kosten- und Compliance-Übersicht ohne Zutun.</t>
  </si>
  <si>
    <t>Spalten im Überblick</t>
  </si>
  <si>
    <t>Anzahl der gekauften/lizenzierten Nutzerplätze oder Geräte.</t>
  </si>
  <si>
    <t>Anzahl der tatsächlich aktivierten/zugewiesenen Lizenzen.</t>
  </si>
  <si>
    <t>Automatisch: Erworben − Genutzt. Negativ = Compliance-Risiko! Rot markiert.</t>
  </si>
  <si>
    <t>Jährliche Kosten pro einzelner Lizenz (brutto oder netto – einheitlich verwenden).</t>
  </si>
  <si>
    <t>Automatisch: Anzahl erworben × Kosten pro Lizenz.</t>
  </si>
  <si>
    <t>Vertragsende. Bei Dauerlizenzen «Dauerlizenz» eintragen (kein Datum).</t>
  </si>
  <si>
    <t>Automatisch: Tage bis Ablaufdatum. Negativ = bereits abgelaufen.</t>
  </si>
  <si>
    <t>Automatisch: Aktiv / Läuft ab (&lt;90T) / Läuft ab (&lt;30T) / Abgelaufen / Dauerlizenz. Farbig codiert.</t>
  </si>
  <si>
    <t>Dropdown: Zuständige Organisationseinheit.</t>
  </si>
  <si>
    <t>Name der verantwortlichen Person für diese Lizenz.</t>
  </si>
  <si>
    <t>Compliance-Hinweise</t>
  </si>
  <si>
    <t>Unterlizenzierung</t>
  </si>
  <si>
    <t>Differenz &lt; 0: Mehr Nutzer als Lizenzen → sofortiger Handlungsbedarf! Rot hervorgehoben.</t>
  </si>
  <si>
    <t>Überlizenzierung</t>
  </si>
  <si>
    <t>Differenz &gt; 5: Unnötige Kosten → Lizenzen reduzieren oder neu zuordnen. Orange markiert.</t>
  </si>
  <si>
    <t>Ablauf-Monitoring</t>
  </si>
  <si>
    <t>Status «Läuft ab (&lt;30T)»: Erneuerung oder Kündigung unverzüglich klären.</t>
  </si>
  <si>
    <t>Regelm. Prüfung</t>
  </si>
  <si>
    <t>Empfehlung: Lizenzdaten mindestens quartalsweise mit tatsächlicher Nutzung abgleichen.</t>
  </si>
  <si>
    <t>Tipps</t>
  </si>
  <si>
    <t>Neue Zeile</t>
  </si>
  <si>
    <t>Bestehende Zeile kopieren, darunter einfügen – alle Formeln werden automatisch übernommen.</t>
  </si>
  <si>
    <t>Filter</t>
  </si>
  <si>
    <t>Daten → Filter aktivieren, um z. B. nur bald ablaufende oder nur IT-Lizenzen anzuzeigen.</t>
  </si>
  <si>
    <t>Tragen Sie «Dauerlizenz» in Spalte L (Ablaufdatum) ein – Spalte M und N passen sich an.</t>
  </si>
  <si>
    <t>Lizenzverwaltung  ·  Software-Asset-Management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</si>
</sst>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dd\.mm\.yyyy"/>
    <numFmt numFmtId="166" formatCode="0.0%"/>
  </numFmts>
  <fonts count="16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sz val="8"/>
      <color rgb="FF999999"/>
      <name val="Calibri"/>
      <charset val="1"/>
    </font>
    <font>
      <b/>
      <sz val="15"/>
      <color rgb="FF2C2C2C"/>
      <name val="Calibri"/>
      <charset val="1"/>
    </font>
    <font>
      <b/>
      <sz val="9"/>
      <color rgb="FFFFFFFF"/>
      <name val="Calibri"/>
      <charset val="1"/>
    </font>
    <font>
      <b/>
      <sz val="9"/>
      <color rgb="FF1A1A1A"/>
      <name val="Calibri"/>
      <charset val="1"/>
    </font>
    <font>
      <sz val="9"/>
      <color rgb="FF555555"/>
      <name val="Calibri"/>
      <charset val="1"/>
    </font>
    <font>
      <sz val="9"/>
      <color rgb="FF1A1A1A"/>
      <name val="Calibri"/>
      <charset val="1"/>
    </font>
    <font>
      <i/>
      <sz val="8"/>
      <color rgb="FF999999"/>
      <name val="Calibri"/>
      <charset val="1"/>
    </font>
    <font>
      <b/>
      <sz val="9"/>
      <color rgb="FF2C2C2C"/>
      <name val="Calibri"/>
      <charset val="1"/>
    </font>
    <font>
      <i/>
      <sz val="7"/>
      <color rgb="FF999999"/>
      <name val="Calibri"/>
      <charset val="1"/>
    </font>
    <font>
      <b/>
      <sz val="8"/>
      <color rgb="FF999999"/>
      <name val="Calibri"/>
      <charset val="1"/>
    </font>
    <font>
      <b/>
      <sz val="9"/>
      <color rgb="FF1B5E20"/>
      <name val="Calibri"/>
      <charset val="1"/>
    </font>
    <font>
      <b/>
      <sz val="9"/>
      <color rgb="FFE65100"/>
      <name val="Calibri"/>
      <charset val="1"/>
    </font>
    <font>
      <b/>
      <sz val="9"/>
      <color rgb="FFB71C1C"/>
      <name val="Calibri"/>
      <charset val="1"/>
    </font>
    <font>
      <b/>
      <sz val="9"/>
      <color rgb="FF0D47A1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2C2C2C"/>
        <bgColor rgb="FF3D3D3D"/>
      </patternFill>
    </fill>
    <fill>
      <patternFill patternType="solid">
        <fgColor rgb="FFFFFFFF"/>
        <bgColor rgb="FFFFF8E1"/>
      </patternFill>
    </fill>
    <fill>
      <patternFill patternType="solid">
        <fgColor rgb="FF3D3D3D"/>
        <bgColor rgb="FF2C2C2C"/>
      </patternFill>
    </fill>
    <fill>
      <patternFill patternType="solid">
        <fgColor rgb="FFF0EEEC"/>
        <bgColor rgb="FFF5E8EB"/>
      </patternFill>
    </fill>
    <fill>
      <patternFill patternType="solid">
        <fgColor rgb="FFF5E8EB"/>
        <bgColor rgb="FFFDECEA"/>
      </patternFill>
    </fill>
    <fill>
      <patternFill patternType="solid">
        <fgColor rgb="FFE8F5E9"/>
        <bgColor rgb="FFE0F2F1"/>
      </patternFill>
    </fill>
    <fill>
      <patternFill patternType="solid">
        <fgColor rgb="FFFFF8E1"/>
        <bgColor rgb="FFFFF3E0"/>
      </patternFill>
    </fill>
    <fill>
      <patternFill patternType="solid">
        <fgColor rgb="FFFDECEA"/>
        <bgColor rgb="FFF5E8EB"/>
      </patternFill>
    </fill>
    <fill>
      <patternFill patternType="solid">
        <fgColor rgb="FFE3F2FD"/>
        <bgColor rgb="FFE0F2F1"/>
      </patternFill>
    </fill>
    <fill>
      <patternFill patternType="solid">
        <fgColor rgb="FFE0F2F1"/>
        <bgColor rgb="FFE3F2FD"/>
      </patternFill>
    </fill>
    <fill>
      <patternFill patternType="solid">
        <fgColor rgb="FFE8EAF6"/>
        <bgColor rgb="FFF0EEEC"/>
      </patternFill>
    </fill>
    <fill>
      <patternFill patternType="solid">
        <fgColor rgb="FFFFF3E0"/>
        <bgColor rgb="FFFFF8E1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8B1A2E"/>
      </bottom>
      <diagonal/>
    </border>
    <border>
      <left style="thick">
        <color rgb="FF8B1A2E"/>
      </left>
      <right/>
      <top style="thin">
        <color rgb="FFD8D2CC"/>
      </top>
      <bottom/>
      <diagonal/>
    </border>
    <border>
      <left style="thick">
        <color rgb="FF3D3D3D"/>
      </left>
      <right/>
      <top style="thin">
        <color rgb="FFD8D2CC"/>
      </top>
      <bottom/>
      <diagonal/>
    </border>
    <border>
      <left style="thick">
        <color rgb="FF8B1A2E"/>
      </left>
      <right/>
      <top/>
      <bottom style="thin">
        <color rgb="FFD8D2CC"/>
      </bottom>
      <diagonal/>
    </border>
    <border>
      <left style="thick">
        <color rgb="FF3D3D3D"/>
      </left>
      <right/>
      <top/>
      <bottom style="thin">
        <color rgb="FFD8D2CC"/>
      </bottom>
      <diagonal/>
    </border>
    <border>
      <left style="thin">
        <color rgb="FFD8D2CC"/>
      </left>
      <right style="thin">
        <color rgb="FFD8D2CC"/>
      </right>
      <top style="thin">
        <color rgb="FFD8D2CC"/>
      </top>
      <bottom style="medium">
        <color rgb="FF8B1A2E"/>
      </bottom>
      <diagonal/>
    </border>
    <border>
      <left style="thin">
        <color rgb="FFD8D2CC"/>
      </left>
      <right style="thin">
        <color rgb="FFD8D2CC"/>
      </right>
      <top style="thin">
        <color rgb="FFD8D2CC"/>
      </top>
      <bottom style="thin">
        <color rgb="FFD8D2CC"/>
      </bottom>
      <diagonal/>
    </border>
    <border>
      <left style="thin">
        <color rgb="FFD8D2CC"/>
      </left>
      <right/>
      <top style="thin">
        <color rgb="FFD8D2CC"/>
      </top>
      <bottom style="thin">
        <color rgb="FFD8D2CC"/>
      </bottom>
      <diagonal/>
    </border>
    <border>
      <left style="thin">
        <color rgb="FFD8D2CC"/>
      </left>
      <right style="thin">
        <color rgb="FFD8D2CC"/>
      </right>
      <top style="medium">
        <color rgb="FF8B1A2E"/>
      </top>
      <bottom style="thin">
        <color rgb="FFD8D2CC"/>
      </bottom>
      <diagonal/>
    </border>
    <border>
      <left/>
      <right/>
      <top/>
      <bottom style="medium">
        <color rgb="FF8B1A2E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4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left" vertical="top"/>
    </xf>
    <xf numFmtId="1" fontId="3" fillId="3" borderId="4" xfId="0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5" fillId="5" borderId="7" xfId="0" applyFont="1" applyFill="1" applyBorder="1"/>
    <xf numFmtId="0" fontId="6" fillId="5" borderId="7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right" vertical="center"/>
    </xf>
    <xf numFmtId="164" fontId="5" fillId="5" borderId="7" xfId="0" applyNumberFormat="1" applyFont="1" applyFill="1" applyBorder="1" applyAlignment="1">
      <alignment horizontal="right" vertical="center"/>
    </xf>
    <xf numFmtId="165" fontId="7" fillId="5" borderId="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165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wrapText="1"/>
    </xf>
    <xf numFmtId="1" fontId="9" fillId="6" borderId="9" xfId="0" applyNumberFormat="1" applyFont="1" applyFill="1" applyBorder="1" applyAlignment="1">
      <alignment horizontal="center" vertical="center"/>
    </xf>
    <xf numFmtId="0" fontId="0" fillId="6" borderId="9" xfId="0" applyFill="1" applyBorder="1"/>
    <xf numFmtId="164" fontId="9" fillId="6" borderId="9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64" fontId="7" fillId="7" borderId="7" xfId="0" applyNumberFormat="1" applyFont="1" applyFill="1" applyBorder="1" applyAlignment="1">
      <alignment horizontal="right" vertical="center"/>
    </xf>
    <xf numFmtId="166" fontId="7" fillId="7" borderId="7" xfId="0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64" fontId="7" fillId="8" borderId="7" xfId="0" applyNumberFormat="1" applyFont="1" applyFill="1" applyBorder="1" applyAlignment="1">
      <alignment horizontal="right" vertical="center"/>
    </xf>
    <xf numFmtId="166" fontId="7" fillId="8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164" fontId="7" fillId="9" borderId="7" xfId="0" applyNumberFormat="1" applyFont="1" applyFill="1" applyBorder="1" applyAlignment="1">
      <alignment horizontal="right" vertical="center"/>
    </xf>
    <xf numFmtId="166" fontId="7" fillId="9" borderId="7" xfId="0" applyNumberFormat="1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4" fontId="7" fillId="10" borderId="7" xfId="0" applyNumberFormat="1" applyFont="1" applyFill="1" applyBorder="1" applyAlignment="1">
      <alignment horizontal="right" vertical="center"/>
    </xf>
    <xf numFmtId="166" fontId="7" fillId="10" borderId="7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left" vertical="center"/>
    </xf>
    <xf numFmtId="164" fontId="9" fillId="6" borderId="9" xfId="0" applyNumberFormat="1" applyFont="1" applyFill="1" applyBorder="1" applyAlignment="1">
      <alignment horizontal="center" vertical="center"/>
    </xf>
    <xf numFmtId="166" fontId="9" fillId="6" borderId="9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left" vertical="center"/>
    </xf>
    <xf numFmtId="0" fontId="7" fillId="11" borderId="7" xfId="0" applyFont="1" applyFill="1" applyBorder="1" applyAlignment="1">
      <alignment horizontal="center" vertical="center"/>
    </xf>
    <xf numFmtId="164" fontId="7" fillId="11" borderId="7" xfId="0" applyNumberFormat="1" applyFont="1" applyFill="1" applyBorder="1" applyAlignment="1">
      <alignment horizontal="righ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center" vertical="center"/>
    </xf>
    <xf numFmtId="164" fontId="7" fillId="12" borderId="7" xfId="0" applyNumberFormat="1" applyFont="1" applyFill="1" applyBorder="1" applyAlignment="1">
      <alignment horizontal="right" vertical="center"/>
    </xf>
    <xf numFmtId="0" fontId="7" fillId="13" borderId="7" xfId="0" applyFont="1" applyFill="1" applyBorder="1" applyAlignment="1">
      <alignment horizontal="left" vertical="center"/>
    </xf>
    <xf numFmtId="0" fontId="7" fillId="13" borderId="7" xfId="0" applyFont="1" applyFill="1" applyBorder="1" applyAlignment="1">
      <alignment horizontal="center" vertical="center"/>
    </xf>
    <xf numFmtId="164" fontId="7" fillId="13" borderId="7" xfId="0" applyNumberFormat="1" applyFont="1" applyFill="1" applyBorder="1" applyAlignment="1">
      <alignment horizontal="right" vertical="center"/>
    </xf>
    <xf numFmtId="1" fontId="7" fillId="5" borderId="7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 wrapText="1"/>
    </xf>
  </cellXfs>
  <cellStyles count="1">
    <cellStyle name="Standard" xfId="0" builtinId="0"/>
  </cellStyles>
  <dxfs count="7">
    <dxf>
      <font>
        <b/>
        <color rgb="FF0D47A1"/>
        <name val="Calibri"/>
        <charset val="1"/>
      </font>
      <fill>
        <patternFill>
          <bgColor rgb="FFE3F2FD"/>
        </patternFill>
      </fill>
    </dxf>
    <dxf>
      <font>
        <b/>
        <color rgb="FFB71C1C"/>
        <name val="Calibri"/>
        <charset val="1"/>
      </font>
      <fill>
        <patternFill>
          <bgColor rgb="FFFDECEA"/>
        </patternFill>
      </fill>
    </dxf>
    <dxf>
      <font>
        <b/>
        <color rgb="FFB71C1C"/>
        <name val="Calibri"/>
        <charset val="1"/>
      </font>
      <fill>
        <patternFill>
          <bgColor rgb="FFFDECEA"/>
        </patternFill>
      </fill>
    </dxf>
    <dxf>
      <font>
        <b/>
        <color rgb="FFE65100"/>
        <name val="Calibri"/>
        <charset val="1"/>
      </font>
      <fill>
        <patternFill>
          <bgColor rgb="FFFFF8E1"/>
        </patternFill>
      </fill>
    </dxf>
    <dxf>
      <font>
        <b/>
        <color rgb="FF1B5E20"/>
        <name val="Calibri"/>
        <charset val="1"/>
      </font>
      <fill>
        <patternFill>
          <bgColor rgb="FFE8F5E9"/>
        </patternFill>
      </fill>
    </dxf>
    <dxf>
      <font>
        <b/>
        <color rgb="FFE65100"/>
        <name val="Calibri"/>
        <charset val="1"/>
      </font>
      <fill>
        <patternFill>
          <bgColor rgb="FFFFF3E0"/>
        </patternFill>
      </fill>
    </dxf>
    <dxf>
      <font>
        <b/>
        <color rgb="FFB71C1C"/>
        <name val="Calibri"/>
        <charset val="1"/>
      </font>
      <fill>
        <patternFill>
          <bgColor rgb="FFFDECE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E8EAF6"/>
      <rgbColor rgb="FF808080"/>
      <rgbColor rgb="FF9999FF"/>
      <rgbColor rgb="FFB71C1C"/>
      <rgbColor rgb="FFFFF8E1"/>
      <rgbColor rgb="FFE0F2F1"/>
      <rgbColor rgb="FF660066"/>
      <rgbColor rgb="FFFF8080"/>
      <rgbColor rgb="FF0066CC"/>
      <rgbColor rgb="FFD8D2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F2FD"/>
      <rgbColor rgb="FFE8F5E9"/>
      <rgbColor rgb="FFFFF3E0"/>
      <rgbColor rgb="FFF0EEEC"/>
      <rgbColor rgb="FFFDECEA"/>
      <rgbColor rgb="FFCC99FF"/>
      <rgbColor rgb="FFF5E8EB"/>
      <rgbColor rgb="FF3366FF"/>
      <rgbColor rgb="FF33CCCC"/>
      <rgbColor rgb="FF99CC00"/>
      <rgbColor rgb="FFFFCC00"/>
      <rgbColor rgb="FFFF9900"/>
      <rgbColor rgb="FFE65100"/>
      <rgbColor rgb="FF555555"/>
      <rgbColor rgb="FF999999"/>
      <rgbColor rgb="FF0D47A1"/>
      <rgbColor rgb="FF339966"/>
      <rgbColor rgb="FF1A1A1A"/>
      <rgbColor rgb="FF3D3D3D"/>
      <rgbColor rgb="FF8B1A2E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zoomScaleNormal="100" workbookViewId="0">
      <pane ySplit="5" topLeftCell="A6" activePane="bottomLeft" state="frozen"/>
      <selection pane="bottomLeft" activeCell="V13" sqref="V13"/>
    </sheetView>
  </sheetViews>
  <sheetFormatPr baseColWidth="10" defaultColWidth="8.7109375" defaultRowHeight="15" x14ac:dyDescent="0.25"/>
  <cols>
    <col min="1" max="1" width="3.140625" bestFit="1" customWidth="1"/>
    <col min="2" max="2" width="21" bestFit="1" customWidth="1"/>
    <col min="3" max="3" width="15.5703125" bestFit="1" customWidth="1"/>
    <col min="4" max="4" width="6.28515625" bestFit="1" customWidth="1"/>
    <col min="5" max="5" width="12.5703125" bestFit="1" customWidth="1"/>
    <col min="6" max="6" width="7.7109375" bestFit="1" customWidth="1"/>
    <col min="7" max="7" width="6.5703125" bestFit="1" customWidth="1"/>
    <col min="8" max="8" width="7.5703125" bestFit="1" customWidth="1"/>
    <col min="9" max="9" width="11" bestFit="1" customWidth="1"/>
    <col min="10" max="10" width="11.42578125" bestFit="1" customWidth="1"/>
    <col min="11" max="11" width="8.85546875" bestFit="1" customWidth="1"/>
    <col min="12" max="12" width="10.28515625" bestFit="1" customWidth="1"/>
    <col min="13" max="13" width="11.140625" bestFit="1" customWidth="1"/>
    <col min="14" max="14" width="11.7109375" bestFit="1" customWidth="1"/>
    <col min="15" max="15" width="14.140625" bestFit="1" customWidth="1"/>
    <col min="16" max="16" width="11.42578125" bestFit="1" customWidth="1"/>
    <col min="17" max="17" width="19.7109375" bestFit="1" customWidth="1"/>
  </cols>
  <sheetData>
    <row r="1" spans="1:17" ht="42" customHeight="1" x14ac:dyDescent="0.25">
      <c r="A1" s="9" t="s">
        <v>174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7.5" customHeight="1" x14ac:dyDescent="0.25"/>
    <row r="3" spans="1:17" ht="18" customHeight="1" x14ac:dyDescent="0.25">
      <c r="A3" s="8" t="s">
        <v>0</v>
      </c>
      <c r="B3" s="8"/>
      <c r="C3" s="7" t="s">
        <v>1</v>
      </c>
      <c r="D3" s="7"/>
      <c r="E3" s="7" t="s">
        <v>2</v>
      </c>
      <c r="F3" s="7"/>
      <c r="G3" s="7" t="s">
        <v>3</v>
      </c>
      <c r="H3" s="7"/>
      <c r="I3" s="7"/>
      <c r="J3" s="7" t="s">
        <v>4</v>
      </c>
      <c r="K3" s="7"/>
      <c r="L3" s="7" t="s">
        <v>5</v>
      </c>
      <c r="M3" s="7"/>
      <c r="N3" s="7"/>
    </row>
    <row r="4" spans="1:17" ht="27.75" customHeight="1" x14ac:dyDescent="0.25">
      <c r="A4" s="6">
        <f>SUMIF(F7:F26,"&lt;&gt;",F7:F26)</f>
        <v>374</v>
      </c>
      <c r="B4" s="6"/>
      <c r="C4" s="5">
        <f>SUMIF(G7:G26,"&lt;&gt;",G7:G26)</f>
        <v>339</v>
      </c>
      <c r="D4" s="5"/>
      <c r="E4" s="5">
        <f>SUMIF(H7:H26,"&lt;&gt;",H7:H26)</f>
        <v>35</v>
      </c>
      <c r="F4" s="5"/>
      <c r="G4" s="4">
        <f>SUMIF(J7:J26,"&lt;&gt;",J7:J26)</f>
        <v>18714.599999999999</v>
      </c>
      <c r="H4" s="4"/>
      <c r="I4" s="4"/>
      <c r="J4" s="5">
        <f ca="1">COUNTIFS(M7:M26,"&gt;=0",M7:M26,"&lt;=90")</f>
        <v>0</v>
      </c>
      <c r="K4" s="5"/>
      <c r="L4" s="5">
        <f ca="1">COUNTIF(N7:N26,"Abgelaufen")</f>
        <v>5</v>
      </c>
      <c r="M4" s="5"/>
      <c r="N4" s="5"/>
    </row>
    <row r="5" spans="1:17" ht="7.5" customHeight="1" x14ac:dyDescent="0.25"/>
    <row r="6" spans="1:17" ht="25.5" customHeight="1" x14ac:dyDescent="0.25">
      <c r="A6" s="10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</row>
    <row r="7" spans="1:17" ht="19.5" customHeight="1" x14ac:dyDescent="0.25">
      <c r="A7" s="11">
        <v>1</v>
      </c>
      <c r="B7" s="12" t="s">
        <v>23</v>
      </c>
      <c r="C7" s="13" t="s">
        <v>24</v>
      </c>
      <c r="D7" s="14" t="s">
        <v>25</v>
      </c>
      <c r="E7" s="15" t="s">
        <v>26</v>
      </c>
      <c r="F7" s="15">
        <v>25</v>
      </c>
      <c r="G7" s="15">
        <v>23</v>
      </c>
      <c r="H7" s="16">
        <f t="shared" ref="H7:H26" si="0">F7-G7</f>
        <v>2</v>
      </c>
      <c r="I7" s="17">
        <v>18.5</v>
      </c>
      <c r="J7" s="18">
        <f t="shared" ref="J7:J26" si="1">F7*I7</f>
        <v>462.5</v>
      </c>
      <c r="K7" s="19">
        <v>45672</v>
      </c>
      <c r="L7" s="19">
        <v>46036</v>
      </c>
      <c r="M7" s="16" t="str">
        <f t="shared" ref="M7:M26" ca="1" si="2">IF(L7="Dauerlizenz","∞",TEXT(L7-TODAY(),"0"))</f>
        <v>-159</v>
      </c>
      <c r="N7" s="16" t="str">
        <f t="shared" ref="N7:N26" ca="1" si="3">IF(L7="Dauerlizenz","Dauerlizenz",IF(L7&lt;TODAY(),"Abgelaufen",IF(L7-TODAY()&lt;=30,"Läuft ab (&lt;30T)",IF(L7-TODAY()&lt;=90,"Läuft ab (&lt;90T)","Aktiv"))))</f>
        <v>Abgelaufen</v>
      </c>
      <c r="O7" s="14" t="s">
        <v>27</v>
      </c>
      <c r="P7" s="20" t="s">
        <v>28</v>
      </c>
      <c r="Q7" s="21" t="s">
        <v>29</v>
      </c>
    </row>
    <row r="8" spans="1:17" ht="19.5" customHeight="1" x14ac:dyDescent="0.25">
      <c r="A8" s="22">
        <v>2</v>
      </c>
      <c r="B8" s="23" t="s">
        <v>30</v>
      </c>
      <c r="C8" s="24" t="s">
        <v>31</v>
      </c>
      <c r="D8" s="25" t="s">
        <v>32</v>
      </c>
      <c r="E8" s="26" t="s">
        <v>26</v>
      </c>
      <c r="F8" s="26">
        <v>10</v>
      </c>
      <c r="G8" s="26">
        <v>10</v>
      </c>
      <c r="H8" s="27">
        <f t="shared" si="0"/>
        <v>0</v>
      </c>
      <c r="I8" s="28">
        <v>54.99</v>
      </c>
      <c r="J8" s="29">
        <f t="shared" si="1"/>
        <v>549.9</v>
      </c>
      <c r="K8" s="30">
        <v>45717</v>
      </c>
      <c r="L8" s="30">
        <v>46081</v>
      </c>
      <c r="M8" s="27" t="str">
        <f t="shared" ca="1" si="2"/>
        <v>-114</v>
      </c>
      <c r="N8" s="27" t="str">
        <f t="shared" ca="1" si="3"/>
        <v>Abgelaufen</v>
      </c>
      <c r="O8" s="25" t="s">
        <v>33</v>
      </c>
      <c r="P8" s="31" t="s">
        <v>34</v>
      </c>
      <c r="Q8" s="32" t="s">
        <v>35</v>
      </c>
    </row>
    <row r="9" spans="1:17" ht="19.5" customHeight="1" x14ac:dyDescent="0.25">
      <c r="A9" s="11">
        <v>3</v>
      </c>
      <c r="B9" s="12" t="s">
        <v>36</v>
      </c>
      <c r="C9" s="13" t="s">
        <v>37</v>
      </c>
      <c r="D9" s="14" t="s">
        <v>38</v>
      </c>
      <c r="E9" s="15" t="s">
        <v>39</v>
      </c>
      <c r="F9" s="15">
        <v>5</v>
      </c>
      <c r="G9" s="15">
        <v>5</v>
      </c>
      <c r="H9" s="16">
        <f t="shared" si="0"/>
        <v>0</v>
      </c>
      <c r="I9" s="17">
        <v>420</v>
      </c>
      <c r="J9" s="18">
        <f t="shared" si="1"/>
        <v>2100</v>
      </c>
      <c r="K9" s="19">
        <v>45444</v>
      </c>
      <c r="L9" s="19">
        <v>46538</v>
      </c>
      <c r="M9" s="16" t="str">
        <f t="shared" ca="1" si="2"/>
        <v>343</v>
      </c>
      <c r="N9" s="16" t="str">
        <f t="shared" ca="1" si="3"/>
        <v>Aktiv</v>
      </c>
      <c r="O9" s="14" t="s">
        <v>40</v>
      </c>
      <c r="P9" s="20" t="s">
        <v>41</v>
      </c>
      <c r="Q9" s="21" t="s">
        <v>42</v>
      </c>
    </row>
    <row r="10" spans="1:17" ht="19.5" customHeight="1" x14ac:dyDescent="0.25">
      <c r="A10" s="22">
        <v>4</v>
      </c>
      <c r="B10" s="23" t="s">
        <v>43</v>
      </c>
      <c r="C10" s="24" t="s">
        <v>44</v>
      </c>
      <c r="D10" s="25" t="s">
        <v>45</v>
      </c>
      <c r="E10" s="26" t="s">
        <v>26</v>
      </c>
      <c r="F10" s="26">
        <v>30</v>
      </c>
      <c r="G10" s="26">
        <v>18</v>
      </c>
      <c r="H10" s="27">
        <f t="shared" si="0"/>
        <v>12</v>
      </c>
      <c r="I10" s="28">
        <v>9.9</v>
      </c>
      <c r="J10" s="29">
        <f t="shared" si="1"/>
        <v>297</v>
      </c>
      <c r="K10" s="30">
        <v>45778</v>
      </c>
      <c r="L10" s="30">
        <v>46142</v>
      </c>
      <c r="M10" s="27" t="str">
        <f t="shared" ca="1" si="2"/>
        <v>-53</v>
      </c>
      <c r="N10" s="27" t="str">
        <f t="shared" ca="1" si="3"/>
        <v>Abgelaufen</v>
      </c>
      <c r="O10" s="25" t="s">
        <v>46</v>
      </c>
      <c r="P10" s="31" t="s">
        <v>47</v>
      </c>
      <c r="Q10" s="32" t="s">
        <v>48</v>
      </c>
    </row>
    <row r="11" spans="1:17" ht="19.5" customHeight="1" x14ac:dyDescent="0.25">
      <c r="A11" s="11">
        <v>5</v>
      </c>
      <c r="B11" s="12" t="s">
        <v>49</v>
      </c>
      <c r="C11" s="13" t="s">
        <v>50</v>
      </c>
      <c r="D11" s="14" t="s">
        <v>51</v>
      </c>
      <c r="E11" s="15" t="s">
        <v>39</v>
      </c>
      <c r="F11" s="15">
        <v>100</v>
      </c>
      <c r="G11" s="15">
        <v>98</v>
      </c>
      <c r="H11" s="16">
        <f t="shared" si="0"/>
        <v>2</v>
      </c>
      <c r="I11" s="17">
        <v>4.5</v>
      </c>
      <c r="J11" s="18">
        <f t="shared" si="1"/>
        <v>450</v>
      </c>
      <c r="K11" s="19">
        <v>46023</v>
      </c>
      <c r="L11" s="19">
        <v>46387</v>
      </c>
      <c r="M11" s="16" t="str">
        <f t="shared" ca="1" si="2"/>
        <v>192</v>
      </c>
      <c r="N11" s="16" t="str">
        <f t="shared" ca="1" si="3"/>
        <v>Aktiv</v>
      </c>
      <c r="O11" s="14" t="s">
        <v>40</v>
      </c>
      <c r="P11" s="20" t="s">
        <v>41</v>
      </c>
      <c r="Q11" s="21"/>
    </row>
    <row r="12" spans="1:17" ht="19.5" customHeight="1" x14ac:dyDescent="0.25">
      <c r="A12" s="22">
        <v>6</v>
      </c>
      <c r="B12" s="23" t="s">
        <v>52</v>
      </c>
      <c r="C12" s="24" t="s">
        <v>53</v>
      </c>
      <c r="D12" s="25" t="s">
        <v>54</v>
      </c>
      <c r="E12" s="26" t="s">
        <v>55</v>
      </c>
      <c r="F12" s="26">
        <v>3</v>
      </c>
      <c r="G12" s="26">
        <v>3</v>
      </c>
      <c r="H12" s="27">
        <f t="shared" si="0"/>
        <v>0</v>
      </c>
      <c r="I12" s="28">
        <v>980</v>
      </c>
      <c r="J12" s="29">
        <f t="shared" si="1"/>
        <v>2940</v>
      </c>
      <c r="K12" s="30">
        <v>45031</v>
      </c>
      <c r="L12" s="26" t="s">
        <v>55</v>
      </c>
      <c r="M12" s="27" t="str">
        <f t="shared" ca="1" si="2"/>
        <v>∞</v>
      </c>
      <c r="N12" s="27" t="str">
        <f t="shared" ca="1" si="3"/>
        <v>Dauerlizenz</v>
      </c>
      <c r="O12" s="25" t="s">
        <v>40</v>
      </c>
      <c r="P12" s="31" t="s">
        <v>41</v>
      </c>
      <c r="Q12" s="32" t="s">
        <v>56</v>
      </c>
    </row>
    <row r="13" spans="1:17" ht="19.5" customHeight="1" x14ac:dyDescent="0.25">
      <c r="A13" s="11">
        <v>7</v>
      </c>
      <c r="B13" s="12" t="s">
        <v>57</v>
      </c>
      <c r="C13" s="13" t="s">
        <v>58</v>
      </c>
      <c r="D13" s="14" t="s">
        <v>59</v>
      </c>
      <c r="E13" s="15" t="s">
        <v>26</v>
      </c>
      <c r="F13" s="15">
        <v>8</v>
      </c>
      <c r="G13" s="15">
        <v>6</v>
      </c>
      <c r="H13" s="16">
        <f t="shared" si="0"/>
        <v>2</v>
      </c>
      <c r="I13" s="17">
        <v>29.95</v>
      </c>
      <c r="J13" s="18">
        <f t="shared" si="1"/>
        <v>239.6</v>
      </c>
      <c r="K13" s="19">
        <v>45839</v>
      </c>
      <c r="L13" s="19">
        <v>46203</v>
      </c>
      <c r="M13" s="16" t="str">
        <f t="shared" ca="1" si="2"/>
        <v>8</v>
      </c>
      <c r="N13" s="16" t="str">
        <f t="shared" ca="1" si="3"/>
        <v>Läuft ab (&lt;30T)</v>
      </c>
      <c r="O13" s="14" t="s">
        <v>33</v>
      </c>
      <c r="P13" s="20" t="s">
        <v>34</v>
      </c>
      <c r="Q13" s="21" t="s">
        <v>60</v>
      </c>
    </row>
    <row r="14" spans="1:17" ht="19.5" customHeight="1" x14ac:dyDescent="0.25">
      <c r="A14" s="22">
        <v>8</v>
      </c>
      <c r="B14" s="23" t="s">
        <v>61</v>
      </c>
      <c r="C14" s="24" t="s">
        <v>62</v>
      </c>
      <c r="D14" s="25" t="s">
        <v>63</v>
      </c>
      <c r="E14" s="26" t="s">
        <v>55</v>
      </c>
      <c r="F14" s="26">
        <v>2</v>
      </c>
      <c r="G14" s="26">
        <v>2</v>
      </c>
      <c r="H14" s="27">
        <f t="shared" si="0"/>
        <v>0</v>
      </c>
      <c r="I14" s="28">
        <v>650</v>
      </c>
      <c r="J14" s="29">
        <f t="shared" si="1"/>
        <v>1300</v>
      </c>
      <c r="K14" s="30">
        <v>44620</v>
      </c>
      <c r="L14" s="26" t="s">
        <v>55</v>
      </c>
      <c r="M14" s="27" t="str">
        <f t="shared" ca="1" si="2"/>
        <v>∞</v>
      </c>
      <c r="N14" s="27" t="str">
        <f t="shared" ca="1" si="3"/>
        <v>Dauerlizenz</v>
      </c>
      <c r="O14" s="25" t="s">
        <v>64</v>
      </c>
      <c r="P14" s="31" t="s">
        <v>65</v>
      </c>
      <c r="Q14" s="32" t="s">
        <v>66</v>
      </c>
    </row>
    <row r="15" spans="1:17" ht="19.5" customHeight="1" x14ac:dyDescent="0.25">
      <c r="A15" s="11">
        <v>9</v>
      </c>
      <c r="B15" s="12" t="s">
        <v>67</v>
      </c>
      <c r="C15" s="13" t="s">
        <v>68</v>
      </c>
      <c r="D15" s="14" t="s">
        <v>45</v>
      </c>
      <c r="E15" s="15" t="s">
        <v>26</v>
      </c>
      <c r="F15" s="15">
        <v>50</v>
      </c>
      <c r="G15" s="15">
        <v>44</v>
      </c>
      <c r="H15" s="16">
        <f t="shared" si="0"/>
        <v>6</v>
      </c>
      <c r="I15" s="17">
        <v>13.99</v>
      </c>
      <c r="J15" s="18">
        <f t="shared" si="1"/>
        <v>699.5</v>
      </c>
      <c r="K15" s="19">
        <v>45931</v>
      </c>
      <c r="L15" s="19">
        <v>46295</v>
      </c>
      <c r="M15" s="16" t="str">
        <f t="shared" ca="1" si="2"/>
        <v>100</v>
      </c>
      <c r="N15" s="16" t="str">
        <f t="shared" ca="1" si="3"/>
        <v>Aktiv</v>
      </c>
      <c r="O15" s="14" t="s">
        <v>69</v>
      </c>
      <c r="P15" s="20" t="s">
        <v>28</v>
      </c>
      <c r="Q15" s="21"/>
    </row>
    <row r="16" spans="1:17" ht="19.5" customHeight="1" x14ac:dyDescent="0.25">
      <c r="A16" s="22">
        <v>10</v>
      </c>
      <c r="B16" s="23" t="s">
        <v>70</v>
      </c>
      <c r="C16" s="24" t="s">
        <v>71</v>
      </c>
      <c r="D16" s="25" t="s">
        <v>72</v>
      </c>
      <c r="E16" s="26" t="s">
        <v>39</v>
      </c>
      <c r="F16" s="26">
        <v>6</v>
      </c>
      <c r="G16" s="26">
        <v>6</v>
      </c>
      <c r="H16" s="27">
        <f t="shared" si="0"/>
        <v>0</v>
      </c>
      <c r="I16" s="28">
        <v>310</v>
      </c>
      <c r="J16" s="29">
        <f t="shared" si="1"/>
        <v>1860</v>
      </c>
      <c r="K16" s="30">
        <v>45597</v>
      </c>
      <c r="L16" s="30">
        <v>46326</v>
      </c>
      <c r="M16" s="27" t="str">
        <f t="shared" ca="1" si="2"/>
        <v>131</v>
      </c>
      <c r="N16" s="27" t="str">
        <f t="shared" ca="1" si="3"/>
        <v>Aktiv</v>
      </c>
      <c r="O16" s="25" t="s">
        <v>73</v>
      </c>
      <c r="P16" s="31" t="s">
        <v>74</v>
      </c>
      <c r="Q16" s="32"/>
    </row>
    <row r="17" spans="1:17" ht="19.5" customHeight="1" x14ac:dyDescent="0.25">
      <c r="A17" s="11">
        <v>11</v>
      </c>
      <c r="B17" s="12" t="s">
        <v>75</v>
      </c>
      <c r="C17" s="13" t="s">
        <v>76</v>
      </c>
      <c r="D17" s="14" t="s">
        <v>45</v>
      </c>
      <c r="E17" s="15" t="s">
        <v>26</v>
      </c>
      <c r="F17" s="15">
        <v>40</v>
      </c>
      <c r="G17" s="15">
        <v>37</v>
      </c>
      <c r="H17" s="16">
        <f t="shared" si="0"/>
        <v>3</v>
      </c>
      <c r="I17" s="17">
        <v>4.99</v>
      </c>
      <c r="J17" s="18">
        <f t="shared" si="1"/>
        <v>199.60000000000002</v>
      </c>
      <c r="K17" s="19">
        <v>45992</v>
      </c>
      <c r="L17" s="19">
        <v>46356</v>
      </c>
      <c r="M17" s="16" t="str">
        <f t="shared" ca="1" si="2"/>
        <v>161</v>
      </c>
      <c r="N17" s="16" t="str">
        <f t="shared" ca="1" si="3"/>
        <v>Aktiv</v>
      </c>
      <c r="O17" s="14" t="s">
        <v>40</v>
      </c>
      <c r="P17" s="20" t="s">
        <v>41</v>
      </c>
      <c r="Q17" s="21"/>
    </row>
    <row r="18" spans="1:17" ht="19.5" customHeight="1" x14ac:dyDescent="0.25">
      <c r="A18" s="22">
        <v>12</v>
      </c>
      <c r="B18" s="23" t="s">
        <v>77</v>
      </c>
      <c r="C18" s="24" t="s">
        <v>78</v>
      </c>
      <c r="D18" s="25" t="s">
        <v>79</v>
      </c>
      <c r="E18" s="26" t="s">
        <v>26</v>
      </c>
      <c r="F18" s="26">
        <v>1</v>
      </c>
      <c r="G18" s="26">
        <v>1</v>
      </c>
      <c r="H18" s="27">
        <f t="shared" si="0"/>
        <v>0</v>
      </c>
      <c r="I18" s="28">
        <v>149</v>
      </c>
      <c r="J18" s="29">
        <f t="shared" si="1"/>
        <v>149</v>
      </c>
      <c r="K18" s="30">
        <v>45884</v>
      </c>
      <c r="L18" s="30">
        <v>46248</v>
      </c>
      <c r="M18" s="27" t="str">
        <f t="shared" ca="1" si="2"/>
        <v>53</v>
      </c>
      <c r="N18" s="27" t="str">
        <f t="shared" ca="1" si="3"/>
        <v>Läuft ab (&lt;90T)</v>
      </c>
      <c r="O18" s="25" t="s">
        <v>33</v>
      </c>
      <c r="P18" s="31" t="s">
        <v>34</v>
      </c>
      <c r="Q18" s="32" t="s">
        <v>80</v>
      </c>
    </row>
    <row r="19" spans="1:17" ht="19.5" customHeight="1" x14ac:dyDescent="0.25">
      <c r="A19" s="11">
        <v>13</v>
      </c>
      <c r="B19" s="12" t="s">
        <v>81</v>
      </c>
      <c r="C19" s="13" t="s">
        <v>82</v>
      </c>
      <c r="D19" s="14" t="s">
        <v>83</v>
      </c>
      <c r="E19" s="15" t="s">
        <v>55</v>
      </c>
      <c r="F19" s="15">
        <v>4</v>
      </c>
      <c r="G19" s="15">
        <v>2</v>
      </c>
      <c r="H19" s="16">
        <f t="shared" si="0"/>
        <v>2</v>
      </c>
      <c r="I19" s="17">
        <v>890</v>
      </c>
      <c r="J19" s="18">
        <f t="shared" si="1"/>
        <v>3560</v>
      </c>
      <c r="K19" s="19">
        <v>44440</v>
      </c>
      <c r="L19" s="15" t="s">
        <v>55</v>
      </c>
      <c r="M19" s="16" t="str">
        <f t="shared" ca="1" si="2"/>
        <v>∞</v>
      </c>
      <c r="N19" s="16" t="str">
        <f t="shared" ca="1" si="3"/>
        <v>Dauerlizenz</v>
      </c>
      <c r="O19" s="14" t="s">
        <v>84</v>
      </c>
      <c r="P19" s="20" t="s">
        <v>85</v>
      </c>
      <c r="Q19" s="21" t="s">
        <v>86</v>
      </c>
    </row>
    <row r="20" spans="1:17" ht="19.5" customHeight="1" x14ac:dyDescent="0.25">
      <c r="A20" s="22">
        <v>14</v>
      </c>
      <c r="B20" s="23" t="s">
        <v>87</v>
      </c>
      <c r="C20" s="24" t="s">
        <v>88</v>
      </c>
      <c r="D20" s="25" t="s">
        <v>89</v>
      </c>
      <c r="E20" s="26" t="s">
        <v>26</v>
      </c>
      <c r="F20" s="26">
        <v>15</v>
      </c>
      <c r="G20" s="26">
        <v>15</v>
      </c>
      <c r="H20" s="27">
        <f t="shared" si="0"/>
        <v>0</v>
      </c>
      <c r="I20" s="28">
        <v>8.5</v>
      </c>
      <c r="J20" s="29">
        <f t="shared" si="1"/>
        <v>127.5</v>
      </c>
      <c r="K20" s="30">
        <v>46042</v>
      </c>
      <c r="L20" s="30">
        <v>46222</v>
      </c>
      <c r="M20" s="27" t="str">
        <f t="shared" ca="1" si="2"/>
        <v>27</v>
      </c>
      <c r="N20" s="27" t="str">
        <f t="shared" ca="1" si="3"/>
        <v>Läuft ab (&lt;30T)</v>
      </c>
      <c r="O20" s="25" t="s">
        <v>40</v>
      </c>
      <c r="P20" s="31" t="s">
        <v>41</v>
      </c>
      <c r="Q20" s="32" t="s">
        <v>90</v>
      </c>
    </row>
    <row r="21" spans="1:17" ht="19.5" customHeight="1" x14ac:dyDescent="0.25">
      <c r="A21" s="11">
        <v>15</v>
      </c>
      <c r="B21" s="12" t="s">
        <v>91</v>
      </c>
      <c r="C21" s="13" t="s">
        <v>92</v>
      </c>
      <c r="D21" s="14" t="s">
        <v>45</v>
      </c>
      <c r="E21" s="15" t="s">
        <v>26</v>
      </c>
      <c r="F21" s="15">
        <v>1</v>
      </c>
      <c r="G21" s="15">
        <v>1</v>
      </c>
      <c r="H21" s="16">
        <f t="shared" si="0"/>
        <v>0</v>
      </c>
      <c r="I21" s="17">
        <v>399</v>
      </c>
      <c r="J21" s="18">
        <f t="shared" si="1"/>
        <v>399</v>
      </c>
      <c r="K21" s="19">
        <v>45748</v>
      </c>
      <c r="L21" s="19">
        <v>46112</v>
      </c>
      <c r="M21" s="16" t="str">
        <f t="shared" ca="1" si="2"/>
        <v>-83</v>
      </c>
      <c r="N21" s="16" t="str">
        <f t="shared" ca="1" si="3"/>
        <v>Abgelaufen</v>
      </c>
      <c r="O21" s="14" t="s">
        <v>93</v>
      </c>
      <c r="P21" s="20" t="s">
        <v>94</v>
      </c>
      <c r="Q21" s="21" t="s">
        <v>95</v>
      </c>
    </row>
    <row r="22" spans="1:17" ht="19.5" customHeight="1" x14ac:dyDescent="0.25">
      <c r="A22" s="22">
        <v>16</v>
      </c>
      <c r="B22" s="23" t="s">
        <v>96</v>
      </c>
      <c r="C22" s="24" t="s">
        <v>97</v>
      </c>
      <c r="D22" s="25" t="s">
        <v>98</v>
      </c>
      <c r="E22" s="26" t="s">
        <v>39</v>
      </c>
      <c r="F22" s="26">
        <v>5</v>
      </c>
      <c r="G22" s="26">
        <v>5</v>
      </c>
      <c r="H22" s="27">
        <f t="shared" si="0"/>
        <v>0</v>
      </c>
      <c r="I22" s="28">
        <v>180</v>
      </c>
      <c r="J22" s="29">
        <f t="shared" si="1"/>
        <v>900</v>
      </c>
      <c r="K22" s="30">
        <v>45474</v>
      </c>
      <c r="L22" s="30">
        <v>46203</v>
      </c>
      <c r="M22" s="27" t="str">
        <f t="shared" ca="1" si="2"/>
        <v>8</v>
      </c>
      <c r="N22" s="27" t="str">
        <f t="shared" ca="1" si="3"/>
        <v>Läuft ab (&lt;30T)</v>
      </c>
      <c r="O22" s="25" t="s">
        <v>40</v>
      </c>
      <c r="P22" s="31" t="s">
        <v>41</v>
      </c>
      <c r="Q22" s="32" t="s">
        <v>99</v>
      </c>
    </row>
    <row r="23" spans="1:17" ht="19.5" customHeight="1" x14ac:dyDescent="0.25">
      <c r="A23" s="11">
        <v>17</v>
      </c>
      <c r="B23" s="12" t="s">
        <v>100</v>
      </c>
      <c r="C23" s="13" t="s">
        <v>101</v>
      </c>
      <c r="D23" s="14" t="s">
        <v>102</v>
      </c>
      <c r="E23" s="15" t="s">
        <v>26</v>
      </c>
      <c r="F23" s="15">
        <v>2</v>
      </c>
      <c r="G23" s="15">
        <v>2</v>
      </c>
      <c r="H23" s="16">
        <f t="shared" si="0"/>
        <v>0</v>
      </c>
      <c r="I23" s="17">
        <v>95</v>
      </c>
      <c r="J23" s="18">
        <f t="shared" si="1"/>
        <v>190</v>
      </c>
      <c r="K23" s="19">
        <v>45901</v>
      </c>
      <c r="L23" s="19">
        <v>46265</v>
      </c>
      <c r="M23" s="16" t="str">
        <f t="shared" ca="1" si="2"/>
        <v>70</v>
      </c>
      <c r="N23" s="16" t="str">
        <f t="shared" ca="1" si="3"/>
        <v>Läuft ab (&lt;90T)</v>
      </c>
      <c r="O23" s="14" t="s">
        <v>40</v>
      </c>
      <c r="P23" s="20" t="s">
        <v>41</v>
      </c>
      <c r="Q23" s="21"/>
    </row>
    <row r="24" spans="1:17" ht="19.5" customHeight="1" x14ac:dyDescent="0.25">
      <c r="A24" s="22">
        <v>18</v>
      </c>
      <c r="B24" s="23" t="s">
        <v>103</v>
      </c>
      <c r="C24" s="24" t="s">
        <v>104</v>
      </c>
      <c r="D24" s="25" t="s">
        <v>25</v>
      </c>
      <c r="E24" s="26" t="s">
        <v>55</v>
      </c>
      <c r="F24" s="26">
        <v>3</v>
      </c>
      <c r="G24" s="26">
        <v>3</v>
      </c>
      <c r="H24" s="27">
        <f t="shared" si="0"/>
        <v>0</v>
      </c>
      <c r="I24" s="28">
        <v>299</v>
      </c>
      <c r="J24" s="29">
        <f t="shared" si="1"/>
        <v>897</v>
      </c>
      <c r="K24" s="30">
        <v>45245</v>
      </c>
      <c r="L24" s="26" t="s">
        <v>55</v>
      </c>
      <c r="M24" s="27" t="str">
        <f t="shared" ca="1" si="2"/>
        <v>∞</v>
      </c>
      <c r="N24" s="27" t="str">
        <f t="shared" ca="1" si="3"/>
        <v>Dauerlizenz</v>
      </c>
      <c r="O24" s="25" t="s">
        <v>27</v>
      </c>
      <c r="P24" s="31" t="s">
        <v>28</v>
      </c>
      <c r="Q24" s="32"/>
    </row>
    <row r="25" spans="1:17" ht="19.5" customHeight="1" x14ac:dyDescent="0.25">
      <c r="A25" s="11">
        <v>19</v>
      </c>
      <c r="B25" s="12" t="s">
        <v>105</v>
      </c>
      <c r="C25" s="13" t="s">
        <v>106</v>
      </c>
      <c r="D25" s="14" t="s">
        <v>45</v>
      </c>
      <c r="E25" s="15" t="s">
        <v>26</v>
      </c>
      <c r="F25" s="15">
        <v>60</v>
      </c>
      <c r="G25" s="15">
        <v>55</v>
      </c>
      <c r="H25" s="16">
        <f t="shared" si="0"/>
        <v>5</v>
      </c>
      <c r="I25" s="17">
        <v>6.9</v>
      </c>
      <c r="J25" s="18">
        <f t="shared" si="1"/>
        <v>414</v>
      </c>
      <c r="K25" s="19">
        <v>46054</v>
      </c>
      <c r="L25" s="19">
        <v>46418</v>
      </c>
      <c r="M25" s="16" t="str">
        <f t="shared" ca="1" si="2"/>
        <v>223</v>
      </c>
      <c r="N25" s="16" t="str">
        <f t="shared" ca="1" si="3"/>
        <v>Aktiv</v>
      </c>
      <c r="O25" s="14" t="s">
        <v>69</v>
      </c>
      <c r="P25" s="20" t="s">
        <v>94</v>
      </c>
      <c r="Q25" s="21"/>
    </row>
    <row r="26" spans="1:17" ht="19.5" customHeight="1" x14ac:dyDescent="0.25">
      <c r="A26" s="22">
        <v>20</v>
      </c>
      <c r="B26" s="23" t="s">
        <v>107</v>
      </c>
      <c r="C26" s="24" t="s">
        <v>108</v>
      </c>
      <c r="D26" s="25" t="s">
        <v>109</v>
      </c>
      <c r="E26" s="26" t="s">
        <v>39</v>
      </c>
      <c r="F26" s="26">
        <v>4</v>
      </c>
      <c r="G26" s="26">
        <v>3</v>
      </c>
      <c r="H26" s="27">
        <f t="shared" si="0"/>
        <v>1</v>
      </c>
      <c r="I26" s="28">
        <v>245</v>
      </c>
      <c r="J26" s="29">
        <f t="shared" si="1"/>
        <v>980</v>
      </c>
      <c r="K26" s="30">
        <v>45823</v>
      </c>
      <c r="L26" s="30">
        <v>46187</v>
      </c>
      <c r="M26" s="27" t="str">
        <f t="shared" ca="1" si="2"/>
        <v>-8</v>
      </c>
      <c r="N26" s="27" t="str">
        <f t="shared" ca="1" si="3"/>
        <v>Abgelaufen</v>
      </c>
      <c r="O26" s="25" t="s">
        <v>73</v>
      </c>
      <c r="P26" s="31" t="s">
        <v>74</v>
      </c>
      <c r="Q26" s="32" t="s">
        <v>110</v>
      </c>
    </row>
    <row r="27" spans="1:17" ht="21" customHeight="1" x14ac:dyDescent="0.25">
      <c r="A27" s="3" t="s">
        <v>111</v>
      </c>
      <c r="B27" s="3"/>
      <c r="C27" s="3"/>
      <c r="D27" s="3"/>
      <c r="E27" s="3"/>
      <c r="F27" s="33">
        <f>SUM(F7:F26)</f>
        <v>374</v>
      </c>
      <c r="G27" s="33">
        <f>SUM(G7:G26)</f>
        <v>339</v>
      </c>
      <c r="H27" s="33">
        <f>SUM(H7:H26)</f>
        <v>35</v>
      </c>
      <c r="I27" s="34"/>
      <c r="J27" s="35">
        <f>SUM(J7:J26)</f>
        <v>18714.599999999999</v>
      </c>
      <c r="K27" s="34"/>
      <c r="L27" s="34"/>
      <c r="M27" s="34"/>
      <c r="N27" s="34"/>
      <c r="O27" s="34"/>
      <c r="P27" s="34"/>
      <c r="Q27" s="34"/>
    </row>
    <row r="28" spans="1:17" ht="12" customHeight="1" x14ac:dyDescent="0.25">
      <c r="A28" s="2" t="s">
        <v>112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</sheetData>
  <mergeCells count="15">
    <mergeCell ref="L4:N4"/>
    <mergeCell ref="A27:E27"/>
    <mergeCell ref="A28:Q28"/>
    <mergeCell ref="A4:B4"/>
    <mergeCell ref="C4:D4"/>
    <mergeCell ref="E4:F4"/>
    <mergeCell ref="G4:I4"/>
    <mergeCell ref="J4:K4"/>
    <mergeCell ref="A1:Q1"/>
    <mergeCell ref="A3:B3"/>
    <mergeCell ref="C3:D3"/>
    <mergeCell ref="E3:F3"/>
    <mergeCell ref="G3:I3"/>
    <mergeCell ref="J3:K3"/>
    <mergeCell ref="L3:N3"/>
  </mergeCells>
  <conditionalFormatting sqref="H7:H26">
    <cfRule type="expression" dxfId="6" priority="7">
      <formula>AND(ISNUMBER(H7),H7&lt;0)</formula>
    </cfRule>
    <cfRule type="expression" dxfId="5" priority="8">
      <formula>AND(ISNUMBER(H7),H7&gt;5)</formula>
    </cfRule>
  </conditionalFormatting>
  <conditionalFormatting sqref="J7:J26">
    <cfRule type="colorScale" priority="9">
      <colorScale>
        <cfvo type="min"/>
        <cfvo type="max"/>
        <color rgb="FFFFFFFF"/>
        <color rgb="FF8B1A2E"/>
      </colorScale>
    </cfRule>
  </conditionalFormatting>
  <conditionalFormatting sqref="N7:N26">
    <cfRule type="expression" dxfId="4" priority="2">
      <formula>N7="Aktiv"</formula>
    </cfRule>
    <cfRule type="expression" dxfId="3" priority="3">
      <formula>N7="Läuft ab (&lt;90T)"</formula>
    </cfRule>
    <cfRule type="expression" dxfId="2" priority="4">
      <formula>N7="Läuft ab (&lt;30T)"</formula>
    </cfRule>
    <cfRule type="expression" dxfId="1" priority="5">
      <formula>N7="Abgelaufen"</formula>
    </cfRule>
    <cfRule type="expression" dxfId="0" priority="6">
      <formula>N7="Dauerlizenz"</formula>
    </cfRule>
  </conditionalFormatting>
  <dataValidations count="2">
    <dataValidation type="list" allowBlank="1" sqref="E7:E26" xr:uid="{00000000-0002-0000-0000-000000000000}">
      <formula1>"Abonnement,Dauerlizenz,Volumenlizenz,Einzellizenz,Testlizenz,OEM-Lizenz"</formula1>
      <formula2>0</formula2>
    </dataValidation>
    <dataValidation type="list" allowBlank="1" sqref="O7:O26" xr:uid="{00000000-0002-0000-0000-000001000000}">
      <formula1>"IT,Verwaltung,Marketing,Buchhaltung,Personal,Vertrieb,Entwicklung,Forschung,Projektmgmt.,Alle Abteilungen,Sonstige"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6" customWidth="1"/>
    <col min="3" max="4" width="18" customWidth="1"/>
    <col min="5" max="5" width="16" customWidth="1"/>
    <col min="6" max="6" width="4" customWidth="1"/>
  </cols>
  <sheetData>
    <row r="1" spans="1:6" ht="42" customHeight="1" x14ac:dyDescent="0.25">
      <c r="A1" s="9" t="s">
        <v>113</v>
      </c>
      <c r="B1" s="9"/>
      <c r="C1" s="9"/>
      <c r="D1" s="9"/>
      <c r="E1" s="9"/>
      <c r="F1" s="9"/>
    </row>
    <row r="3" spans="1:6" ht="21.75" customHeight="1" x14ac:dyDescent="0.25">
      <c r="B3" s="1" t="s">
        <v>114</v>
      </c>
      <c r="C3" s="1"/>
      <c r="D3" s="1"/>
      <c r="E3" s="1"/>
    </row>
    <row r="4" spans="1:6" ht="15.75" customHeight="1" x14ac:dyDescent="0.25">
      <c r="B4" s="36" t="s">
        <v>19</v>
      </c>
      <c r="C4" s="36" t="s">
        <v>115</v>
      </c>
      <c r="D4" s="36" t="s">
        <v>116</v>
      </c>
      <c r="E4" s="36" t="s">
        <v>117</v>
      </c>
    </row>
    <row r="5" spans="1:6" ht="18" customHeight="1" x14ac:dyDescent="0.25">
      <c r="B5" s="37" t="s">
        <v>118</v>
      </c>
      <c r="C5" s="38">
        <f ca="1">COUNTIF(Lizenzverwaltung!N7:N26,"Aktiv")</f>
        <v>6</v>
      </c>
      <c r="D5" s="39">
        <f ca="1">SUMIF(Lizenzverwaltung!N7:N26,"Aktiv",Lizenzverwaltung!J7:J26)</f>
        <v>5723.1</v>
      </c>
      <c r="E5" s="40">
        <f ca="1">IFERROR(C5/SUM(C5:C9),0)</f>
        <v>0.3</v>
      </c>
    </row>
    <row r="6" spans="1:6" ht="18" customHeight="1" x14ac:dyDescent="0.25">
      <c r="B6" s="41" t="s">
        <v>119</v>
      </c>
      <c r="C6" s="42">
        <f ca="1">COUNTIF(Lizenzverwaltung!N7:N26,"Läuft ab (&lt;90T)")</f>
        <v>2</v>
      </c>
      <c r="D6" s="43">
        <f ca="1">SUMIF(Lizenzverwaltung!N7:N26,"Läuft ab (&lt;90T)",Lizenzverwaltung!J7:J26)</f>
        <v>339</v>
      </c>
      <c r="E6" s="44">
        <f ca="1">IFERROR(C6/SUM(C5:C9),0)</f>
        <v>0.1</v>
      </c>
    </row>
    <row r="7" spans="1:6" ht="18" customHeight="1" x14ac:dyDescent="0.25">
      <c r="B7" s="45" t="s">
        <v>120</v>
      </c>
      <c r="C7" s="46">
        <f ca="1">COUNTIF(Lizenzverwaltung!N7:N26,"Läuft ab (&lt;30T)")</f>
        <v>3</v>
      </c>
      <c r="D7" s="47">
        <f ca="1">SUMIF(Lizenzverwaltung!N7:N26,"Läuft ab (&lt;30T)",Lizenzverwaltung!J7:J26)</f>
        <v>1267.0999999999999</v>
      </c>
      <c r="E7" s="48">
        <f ca="1">IFERROR(C7/SUM(C5:C9),0)</f>
        <v>0.15</v>
      </c>
    </row>
    <row r="8" spans="1:6" ht="18" customHeight="1" x14ac:dyDescent="0.25">
      <c r="B8" s="45" t="s">
        <v>121</v>
      </c>
      <c r="C8" s="46">
        <f ca="1">COUNTIF(Lizenzverwaltung!N7:N26,"Abgelaufen")</f>
        <v>5</v>
      </c>
      <c r="D8" s="47">
        <f ca="1">SUMIF(Lizenzverwaltung!N7:N26,"Abgelaufen",Lizenzverwaltung!J7:J26)</f>
        <v>2688.4</v>
      </c>
      <c r="E8" s="48">
        <f ca="1">IFERROR(C8/SUM(C5:C9),0)</f>
        <v>0.25</v>
      </c>
    </row>
    <row r="9" spans="1:6" ht="18" customHeight="1" x14ac:dyDescent="0.25">
      <c r="B9" s="49" t="s">
        <v>55</v>
      </c>
      <c r="C9" s="50">
        <f ca="1">COUNTIF(Lizenzverwaltung!N7:N26,"Dauerlizenz")</f>
        <v>4</v>
      </c>
      <c r="D9" s="51">
        <f ca="1">SUMIF(Lizenzverwaltung!N7:N26,"Dauerlizenz",Lizenzverwaltung!J7:J26)</f>
        <v>8697</v>
      </c>
      <c r="E9" s="52">
        <f ca="1">IFERROR(C9/SUM(C5:C9),0)</f>
        <v>0.2</v>
      </c>
    </row>
    <row r="10" spans="1:6" ht="18" customHeight="1" x14ac:dyDescent="0.25">
      <c r="B10" s="53" t="s">
        <v>122</v>
      </c>
      <c r="C10" s="33">
        <f ca="1">SUM(C5:C9)</f>
        <v>20</v>
      </c>
      <c r="D10" s="54">
        <f ca="1">SUM(D5:D9)</f>
        <v>18714.599999999999</v>
      </c>
      <c r="E10" s="55" t="s">
        <v>123</v>
      </c>
    </row>
    <row r="12" spans="1:6" ht="21.75" customHeight="1" x14ac:dyDescent="0.25">
      <c r="B12" s="1" t="s">
        <v>124</v>
      </c>
      <c r="C12" s="1"/>
      <c r="D12" s="1"/>
      <c r="E12" s="1"/>
    </row>
    <row r="13" spans="1:6" ht="15.75" customHeight="1" x14ac:dyDescent="0.25">
      <c r="B13" s="36" t="s">
        <v>10</v>
      </c>
      <c r="C13" s="36" t="s">
        <v>125</v>
      </c>
      <c r="D13" s="36" t="s">
        <v>116</v>
      </c>
      <c r="E13" s="36" t="s">
        <v>126</v>
      </c>
    </row>
    <row r="14" spans="1:6" ht="18" customHeight="1" x14ac:dyDescent="0.25">
      <c r="B14" s="56" t="s">
        <v>26</v>
      </c>
      <c r="C14" s="57">
        <f>COUNTIF(Lizenzverwaltung!E7:E26,"Abonnement")</f>
        <v>11</v>
      </c>
      <c r="D14" s="58">
        <f>SUMIF(Lizenzverwaltung!E7:E26,"Abonnement",Lizenzverwaltung!J7:J26)</f>
        <v>3727.6</v>
      </c>
      <c r="E14" s="58">
        <f t="shared" ref="E14:E19" si="0">IFERROR(D14/C14,0)</f>
        <v>338.87272727272727</v>
      </c>
    </row>
    <row r="15" spans="1:6" ht="18" customHeight="1" x14ac:dyDescent="0.25">
      <c r="B15" s="59" t="s">
        <v>55</v>
      </c>
      <c r="C15" s="60">
        <f>COUNTIF(Lizenzverwaltung!E7:E26,"Dauerlizenz")</f>
        <v>4</v>
      </c>
      <c r="D15" s="61">
        <f>SUMIF(Lizenzverwaltung!E7:E26,"Dauerlizenz",Lizenzverwaltung!J7:J26)</f>
        <v>8697</v>
      </c>
      <c r="E15" s="61">
        <f t="shared" si="0"/>
        <v>2174.25</v>
      </c>
    </row>
    <row r="16" spans="1:6" ht="18" customHeight="1" x14ac:dyDescent="0.25">
      <c r="B16" s="62" t="s">
        <v>39</v>
      </c>
      <c r="C16" s="63">
        <f>COUNTIF(Lizenzverwaltung!E7:E26,"Volumenlizenz")</f>
        <v>5</v>
      </c>
      <c r="D16" s="64">
        <f>SUMIF(Lizenzverwaltung!E7:E26,"Volumenlizenz",Lizenzverwaltung!J7:J26)</f>
        <v>6290</v>
      </c>
      <c r="E16" s="64">
        <f t="shared" si="0"/>
        <v>1258</v>
      </c>
    </row>
    <row r="17" spans="2:5" ht="18" customHeight="1" x14ac:dyDescent="0.25">
      <c r="B17" s="20" t="s">
        <v>127</v>
      </c>
      <c r="C17" s="15">
        <f>COUNTIF(Lizenzverwaltung!E7:E26,"Einzellizenz")</f>
        <v>0</v>
      </c>
      <c r="D17" s="17">
        <f>SUMIF(Lizenzverwaltung!E7:E26,"Einzellizenz",Lizenzverwaltung!J7:J26)</f>
        <v>0</v>
      </c>
      <c r="E17" s="17">
        <f t="shared" si="0"/>
        <v>0</v>
      </c>
    </row>
    <row r="18" spans="2:5" ht="18" customHeight="1" x14ac:dyDescent="0.25">
      <c r="B18" s="31" t="s">
        <v>128</v>
      </c>
      <c r="C18" s="26">
        <f>COUNTIF(Lizenzverwaltung!E7:E26,"Testlizenz")</f>
        <v>0</v>
      </c>
      <c r="D18" s="28">
        <f>SUMIF(Lizenzverwaltung!E7:E26,"Testlizenz",Lizenzverwaltung!J7:J26)</f>
        <v>0</v>
      </c>
      <c r="E18" s="28">
        <f t="shared" si="0"/>
        <v>0</v>
      </c>
    </row>
    <row r="19" spans="2:5" ht="18" customHeight="1" x14ac:dyDescent="0.25">
      <c r="B19" s="20" t="s">
        <v>129</v>
      </c>
      <c r="C19" s="15">
        <f>COUNTIF(Lizenzverwaltung!E7:E26,"OEM-Lizenz")</f>
        <v>0</v>
      </c>
      <c r="D19" s="17">
        <f>SUMIF(Lizenzverwaltung!E7:E26,"OEM-Lizenz",Lizenzverwaltung!J7:J26)</f>
        <v>0</v>
      </c>
      <c r="E19" s="17">
        <f t="shared" si="0"/>
        <v>0</v>
      </c>
    </row>
    <row r="22" spans="2:5" ht="21.75" customHeight="1" x14ac:dyDescent="0.25">
      <c r="B22" s="1" t="s">
        <v>130</v>
      </c>
      <c r="C22" s="1"/>
      <c r="D22" s="1"/>
      <c r="E22" s="1"/>
    </row>
    <row r="23" spans="2:5" ht="15.75" customHeight="1" x14ac:dyDescent="0.25">
      <c r="B23" s="36" t="s">
        <v>20</v>
      </c>
      <c r="C23" s="36" t="s">
        <v>131</v>
      </c>
      <c r="D23" s="36" t="s">
        <v>116</v>
      </c>
      <c r="E23" s="36" t="s">
        <v>132</v>
      </c>
    </row>
    <row r="24" spans="2:5" ht="16.5" customHeight="1" x14ac:dyDescent="0.25">
      <c r="B24" s="20" t="s">
        <v>40</v>
      </c>
      <c r="C24" s="65">
        <f>SUMIF(Lizenzverwaltung!O7:O26,"IT",Lizenzverwaltung!F7:F26)</f>
        <v>170</v>
      </c>
      <c r="D24" s="17">
        <f>SUMIF(Lizenzverwaltung!O7:O26,"IT",Lizenzverwaltung!J7:J26)</f>
        <v>6907.1</v>
      </c>
      <c r="E24" s="15" t="str">
        <f>IF(COUNTIFS(Lizenzverwaltung!O7:O26,"IT",Lizenzverwaltung!H7:H26,"&lt;0")&gt;0,"⚠ Unterlizenziert","✓ OK")</f>
        <v>✓ OK</v>
      </c>
    </row>
    <row r="25" spans="2:5" ht="16.5" customHeight="1" x14ac:dyDescent="0.25">
      <c r="B25" s="31" t="s">
        <v>33</v>
      </c>
      <c r="C25" s="66">
        <f>SUMIF(Lizenzverwaltung!O7:O26,"Marketing",Lizenzverwaltung!F7:F26)</f>
        <v>19</v>
      </c>
      <c r="D25" s="28">
        <f>SUMIF(Lizenzverwaltung!O7:O26,"Marketing",Lizenzverwaltung!J7:J26)</f>
        <v>938.5</v>
      </c>
      <c r="E25" s="26" t="str">
        <f>IF(COUNTIFS(Lizenzverwaltung!O7:O26,"Marketing",Lizenzverwaltung!H7:H26,"&lt;0")&gt;0,"⚠ Unterlizenziert","✓ OK")</f>
        <v>✓ OK</v>
      </c>
    </row>
    <row r="26" spans="2:5" ht="16.5" customHeight="1" x14ac:dyDescent="0.25">
      <c r="B26" s="20" t="s">
        <v>27</v>
      </c>
      <c r="C26" s="65">
        <f>SUMIF(Lizenzverwaltung!O7:O26,"Verwaltung",Lizenzverwaltung!F7:F26)</f>
        <v>28</v>
      </c>
      <c r="D26" s="17">
        <f>SUMIF(Lizenzverwaltung!O7:O26,"Verwaltung",Lizenzverwaltung!J7:J26)</f>
        <v>1359.5</v>
      </c>
      <c r="E26" s="15" t="str">
        <f>IF(COUNTIFS(Lizenzverwaltung!O7:O26,"Verwaltung",Lizenzverwaltung!H7:H26,"&lt;0")&gt;0,"⚠ Unterlizenziert","✓ OK")</f>
        <v>✓ OK</v>
      </c>
    </row>
    <row r="27" spans="2:5" ht="16.5" customHeight="1" x14ac:dyDescent="0.25">
      <c r="B27" s="31" t="s">
        <v>64</v>
      </c>
      <c r="C27" s="66">
        <f>SUMIF(Lizenzverwaltung!O7:O26,"Buchhaltung",Lizenzverwaltung!F7:F26)</f>
        <v>2</v>
      </c>
      <c r="D27" s="28">
        <f>SUMIF(Lizenzverwaltung!O7:O26,"Buchhaltung",Lizenzverwaltung!J7:J26)</f>
        <v>1300</v>
      </c>
      <c r="E27" s="26" t="str">
        <f>IF(COUNTIFS(Lizenzverwaltung!O7:O26,"Buchhaltung",Lizenzverwaltung!H7:H26,"&lt;0")&gt;0,"⚠ Unterlizenziert","✓ OK")</f>
        <v>✓ OK</v>
      </c>
    </row>
    <row r="28" spans="2:5" ht="16.5" customHeight="1" x14ac:dyDescent="0.25">
      <c r="B28" s="20" t="s">
        <v>93</v>
      </c>
      <c r="C28" s="65">
        <f>SUMIF(Lizenzverwaltung!O7:O26,"Personal",Lizenzverwaltung!F7:F26)</f>
        <v>1</v>
      </c>
      <c r="D28" s="17">
        <f>SUMIF(Lizenzverwaltung!O7:O26,"Personal",Lizenzverwaltung!J7:J26)</f>
        <v>399</v>
      </c>
      <c r="E28" s="15" t="str">
        <f>IF(COUNTIFS(Lizenzverwaltung!O7:O26,"Personal",Lizenzverwaltung!H7:H26,"&lt;0")&gt;0,"⚠ Unterlizenziert","✓ OK")</f>
        <v>✓ OK</v>
      </c>
    </row>
    <row r="29" spans="2:5" ht="16.5" customHeight="1" x14ac:dyDescent="0.25">
      <c r="B29" s="31" t="s">
        <v>73</v>
      </c>
      <c r="C29" s="66">
        <f>SUMIF(Lizenzverwaltung!O7:O26,"Entwicklung",Lizenzverwaltung!F7:F26)</f>
        <v>10</v>
      </c>
      <c r="D29" s="28">
        <f>SUMIF(Lizenzverwaltung!O7:O26,"Entwicklung",Lizenzverwaltung!J7:J26)</f>
        <v>2840</v>
      </c>
      <c r="E29" s="26" t="str">
        <f>IF(COUNTIFS(Lizenzverwaltung!O7:O26,"Entwicklung",Lizenzverwaltung!H7:H26,"&lt;0")&gt;0,"⚠ Unterlizenziert","✓ OK")</f>
        <v>✓ OK</v>
      </c>
    </row>
    <row r="30" spans="2:5" ht="16.5" customHeight="1" x14ac:dyDescent="0.25">
      <c r="B30" s="20" t="s">
        <v>84</v>
      </c>
      <c r="C30" s="65">
        <f>SUMIF(Lizenzverwaltung!O7:O26,"Forschung",Lizenzverwaltung!F7:F26)</f>
        <v>4</v>
      </c>
      <c r="D30" s="17">
        <f>SUMIF(Lizenzverwaltung!O7:O26,"Forschung",Lizenzverwaltung!J7:J26)</f>
        <v>3560</v>
      </c>
      <c r="E30" s="15" t="str">
        <f>IF(COUNTIFS(Lizenzverwaltung!O7:O26,"Forschung",Lizenzverwaltung!H7:H26,"&lt;0")&gt;0,"⚠ Unterlizenziert","✓ OK")</f>
        <v>✓ OK</v>
      </c>
    </row>
    <row r="31" spans="2:5" ht="16.5" customHeight="1" x14ac:dyDescent="0.25">
      <c r="B31" s="31" t="s">
        <v>46</v>
      </c>
      <c r="C31" s="66">
        <f>SUMIF(Lizenzverwaltung!O7:O26,"Projektmgmt.",Lizenzverwaltung!F7:F26)</f>
        <v>30</v>
      </c>
      <c r="D31" s="28">
        <f>SUMIF(Lizenzverwaltung!O7:O26,"Projektmgmt.",Lizenzverwaltung!J7:J26)</f>
        <v>297</v>
      </c>
      <c r="E31" s="26" t="str">
        <f>IF(COUNTIFS(Lizenzverwaltung!O7:O26,"Projektmgmt.",Lizenzverwaltung!H7:H26,"&lt;0")&gt;0,"⚠ Unterlizenziert","✓ OK")</f>
        <v>✓ OK</v>
      </c>
    </row>
    <row r="32" spans="2:5" ht="16.5" customHeight="1" x14ac:dyDescent="0.25">
      <c r="B32" s="20" t="s">
        <v>69</v>
      </c>
      <c r="C32" s="65">
        <f>SUMIF(Lizenzverwaltung!O7:O26,"Alle Abteilungen",Lizenzverwaltung!F7:F26)</f>
        <v>110</v>
      </c>
      <c r="D32" s="17">
        <f>SUMIF(Lizenzverwaltung!O7:O26,"Alle Abteilungen",Lizenzverwaltung!J7:J26)</f>
        <v>1113.5</v>
      </c>
      <c r="E32" s="15" t="str">
        <f>IF(COUNTIFS(Lizenzverwaltung!O7:O26,"Alle Abteilungen",Lizenzverwaltung!H7:H26,"&lt;0")&gt;0,"⚠ Unterlizenziert","✓ OK")</f>
        <v>✓ OK</v>
      </c>
    </row>
    <row r="34" spans="2:5" ht="12.75" customHeight="1" x14ac:dyDescent="0.25">
      <c r="B34" s="2" t="s">
        <v>133</v>
      </c>
      <c r="C34" s="2"/>
      <c r="D34" s="2"/>
      <c r="E34" s="2"/>
    </row>
  </sheetData>
  <mergeCells count="5">
    <mergeCell ref="A1:F1"/>
    <mergeCell ref="B3:E3"/>
    <mergeCell ref="B12:E12"/>
    <mergeCell ref="B22:E22"/>
    <mergeCell ref="B34:E3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6" customWidth="1"/>
    <col min="3" max="3" width="52" customWidth="1"/>
    <col min="4" max="4" width="4" customWidth="1"/>
  </cols>
  <sheetData>
    <row r="1" spans="1:4" ht="42" customHeight="1" x14ac:dyDescent="0.25">
      <c r="A1" s="9" t="s">
        <v>134</v>
      </c>
      <c r="B1" s="9"/>
      <c r="C1" s="9"/>
      <c r="D1" s="9"/>
    </row>
    <row r="3" spans="1:4" ht="21" customHeight="1" x14ac:dyDescent="0.25">
      <c r="B3" s="67"/>
      <c r="C3" s="68" t="s">
        <v>135</v>
      </c>
    </row>
    <row r="4" spans="1:4" ht="21" customHeight="1" x14ac:dyDescent="0.25">
      <c r="B4" s="69" t="s">
        <v>136</v>
      </c>
      <c r="C4" s="70" t="s">
        <v>137</v>
      </c>
    </row>
    <row r="5" spans="1:4" ht="21" customHeight="1" x14ac:dyDescent="0.25">
      <c r="B5" s="67" t="s">
        <v>138</v>
      </c>
      <c r="C5" s="68" t="s">
        <v>139</v>
      </c>
    </row>
    <row r="6" spans="1:4" ht="21" customHeight="1" x14ac:dyDescent="0.25">
      <c r="B6" s="69" t="s">
        <v>140</v>
      </c>
      <c r="C6" s="70" t="s">
        <v>141</v>
      </c>
    </row>
    <row r="7" spans="1:4" ht="21" customHeight="1" x14ac:dyDescent="0.25">
      <c r="B7" s="67" t="s">
        <v>142</v>
      </c>
      <c r="C7" s="68" t="s">
        <v>143</v>
      </c>
    </row>
    <row r="8" spans="1:4" ht="21" customHeight="1" x14ac:dyDescent="0.25">
      <c r="B8" s="69" t="s">
        <v>144</v>
      </c>
      <c r="C8" s="70" t="s">
        <v>145</v>
      </c>
    </row>
    <row r="9" spans="1:4" ht="21" customHeight="1" x14ac:dyDescent="0.25">
      <c r="B9" s="67" t="s">
        <v>146</v>
      </c>
      <c r="C9" s="68" t="s">
        <v>147</v>
      </c>
    </row>
    <row r="10" spans="1:4" ht="21" customHeight="1" x14ac:dyDescent="0.25">
      <c r="B10" s="69"/>
      <c r="C10" s="70" t="s">
        <v>148</v>
      </c>
    </row>
    <row r="11" spans="1:4" ht="21" customHeight="1" x14ac:dyDescent="0.25">
      <c r="B11" s="67" t="s">
        <v>11</v>
      </c>
      <c r="C11" s="68" t="s">
        <v>149</v>
      </c>
    </row>
    <row r="12" spans="1:4" ht="21" customHeight="1" x14ac:dyDescent="0.25">
      <c r="B12" s="69" t="s">
        <v>12</v>
      </c>
      <c r="C12" s="70" t="s">
        <v>150</v>
      </c>
    </row>
    <row r="13" spans="1:4" ht="21" customHeight="1" x14ac:dyDescent="0.25">
      <c r="B13" s="67" t="s">
        <v>13</v>
      </c>
      <c r="C13" s="68" t="s">
        <v>151</v>
      </c>
    </row>
    <row r="14" spans="1:4" ht="21" customHeight="1" x14ac:dyDescent="0.25">
      <c r="B14" s="69" t="s">
        <v>14</v>
      </c>
      <c r="C14" s="70" t="s">
        <v>152</v>
      </c>
    </row>
    <row r="15" spans="1:4" ht="21" customHeight="1" x14ac:dyDescent="0.25">
      <c r="B15" s="67" t="s">
        <v>15</v>
      </c>
      <c r="C15" s="68" t="s">
        <v>153</v>
      </c>
    </row>
    <row r="16" spans="1:4" ht="21" customHeight="1" x14ac:dyDescent="0.25">
      <c r="B16" s="69" t="s">
        <v>17</v>
      </c>
      <c r="C16" s="70" t="s">
        <v>154</v>
      </c>
    </row>
    <row r="17" spans="2:3" ht="21" customHeight="1" x14ac:dyDescent="0.25">
      <c r="B17" s="67" t="s">
        <v>18</v>
      </c>
      <c r="C17" s="68" t="s">
        <v>155</v>
      </c>
    </row>
    <row r="18" spans="2:3" ht="21" customHeight="1" x14ac:dyDescent="0.25">
      <c r="B18" s="69" t="s">
        <v>19</v>
      </c>
      <c r="C18" s="70" t="s">
        <v>156</v>
      </c>
    </row>
    <row r="19" spans="2:3" ht="21" customHeight="1" x14ac:dyDescent="0.25">
      <c r="B19" s="67" t="s">
        <v>20</v>
      </c>
      <c r="C19" s="68" t="s">
        <v>157</v>
      </c>
    </row>
    <row r="20" spans="2:3" ht="21" customHeight="1" x14ac:dyDescent="0.25">
      <c r="B20" s="69" t="s">
        <v>21</v>
      </c>
      <c r="C20" s="70" t="s">
        <v>158</v>
      </c>
    </row>
    <row r="21" spans="2:3" ht="21" customHeight="1" x14ac:dyDescent="0.25">
      <c r="B21" s="67"/>
      <c r="C21" s="68" t="s">
        <v>159</v>
      </c>
    </row>
    <row r="22" spans="2:3" ht="21" customHeight="1" x14ac:dyDescent="0.25">
      <c r="B22" s="69" t="s">
        <v>160</v>
      </c>
      <c r="C22" s="70" t="s">
        <v>161</v>
      </c>
    </row>
    <row r="23" spans="2:3" ht="21" customHeight="1" x14ac:dyDescent="0.25">
      <c r="B23" s="67" t="s">
        <v>162</v>
      </c>
      <c r="C23" s="68" t="s">
        <v>163</v>
      </c>
    </row>
    <row r="24" spans="2:3" ht="21" customHeight="1" x14ac:dyDescent="0.25">
      <c r="B24" s="69" t="s">
        <v>164</v>
      </c>
      <c r="C24" s="70" t="s">
        <v>165</v>
      </c>
    </row>
    <row r="25" spans="2:3" ht="21" customHeight="1" x14ac:dyDescent="0.25">
      <c r="B25" s="67" t="s">
        <v>166</v>
      </c>
      <c r="C25" s="68" t="s">
        <v>167</v>
      </c>
    </row>
    <row r="26" spans="2:3" ht="21" customHeight="1" x14ac:dyDescent="0.25">
      <c r="B26" s="69"/>
      <c r="C26" s="70" t="s">
        <v>168</v>
      </c>
    </row>
    <row r="27" spans="2:3" ht="21" customHeight="1" x14ac:dyDescent="0.25">
      <c r="B27" s="67" t="s">
        <v>169</v>
      </c>
      <c r="C27" s="68" t="s">
        <v>170</v>
      </c>
    </row>
    <row r="28" spans="2:3" ht="21" customHeight="1" x14ac:dyDescent="0.25">
      <c r="B28" s="69" t="s">
        <v>171</v>
      </c>
      <c r="C28" s="70" t="s">
        <v>172</v>
      </c>
    </row>
    <row r="29" spans="2:3" ht="21" customHeight="1" x14ac:dyDescent="0.25">
      <c r="B29" s="67" t="s">
        <v>55</v>
      </c>
      <c r="C29" s="68" t="s">
        <v>173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Lizenzverwaltung</vt:lpstr>
      <vt:lpstr>Auswertung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2026-06-22T11:32:37Z</dcterms:created>
  <dcterms:modified xsi:type="dcterms:W3CDTF">2026-06-22T12:30:08Z</dcterms:modified>
  <dc:language>en-US</dc:language>
</cp:coreProperties>
</file>