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F28C4C4-DA5D-4680-9312-9C7FA6FE07C4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Übersicht" sheetId="1" r:id="rId1"/>
    <sheet name="Konfiguration" sheetId="2" r:id="rId2"/>
    <sheet name="Lieferantenbewertung" sheetId="3" r:id="rId3"/>
  </sheets>
  <definedNames>
    <definedName name="_xlnm.Print_Area" localSheetId="1">Konfiguration!$A$1:$F$30</definedName>
    <definedName name="_xlnm.Print_Area" localSheetId="2">Lieferantenbewertung!$A$1:$S$21</definedName>
    <definedName name="_xlnm.Print_Area" localSheetId="0">Übersicht!$A$1:$J$30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9" i="3" l="1"/>
  <c r="L19" i="3"/>
  <c r="K19" i="3"/>
  <c r="J19" i="3"/>
  <c r="I19" i="3"/>
  <c r="H19" i="3"/>
  <c r="G19" i="3"/>
  <c r="O14" i="3"/>
  <c r="P14" i="3" s="1"/>
  <c r="R14" i="3" s="1"/>
  <c r="N14" i="3"/>
  <c r="T14" i="3" s="1"/>
  <c r="N11" i="3"/>
  <c r="T11" i="3" s="1"/>
  <c r="M6" i="3"/>
  <c r="L6" i="3"/>
  <c r="K6" i="3"/>
  <c r="J6" i="3"/>
  <c r="I6" i="3"/>
  <c r="H6" i="3"/>
  <c r="G6" i="3"/>
  <c r="N17" i="3" s="1"/>
  <c r="C14" i="2"/>
  <c r="G13" i="1"/>
  <c r="B6" i="1"/>
  <c r="T17" i="3" l="1"/>
  <c r="O17" i="3"/>
  <c r="P17" i="3" s="1"/>
  <c r="R17" i="3" s="1"/>
  <c r="O11" i="3"/>
  <c r="P11" i="3" s="1"/>
  <c r="R11" i="3" s="1"/>
  <c r="N8" i="3"/>
  <c r="N18" i="3"/>
  <c r="N15" i="3"/>
  <c r="N12" i="3"/>
  <c r="N9" i="3"/>
  <c r="N16" i="3"/>
  <c r="N13" i="3"/>
  <c r="N10" i="3"/>
  <c r="N7" i="3"/>
  <c r="O9" i="3" l="1"/>
  <c r="P9" i="3" s="1"/>
  <c r="R9" i="3" s="1"/>
  <c r="T9" i="3"/>
  <c r="Q9" i="3"/>
  <c r="Q12" i="3"/>
  <c r="T12" i="3"/>
  <c r="O12" i="3"/>
  <c r="P12" i="3" s="1"/>
  <c r="R12" i="3" s="1"/>
  <c r="T18" i="3"/>
  <c r="Q18" i="3"/>
  <c r="O18" i="3"/>
  <c r="P18" i="3" s="1"/>
  <c r="R18" i="3" s="1"/>
  <c r="N19" i="3"/>
  <c r="O19" i="3" s="1"/>
  <c r="D6" i="1"/>
  <c r="T7" i="3"/>
  <c r="Q7" i="3"/>
  <c r="O7" i="3"/>
  <c r="P7" i="3" s="1"/>
  <c r="O10" i="3"/>
  <c r="P10" i="3" s="1"/>
  <c r="R10" i="3" s="1"/>
  <c r="T10" i="3"/>
  <c r="Q10" i="3"/>
  <c r="Q13" i="3"/>
  <c r="O13" i="3"/>
  <c r="P13" i="3" s="1"/>
  <c r="R13" i="3" s="1"/>
  <c r="T13" i="3"/>
  <c r="T16" i="3"/>
  <c r="Q16" i="3"/>
  <c r="O16" i="3"/>
  <c r="P16" i="3" s="1"/>
  <c r="R16" i="3" s="1"/>
  <c r="T15" i="3"/>
  <c r="Q15" i="3"/>
  <c r="O15" i="3"/>
  <c r="P15" i="3" s="1"/>
  <c r="R15" i="3" s="1"/>
  <c r="Q11" i="3"/>
  <c r="T8" i="3"/>
  <c r="Q8" i="3"/>
  <c r="O8" i="3"/>
  <c r="P8" i="3" s="1"/>
  <c r="R8" i="3" s="1"/>
  <c r="Q14" i="3"/>
  <c r="Q17" i="3"/>
  <c r="G12" i="1" l="1"/>
  <c r="H12" i="1" s="1"/>
  <c r="R7" i="3"/>
  <c r="G11" i="1"/>
  <c r="H11" i="1" s="1"/>
  <c r="G10" i="1"/>
  <c r="H10" i="1" s="1"/>
  <c r="H13" i="1" s="1"/>
  <c r="H6" i="1"/>
  <c r="F6" i="1"/>
  <c r="C26" i="1"/>
  <c r="C21" i="1"/>
  <c r="I25" i="1"/>
  <c r="I20" i="1"/>
  <c r="H24" i="1"/>
  <c r="H19" i="1"/>
  <c r="F24" i="1"/>
  <c r="F19" i="1"/>
  <c r="F22" i="1"/>
  <c r="C27" i="1"/>
  <c r="I21" i="1"/>
  <c r="H26" i="1"/>
  <c r="F21" i="1"/>
  <c r="H25" i="1"/>
  <c r="H20" i="1"/>
  <c r="F25" i="1"/>
  <c r="F20" i="1"/>
  <c r="C20" i="1"/>
  <c r="C25" i="1"/>
  <c r="I24" i="1"/>
  <c r="I19" i="1"/>
  <c r="C24" i="1"/>
  <c r="C19" i="1"/>
  <c r="I28" i="1"/>
  <c r="I23" i="1"/>
  <c r="I18" i="1"/>
  <c r="H28" i="1"/>
  <c r="H23" i="1"/>
  <c r="H18" i="1"/>
  <c r="F28" i="1"/>
  <c r="F23" i="1"/>
  <c r="F18" i="1"/>
  <c r="C28" i="1"/>
  <c r="C23" i="1"/>
  <c r="C18" i="1"/>
  <c r="I27" i="1"/>
  <c r="I22" i="1"/>
  <c r="I17" i="1"/>
  <c r="H27" i="1"/>
  <c r="H22" i="1"/>
  <c r="H17" i="1"/>
  <c r="F27" i="1"/>
  <c r="F17" i="1"/>
  <c r="C22" i="1"/>
  <c r="C17" i="1"/>
  <c r="I26" i="1"/>
  <c r="H21" i="1"/>
  <c r="F26" i="1"/>
</calcChain>
</file>

<file path=xl/sharedStrings.xml><?xml version="1.0" encoding="utf-8"?>
<sst xmlns="http://schemas.openxmlformats.org/spreadsheetml/2006/main" count="150" uniqueCount="129">
  <si>
    <t>Lieferantenbewertung</t>
  </si>
  <si>
    <t>Management-Übersicht · Bewertungsperiode 2026</t>
  </si>
  <si>
    <t>BEWERTETE LIEFERANTEN</t>
  </si>
  <si>
    <t>Ø GESAMTNOTE</t>
  </si>
  <si>
    <t>A-LIEFERANTEN</t>
  </si>
  <si>
    <t>KRITISCH (KLASSE C)</t>
  </si>
  <si>
    <t>ABC-Klassifizierung</t>
  </si>
  <si>
    <t>Klasse</t>
  </si>
  <si>
    <t>Bedeutung</t>
  </si>
  <si>
    <t>Anzahl</t>
  </si>
  <si>
    <t>Anteil</t>
  </si>
  <si>
    <t>A</t>
  </si>
  <si>
    <t>Strategische Partner</t>
  </si>
  <si>
    <t>B</t>
  </si>
  <si>
    <t>Entwicklungsbedarf</t>
  </si>
  <si>
    <t>C</t>
  </si>
  <si>
    <t>Handlungsbedarf</t>
  </si>
  <si>
    <t>Σ</t>
  </si>
  <si>
    <t>Gesamt</t>
  </si>
  <si>
    <t>Lieferanten-Rangliste</t>
  </si>
  <si>
    <t>Rang</t>
  </si>
  <si>
    <t>Lieferant</t>
  </si>
  <si>
    <t>Warengruppe</t>
  </si>
  <si>
    <t>Note</t>
  </si>
  <si>
    <t>Kl.</t>
  </si>
  <si>
    <t>Alle Werte aktualisieren sich automatisch bei Änderungen in den Blättern »Lieferantenbewertung« und »Konfiguration«.</t>
  </si>
  <si>
    <t>Konfiguration</t>
  </si>
  <si>
    <t>Bewertungsmodell · Kriterien, Gewichtung und Klassifizierung · Stand 2026</t>
  </si>
  <si>
    <t>1   Bewertungskriterien &amp; Gewichtung</t>
  </si>
  <si>
    <t>Kriterium</t>
  </si>
  <si>
    <t>Gewichtung</t>
  </si>
  <si>
    <t>Beschreibung / Messgröße</t>
  </si>
  <si>
    <t>Typ</t>
  </si>
  <si>
    <t>Qualität</t>
  </si>
  <si>
    <t>Reklamationsquote, PPM-Fehlerrate, Ausschuss bei Wareneingang</t>
  </si>
  <si>
    <t>Hard</t>
  </si>
  <si>
    <t>Termintreue</t>
  </si>
  <si>
    <t>Anteil termingerechter Lieferungen je Bestellzeitraum</t>
  </si>
  <si>
    <t>Mengentreue</t>
  </si>
  <si>
    <t>Übereinstimmung gelieferter mit bestellter Menge</t>
  </si>
  <si>
    <t>Preis-Leistungs-Verhältnis</t>
  </si>
  <si>
    <t>Preisniveau, Preisstabilität, Zahlungskonditionen</t>
  </si>
  <si>
    <t>Service &amp; Kommunikation</t>
  </si>
  <si>
    <t>Erreichbarkeit, Reaktionszeit, Reklamationsbearbeitung</t>
  </si>
  <si>
    <t>Soft</t>
  </si>
  <si>
    <t>Flexibilität</t>
  </si>
  <si>
    <t>Reaktion auf Mengen- und Terminänderungen, Kapazität</t>
  </si>
  <si>
    <t>Nachhaltigkeit &amp; Compliance</t>
  </si>
  <si>
    <t>Zertifizierungen (ISO), ESG-Kriterien, Dokumentationstreue</t>
  </si>
  <si>
    <t>Summe</t>
  </si>
  <si>
    <t>muss 100 % ergeben</t>
  </si>
  <si>
    <t>2   Bewertungsskala (Punktevergabe je Kriterium)</t>
  </si>
  <si>
    <t>Punkte</t>
  </si>
  <si>
    <t>Bewertung</t>
  </si>
  <si>
    <t>Sehr gut</t>
  </si>
  <si>
    <t>Erwartungen deutlich übertroffen, keine Beanstandungen</t>
  </si>
  <si>
    <t>Gut</t>
  </si>
  <si>
    <t>Erwartungen vollständig erfüllt, geringe Abweichungen</t>
  </si>
  <si>
    <t>Befriedigend</t>
  </si>
  <si>
    <t>Erwartungen überwiegend erfüllt, Verbesserungspotenzial</t>
  </si>
  <si>
    <t>Ausreichend</t>
  </si>
  <si>
    <t>Erwartungen teilweise verfehlt, Maßnahmen erforderlich</t>
  </si>
  <si>
    <t>Mangelhaft</t>
  </si>
  <si>
    <t>Erwartungen nicht erfüllt, kritische Abweichungen</t>
  </si>
  <si>
    <t>3   ABC-Klassifizierung (Schwellenwerte Erfüllungsgrad)</t>
  </si>
  <si>
    <t>Grenzwert ≥</t>
  </si>
  <si>
    <t>Einordnung</t>
  </si>
  <si>
    <t>Bevorzugter Lieferant – strategische Partnerschaft ausbauen</t>
  </si>
  <si>
    <t>Lieferant mit Entwicklungsbedarf – regelmäßig überwachen</t>
  </si>
  <si>
    <t>Kritischer Lieferant – Eskalation / Alternativen prüfen</t>
  </si>
  <si>
    <t>Hinweis: Farbig hinterlegte Werte sind frei anpassbar. Änderungen an Gewichtung und Schwellenwerten wirken automatisch auf »Lieferantenbewertung« und »Übersicht«.</t>
  </si>
  <si>
    <t>Bewertungsmatrix · Scoring-Modell mit gewichteten Kriterien · Bewertungsperiode 2026 · Skala 1–5</t>
  </si>
  <si>
    <t>Nr.</t>
  </si>
  <si>
    <t>Ansprechpartner</t>
  </si>
  <si>
    <t>Letzte
Bewertung</t>
  </si>
  <si>
    <t>Termin-
treue</t>
  </si>
  <si>
    <t>Mengen-
treue</t>
  </si>
  <si>
    <t>Preis-
Leistung</t>
  </si>
  <si>
    <t>Service &amp;
Kommun.</t>
  </si>
  <si>
    <t>Flexi-
bilität</t>
  </si>
  <si>
    <t>Nachhalt.
&amp; Compl.</t>
  </si>
  <si>
    <t>Gesamt-
note</t>
  </si>
  <si>
    <t>Erfüllungs-
grad</t>
  </si>
  <si>
    <t>Empfohlene Maßnahme</t>
  </si>
  <si>
    <t>Nordwind Komponenten GmbH</t>
  </si>
  <si>
    <t>Mechanische Bauteile</t>
  </si>
  <si>
    <t>Frau Petra Wolters</t>
  </si>
  <si>
    <t>2026-02-12</t>
  </si>
  <si>
    <t>Vogtland Elektronik GmbH</t>
  </si>
  <si>
    <t>Elektronik</t>
  </si>
  <si>
    <t>Frau Claudia Mertens</t>
  </si>
  <si>
    <t>2026-02-20</t>
  </si>
  <si>
    <t>Hanseatic Kunststoff GmbH</t>
  </si>
  <si>
    <t>Verpackung</t>
  </si>
  <si>
    <t>Frau Anke Vogel</t>
  </si>
  <si>
    <t>2026-03-04</t>
  </si>
  <si>
    <t>Bergmann Präzisionstechnik</t>
  </si>
  <si>
    <t>Herr Martin Köhler</t>
  </si>
  <si>
    <t>2026-01-28</t>
  </si>
  <si>
    <t>Rheintal Industriebedarf AG</t>
  </si>
  <si>
    <t>Rohstoffe</t>
  </si>
  <si>
    <t>Frau Sabine Reuter</t>
  </si>
  <si>
    <t>2026-03-11</t>
  </si>
  <si>
    <t>Lindner Logistik &amp; Service</t>
  </si>
  <si>
    <t>Logistikdienstleistung</t>
  </si>
  <si>
    <t>Frau Nicole Brandt</t>
  </si>
  <si>
    <t>2026-02-26</t>
  </si>
  <si>
    <t>Aurum Verpackungen GmbH</t>
  </si>
  <si>
    <t>Herr Andreas Lohmann</t>
  </si>
  <si>
    <t>2026-03-18</t>
  </si>
  <si>
    <t>Falkner Maschinenbau</t>
  </si>
  <si>
    <t>Frau Julia Hoffmann</t>
  </si>
  <si>
    <t>2026-02-05</t>
  </si>
  <si>
    <t>Stahlwerk Hellmann KG</t>
  </si>
  <si>
    <t>Herr Thomas Bauer</t>
  </si>
  <si>
    <t>2026-01-22</t>
  </si>
  <si>
    <t>Alpenquell Betriebsstoffe</t>
  </si>
  <si>
    <t>Betriebsstoffe</t>
  </si>
  <si>
    <t>Herr Markus Engel</t>
  </si>
  <si>
    <t>2026-03-25</t>
  </si>
  <si>
    <t>Donaubogen Chemie GmbH</t>
  </si>
  <si>
    <t>Chemie</t>
  </si>
  <si>
    <t>Herr Stefan Albrecht</t>
  </si>
  <si>
    <t>2026-02-17</t>
  </si>
  <si>
    <t>Westfalia Rohstoffe GmbH</t>
  </si>
  <si>
    <t>Herr Dirk Sanders</t>
  </si>
  <si>
    <t>2026-03-09</t>
  </si>
  <si>
    <t>Portfolio-Durchschnitt</t>
  </si>
  <si>
    <t>Bewertung:  5 Sehr gut   ·   4 Gut   ·   3 Befriedigend   ·   2 Ausreichend   ·   1 Mangelhaft        Klasse:  A ≥ 80 %   ·   B ≥ 60 %   ·   C &lt; 60 %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</si>
</sst>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dd\.mm\.yyyy"/>
    <numFmt numFmtId="166" formatCode="0.00000"/>
    <numFmt numFmtId="167" formatCode="0.0"/>
  </numFmts>
  <fonts count="24" x14ac:knownFonts="1">
    <font>
      <sz val="11"/>
      <color theme="1"/>
      <name val="Calibri"/>
      <family val="2"/>
      <charset val="1"/>
    </font>
    <font>
      <sz val="10"/>
      <color rgb="FF7A8B9A"/>
      <name val="Calibri"/>
      <charset val="1"/>
    </font>
    <font>
      <b/>
      <sz val="8"/>
      <color rgb="FF7A8B9A"/>
      <name val="Calibri"/>
      <charset val="1"/>
    </font>
    <font>
      <b/>
      <sz val="26"/>
      <color rgb="FF2B4257"/>
      <name val="Calibri"/>
      <charset val="1"/>
    </font>
    <font>
      <b/>
      <sz val="11"/>
      <color rgb="FF2B4257"/>
      <name val="Calibri"/>
      <charset val="1"/>
    </font>
    <font>
      <b/>
      <sz val="9"/>
      <color rgb="FFFFFFFF"/>
      <name val="Calibri"/>
      <charset val="1"/>
    </font>
    <font>
      <b/>
      <sz val="11"/>
      <color rgb="FF2F7A4D"/>
      <name val="Calibri"/>
      <charset val="1"/>
    </font>
    <font>
      <sz val="9.5"/>
      <color rgb="FF1C2B39"/>
      <name val="Calibri"/>
      <charset val="1"/>
    </font>
    <font>
      <b/>
      <sz val="10"/>
      <color rgb="FF1C2B39"/>
      <name val="Calibri"/>
      <charset val="1"/>
    </font>
    <font>
      <b/>
      <sz val="11"/>
      <color rgb="FF9A741B"/>
      <name val="Calibri"/>
      <charset val="1"/>
    </font>
    <font>
      <b/>
      <sz val="11"/>
      <color rgb="FFA33A3A"/>
      <name val="Calibri"/>
      <charset val="1"/>
    </font>
    <font>
      <b/>
      <sz val="9.5"/>
      <color rgb="FF1C2B39"/>
      <name val="Calibri"/>
      <charset val="1"/>
    </font>
    <font>
      <b/>
      <sz val="10"/>
      <color rgb="FF2B4257"/>
      <name val="Calibri"/>
      <charset val="1"/>
    </font>
    <font>
      <sz val="9"/>
      <color rgb="FF7A8B9A"/>
      <name val="Calibri"/>
      <charset val="1"/>
    </font>
    <font>
      <i/>
      <sz val="8.5"/>
      <color rgb="FF7A8B9A"/>
      <name val="Calibri"/>
      <charset val="1"/>
    </font>
    <font>
      <b/>
      <sz val="17"/>
      <color rgb="FF1C2B39"/>
      <name val="Calibri"/>
      <charset val="1"/>
    </font>
    <font>
      <sz val="9.5"/>
      <color rgb="FF7A8B9A"/>
      <name val="Calibri"/>
      <charset val="1"/>
    </font>
    <font>
      <b/>
      <sz val="9"/>
      <color rgb="FF7A8B9A"/>
      <name val="Calibri"/>
      <charset val="1"/>
    </font>
    <font>
      <i/>
      <sz val="9"/>
      <color rgb="FF7A8B9A"/>
      <name val="Calibri"/>
      <charset val="1"/>
    </font>
    <font>
      <b/>
      <sz val="8.5"/>
      <color rgb="FFFFFFFF"/>
      <name val="Calibri"/>
      <charset val="1"/>
    </font>
    <font>
      <b/>
      <sz val="8"/>
      <color rgb="FFFFFFFF"/>
      <name val="Calibri"/>
      <charset val="1"/>
    </font>
    <font>
      <sz val="10"/>
      <color rgb="FF1C2B39"/>
      <name val="Calibri"/>
      <charset val="1"/>
    </font>
    <font>
      <sz val="8.5"/>
      <color rgb="FF7A8B9A"/>
      <name val="Calibri"/>
      <charset val="1"/>
    </font>
    <font>
      <b/>
      <sz val="22"/>
      <color rgb="FF1C2B3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2B4257"/>
        <bgColor rgb="FF1C2B39"/>
      </patternFill>
    </fill>
    <fill>
      <patternFill patternType="solid">
        <fgColor rgb="FFE6F0EA"/>
        <bgColor rgb="FFF4EEDD"/>
      </patternFill>
    </fill>
    <fill>
      <patternFill patternType="solid">
        <fgColor rgb="FFFFFFFF"/>
        <bgColor rgb="FFF7F9FB"/>
      </patternFill>
    </fill>
    <fill>
      <patternFill patternType="solid">
        <fgColor rgb="FFF4EEDD"/>
        <bgColor rgb="FFF4E3E3"/>
      </patternFill>
    </fill>
    <fill>
      <patternFill patternType="solid">
        <fgColor rgb="FFF7F9FB"/>
        <bgColor rgb="FFFFFFFF"/>
      </patternFill>
    </fill>
    <fill>
      <patternFill patternType="solid">
        <fgColor rgb="FFF4E3E3"/>
        <bgColor rgb="FFF4EEDD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2B4257"/>
      </bottom>
      <diagonal/>
    </border>
    <border>
      <left/>
      <right/>
      <top style="medium">
        <color rgb="FF2B4257"/>
      </top>
      <bottom/>
      <diagonal/>
    </border>
    <border>
      <left/>
      <right/>
      <top/>
      <bottom style="thin">
        <color rgb="FFD7DEE5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2B4257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D7DEE5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1" fillId="4" borderId="3" xfId="0" applyFont="1" applyFill="1" applyBorder="1" applyAlignment="1">
      <alignment horizontal="left" vertical="center" wrapText="1" indent="1"/>
    </xf>
    <xf numFmtId="9" fontId="8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 indent="1"/>
    </xf>
    <xf numFmtId="164" fontId="1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 indent="1"/>
    </xf>
    <xf numFmtId="164" fontId="1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2" fontId="8" fillId="6" borderId="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9" fontId="12" fillId="4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wrapText="1"/>
    </xf>
    <xf numFmtId="9" fontId="12" fillId="6" borderId="3" xfId="0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9" fontId="8" fillId="0" borderId="3" xfId="0" applyNumberFormat="1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9" fontId="2" fillId="6" borderId="7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164" fontId="2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6" fontId="0" fillId="0" borderId="0" xfId="0" applyNumberFormat="1"/>
    <xf numFmtId="0" fontId="13" fillId="6" borderId="3" xfId="0" applyFont="1" applyFill="1" applyBorder="1" applyAlignment="1">
      <alignment horizontal="center" vertical="center"/>
    </xf>
    <xf numFmtId="165" fontId="13" fillId="6" borderId="3" xfId="0" applyNumberFormat="1" applyFont="1" applyFill="1" applyBorder="1" applyAlignment="1">
      <alignment horizontal="center" vertical="center"/>
    </xf>
    <xf numFmtId="1" fontId="8" fillId="6" borderId="3" xfId="0" applyNumberFormat="1" applyFont="1" applyFill="1" applyBorder="1" applyAlignment="1">
      <alignment horizontal="center" vertical="center"/>
    </xf>
    <xf numFmtId="2" fontId="4" fillId="6" borderId="3" xfId="0" applyNumberFormat="1" applyFont="1" applyFill="1" applyBorder="1" applyAlignment="1">
      <alignment horizontal="center" vertical="center"/>
    </xf>
    <xf numFmtId="164" fontId="21" fillId="6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67" fontId="17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13" fillId="4" borderId="3" xfId="0" applyFont="1" applyFill="1" applyBorder="1" applyAlignment="1">
      <alignment horizontal="left" vertical="center" wrapText="1" indent="1"/>
    </xf>
    <xf numFmtId="0" fontId="11" fillId="6" borderId="3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1">
    <cellStyle name="Standard" xfId="0" builtinId="0"/>
  </cellStyles>
  <dxfs count="9">
    <dxf>
      <font>
        <b/>
        <color rgb="FFA33A3A"/>
        <name val="Calibri"/>
        <charset val="1"/>
      </font>
      <fill>
        <patternFill>
          <bgColor rgb="FFF4E3E3"/>
        </patternFill>
      </fill>
    </dxf>
    <dxf>
      <font>
        <b/>
        <color rgb="FF9A741B"/>
        <name val="Calibri"/>
        <charset val="1"/>
      </font>
      <fill>
        <patternFill>
          <bgColor rgb="FFF4EEDD"/>
        </patternFill>
      </fill>
    </dxf>
    <dxf>
      <font>
        <b/>
        <color rgb="FF2F7A4D"/>
        <name val="Calibri"/>
        <charset val="1"/>
      </font>
      <fill>
        <patternFill>
          <bgColor rgb="FFE6F0EA"/>
        </patternFill>
      </fill>
    </dxf>
    <dxf>
      <font>
        <b/>
        <color rgb="FFA33A3A"/>
        <name val="Calibri"/>
        <charset val="1"/>
      </font>
    </dxf>
    <dxf>
      <font>
        <b/>
        <color rgb="FF9A741B"/>
        <name val="Calibri"/>
        <charset val="1"/>
      </font>
    </dxf>
    <dxf>
      <font>
        <b/>
        <color rgb="FF2F7A4D"/>
        <name val="Calibri"/>
        <charset val="1"/>
      </font>
    </dxf>
    <dxf>
      <font>
        <b/>
        <color rgb="FFA33A3A"/>
        <name val="Calibri"/>
        <charset val="1"/>
      </font>
      <fill>
        <patternFill>
          <bgColor rgb="FFF4E3E3"/>
        </patternFill>
      </fill>
    </dxf>
    <dxf>
      <font>
        <b/>
        <color rgb="FF9A741B"/>
        <name val="Calibri"/>
        <charset val="1"/>
      </font>
      <fill>
        <patternFill>
          <bgColor rgb="FFF4EEDD"/>
        </patternFill>
      </fill>
    </dxf>
    <dxf>
      <font>
        <b/>
        <color rgb="FF2F7A4D"/>
        <name val="Calibri"/>
        <charset val="1"/>
      </font>
      <fill>
        <patternFill>
          <bgColor rgb="FFE6F0E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741B"/>
      <rgbColor rgb="FF800080"/>
      <rgbColor rgb="FF008080"/>
      <rgbColor rgb="FFC0C0C0"/>
      <rgbColor rgb="FF7A8B9A"/>
      <rgbColor rgb="FF9999FF"/>
      <rgbColor rgb="FFA33A3A"/>
      <rgbColor rgb="FFF4EEDD"/>
      <rgbColor rgb="FFE6F0EA"/>
      <rgbColor rgb="FF660066"/>
      <rgbColor rgb="FFFF8080"/>
      <rgbColor rgb="FF0066CC"/>
      <rgbColor rgb="FFD7DE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9FB"/>
      <rgbColor rgb="FFCCFFCC"/>
      <rgbColor rgb="FFFFFF99"/>
      <rgbColor rgb="FF99CCFF"/>
      <rgbColor rgb="FFFF99CC"/>
      <rgbColor rgb="FFCC99FF"/>
      <rgbColor rgb="FFF4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F7A4D"/>
      <rgbColor rgb="FF003300"/>
      <rgbColor rgb="FF333300"/>
      <rgbColor rgb="FF993300"/>
      <rgbColor rgb="FF993366"/>
      <rgbColor rgb="FF2B4257"/>
      <rgbColor rgb="FF1C2B3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0"/>
  <sheetViews>
    <sheetView showGridLines="0" tabSelected="1" topLeftCell="A3" zoomScaleNormal="100" workbookViewId="0">
      <selection activeCell="Y44" sqref="Y44"/>
    </sheetView>
  </sheetViews>
  <sheetFormatPr baseColWidth="10" defaultColWidth="8.7109375" defaultRowHeight="15" x14ac:dyDescent="0.25"/>
  <cols>
    <col min="1" max="1" width="2" customWidth="1"/>
    <col min="2" max="6" width="9" customWidth="1"/>
    <col min="7" max="7" width="13.85546875" customWidth="1"/>
    <col min="8" max="9" width="9" customWidth="1"/>
    <col min="10" max="10" width="2" customWidth="1"/>
  </cols>
  <sheetData>
    <row r="2" spans="2:9" ht="27.75" customHeight="1" x14ac:dyDescent="0.25">
      <c r="B2" s="75" t="s">
        <v>0</v>
      </c>
      <c r="C2" s="75"/>
      <c r="D2" s="75"/>
      <c r="E2" s="75"/>
      <c r="F2" s="75"/>
      <c r="G2" s="75"/>
      <c r="H2" s="75"/>
      <c r="I2" s="75"/>
    </row>
    <row r="3" spans="2:9" ht="19.5" customHeight="1" x14ac:dyDescent="0.25">
      <c r="B3" s="13" t="s">
        <v>1</v>
      </c>
      <c r="C3" s="13"/>
      <c r="D3" s="13"/>
      <c r="E3" s="13"/>
      <c r="F3" s="13"/>
      <c r="G3" s="13"/>
      <c r="H3" s="13"/>
      <c r="I3" s="13"/>
    </row>
    <row r="5" spans="2:9" ht="18" customHeight="1" x14ac:dyDescent="0.25">
      <c r="B5" s="12" t="s">
        <v>2</v>
      </c>
      <c r="C5" s="12"/>
      <c r="D5" s="12" t="s">
        <v>3</v>
      </c>
      <c r="E5" s="12"/>
      <c r="F5" s="12" t="s">
        <v>4</v>
      </c>
      <c r="G5" s="12"/>
      <c r="H5" s="12" t="s">
        <v>5</v>
      </c>
      <c r="I5" s="12"/>
    </row>
    <row r="6" spans="2:9" ht="39.75" customHeight="1" x14ac:dyDescent="0.25">
      <c r="B6" s="11">
        <f>COUNTA(Lieferantenbewertung!$C$7:$C$18)</f>
        <v>12</v>
      </c>
      <c r="C6" s="11"/>
      <c r="D6" s="10">
        <f>AVERAGE(Lieferantenbewertung!$N$7:$N$18)</f>
        <v>3.617500000000001</v>
      </c>
      <c r="E6" s="10"/>
      <c r="F6" s="11">
        <f>COUNTIF(Lieferantenbewertung!$P$7:$P$18,"A")</f>
        <v>4</v>
      </c>
      <c r="G6" s="11"/>
      <c r="H6" s="11">
        <f>COUNTIF(Lieferantenbewertung!$P$7:$P$18,"C")</f>
        <v>2</v>
      </c>
      <c r="I6" s="11"/>
    </row>
    <row r="7" spans="2:9" ht="9.75" customHeight="1" x14ac:dyDescent="0.25"/>
    <row r="8" spans="2:9" ht="21" customHeight="1" x14ac:dyDescent="0.25">
      <c r="B8" s="9" t="s">
        <v>6</v>
      </c>
      <c r="C8" s="9"/>
      <c r="D8" s="9"/>
      <c r="E8" s="9"/>
      <c r="F8" s="9"/>
      <c r="G8" s="9"/>
      <c r="H8" s="9"/>
      <c r="I8" s="9"/>
    </row>
    <row r="9" spans="2:9" ht="15" customHeight="1" x14ac:dyDescent="0.25">
      <c r="B9" s="14" t="s">
        <v>7</v>
      </c>
      <c r="C9" s="8" t="s">
        <v>8</v>
      </c>
      <c r="D9" s="8"/>
      <c r="E9" s="8"/>
      <c r="F9" s="8"/>
      <c r="G9" s="14" t="s">
        <v>9</v>
      </c>
      <c r="H9" s="8" t="s">
        <v>10</v>
      </c>
      <c r="I9" s="8"/>
    </row>
    <row r="10" spans="2:9" ht="22.5" customHeight="1" x14ac:dyDescent="0.25">
      <c r="B10" s="15" t="s">
        <v>11</v>
      </c>
      <c r="C10" s="7" t="s">
        <v>12</v>
      </c>
      <c r="D10" s="7"/>
      <c r="E10" s="7"/>
      <c r="F10" s="7"/>
      <c r="G10" s="16">
        <f>COUNTIF(Lieferantenbewertung!$P$7:$P$18,"A")</f>
        <v>4</v>
      </c>
      <c r="H10" s="6">
        <f>G10/COUNTA(Lieferantenbewertung!$C$7:$C$18)</f>
        <v>0.33333333333333331</v>
      </c>
      <c r="I10" s="6"/>
    </row>
    <row r="11" spans="2:9" ht="22.5" customHeight="1" x14ac:dyDescent="0.25">
      <c r="B11" s="17" t="s">
        <v>13</v>
      </c>
      <c r="C11" s="5" t="s">
        <v>14</v>
      </c>
      <c r="D11" s="5"/>
      <c r="E11" s="5"/>
      <c r="F11" s="5"/>
      <c r="G11" s="18">
        <f>COUNTIF(Lieferantenbewertung!$P$7:$P$18,"B")</f>
        <v>6</v>
      </c>
      <c r="H11" s="4">
        <f>G11/COUNTA(Lieferantenbewertung!$C$7:$C$18)</f>
        <v>0.5</v>
      </c>
      <c r="I11" s="4"/>
    </row>
    <row r="12" spans="2:9" ht="22.5" customHeight="1" x14ac:dyDescent="0.25">
      <c r="B12" s="19" t="s">
        <v>15</v>
      </c>
      <c r="C12" s="7" t="s">
        <v>16</v>
      </c>
      <c r="D12" s="7"/>
      <c r="E12" s="7"/>
      <c r="F12" s="7"/>
      <c r="G12" s="16">
        <f>COUNTIF(Lieferantenbewertung!$P$7:$P$18,"C")</f>
        <v>2</v>
      </c>
      <c r="H12" s="6">
        <f>G12/COUNTA(Lieferantenbewertung!$C$7:$C$18)</f>
        <v>0.16666666666666666</v>
      </c>
      <c r="I12" s="6"/>
    </row>
    <row r="13" spans="2:9" ht="15" customHeight="1" x14ac:dyDescent="0.25">
      <c r="B13" s="20" t="s">
        <v>17</v>
      </c>
      <c r="C13" s="3" t="s">
        <v>18</v>
      </c>
      <c r="D13" s="3"/>
      <c r="E13" s="3"/>
      <c r="F13" s="3"/>
      <c r="G13" s="20">
        <f>COUNTA(Lieferantenbewertung!$C$7:$C$18)</f>
        <v>12</v>
      </c>
      <c r="H13" s="2">
        <f>SUM(H10:H12)</f>
        <v>0.99999999999999989</v>
      </c>
      <c r="I13" s="2"/>
    </row>
    <row r="15" spans="2:9" ht="21" customHeight="1" x14ac:dyDescent="0.25">
      <c r="B15" s="9" t="s">
        <v>19</v>
      </c>
      <c r="C15" s="9"/>
      <c r="D15" s="9"/>
      <c r="E15" s="9"/>
      <c r="F15" s="9"/>
      <c r="G15" s="9"/>
      <c r="H15" s="9"/>
      <c r="I15" s="9"/>
    </row>
    <row r="16" spans="2:9" ht="15" customHeight="1" x14ac:dyDescent="0.25">
      <c r="B16" s="14" t="s">
        <v>20</v>
      </c>
      <c r="C16" s="8" t="s">
        <v>21</v>
      </c>
      <c r="D16" s="8"/>
      <c r="E16" s="8"/>
      <c r="F16" s="8" t="s">
        <v>22</v>
      </c>
      <c r="G16" s="8"/>
      <c r="H16" s="14" t="s">
        <v>23</v>
      </c>
      <c r="I16" s="14" t="s">
        <v>24</v>
      </c>
    </row>
    <row r="17" spans="2:9" ht="19.5" customHeight="1" x14ac:dyDescent="0.25">
      <c r="B17" s="22">
        <v>1</v>
      </c>
      <c r="C17" s="1" t="str">
        <f>INDEX(Lieferantenbewertung!$C$7:$C$18,MATCH(LARGE(Lieferantenbewertung!$T$7:$T$18,1),Lieferantenbewertung!$T$7:$T$18,0))</f>
        <v>Nordwind Komponenten GmbH</v>
      </c>
      <c r="D17" s="1"/>
      <c r="E17" s="1"/>
      <c r="F17" s="61" t="str">
        <f>INDEX(Lieferantenbewertung!$D$7:$D$18,MATCH(LARGE(Lieferantenbewertung!$T$7:$T$18,1),Lieferantenbewertung!$T$7:$T$18,0))</f>
        <v>Mechanische Bauteile</v>
      </c>
      <c r="G17" s="61"/>
      <c r="H17" s="23">
        <f>INDEX(Lieferantenbewertung!$N$7:$N$18,MATCH(LARGE(Lieferantenbewertung!$T$7:$T$18,1),Lieferantenbewertung!$T$7:$T$18,0))</f>
        <v>4.5500000000000007</v>
      </c>
      <c r="I17" s="16" t="str">
        <f>INDEX(Lieferantenbewertung!$P$7:$P$18,MATCH(LARGE(Lieferantenbewertung!$T$7:$T$18,1),Lieferantenbewertung!$T$7:$T$18,0))</f>
        <v>A</v>
      </c>
    </row>
    <row r="18" spans="2:9" ht="19.5" customHeight="1" x14ac:dyDescent="0.25">
      <c r="B18" s="24">
        <v>2</v>
      </c>
      <c r="C18" s="62" t="str">
        <f>INDEX(Lieferantenbewertung!$C$7:$C$18,MATCH(LARGE(Lieferantenbewertung!$T$7:$T$18,2),Lieferantenbewertung!$T$7:$T$18,0))</f>
        <v>Vogtland Elektronik GmbH</v>
      </c>
      <c r="D18" s="62"/>
      <c r="E18" s="62"/>
      <c r="F18" s="63" t="str">
        <f>INDEX(Lieferantenbewertung!$D$7:$D$18,MATCH(LARGE(Lieferantenbewertung!$T$7:$T$18,2),Lieferantenbewertung!$T$7:$T$18,0))</f>
        <v>Elektronik</v>
      </c>
      <c r="G18" s="63"/>
      <c r="H18" s="25">
        <f>INDEX(Lieferantenbewertung!$N$7:$N$18,MATCH(LARGE(Lieferantenbewertung!$T$7:$T$18,2),Lieferantenbewertung!$T$7:$T$18,0))</f>
        <v>4.4300000000000006</v>
      </c>
      <c r="I18" s="18" t="str">
        <f>INDEX(Lieferantenbewertung!$P$7:$P$18,MATCH(LARGE(Lieferantenbewertung!$T$7:$T$18,2),Lieferantenbewertung!$T$7:$T$18,0))</f>
        <v>A</v>
      </c>
    </row>
    <row r="19" spans="2:9" ht="19.5" customHeight="1" x14ac:dyDescent="0.25">
      <c r="B19" s="22">
        <v>3</v>
      </c>
      <c r="C19" s="1" t="str">
        <f>INDEX(Lieferantenbewertung!$C$7:$C$18,MATCH(LARGE(Lieferantenbewertung!$T$7:$T$18,3),Lieferantenbewertung!$T$7:$T$18,0))</f>
        <v>Hanseatic Kunststoff GmbH</v>
      </c>
      <c r="D19" s="1"/>
      <c r="E19" s="1"/>
      <c r="F19" s="61" t="str">
        <f>INDEX(Lieferantenbewertung!$D$7:$D$18,MATCH(LARGE(Lieferantenbewertung!$T$7:$T$18,3),Lieferantenbewertung!$T$7:$T$18,0))</f>
        <v>Verpackung</v>
      </c>
      <c r="G19" s="61"/>
      <c r="H19" s="23">
        <f>INDEX(Lieferantenbewertung!$N$7:$N$18,MATCH(LARGE(Lieferantenbewertung!$T$7:$T$18,3),Lieferantenbewertung!$T$7:$T$18,0))</f>
        <v>4.2699999999999996</v>
      </c>
      <c r="I19" s="16" t="str">
        <f>INDEX(Lieferantenbewertung!$P$7:$P$18,MATCH(LARGE(Lieferantenbewertung!$T$7:$T$18,3),Lieferantenbewertung!$T$7:$T$18,0))</f>
        <v>A</v>
      </c>
    </row>
    <row r="20" spans="2:9" ht="19.5" customHeight="1" x14ac:dyDescent="0.25">
      <c r="B20" s="24">
        <v>4</v>
      </c>
      <c r="C20" s="62" t="str">
        <f>INDEX(Lieferantenbewertung!$C$7:$C$18,MATCH(LARGE(Lieferantenbewertung!$T$7:$T$18,4),Lieferantenbewertung!$T$7:$T$18,0))</f>
        <v>Bergmann Präzisionstechnik</v>
      </c>
      <c r="D20" s="62"/>
      <c r="E20" s="62"/>
      <c r="F20" s="63" t="str">
        <f>INDEX(Lieferantenbewertung!$D$7:$D$18,MATCH(LARGE(Lieferantenbewertung!$T$7:$T$18,4),Lieferantenbewertung!$T$7:$T$18,0))</f>
        <v>Mechanische Bauteile</v>
      </c>
      <c r="G20" s="63"/>
      <c r="H20" s="25">
        <f>INDEX(Lieferantenbewertung!$N$7:$N$18,MATCH(LARGE(Lieferantenbewertung!$T$7:$T$18,4),Lieferantenbewertung!$T$7:$T$18,0))</f>
        <v>4.08</v>
      </c>
      <c r="I20" s="18" t="str">
        <f>INDEX(Lieferantenbewertung!$P$7:$P$18,MATCH(LARGE(Lieferantenbewertung!$T$7:$T$18,4),Lieferantenbewertung!$T$7:$T$18,0))</f>
        <v>A</v>
      </c>
    </row>
    <row r="21" spans="2:9" ht="19.5" customHeight="1" x14ac:dyDescent="0.25">
      <c r="B21" s="22">
        <v>5</v>
      </c>
      <c r="C21" s="1" t="str">
        <f>INDEX(Lieferantenbewertung!$C$7:$C$18,MATCH(LARGE(Lieferantenbewertung!$T$7:$T$18,5),Lieferantenbewertung!$T$7:$T$18,0))</f>
        <v>Rheintal Industriebedarf AG</v>
      </c>
      <c r="D21" s="1"/>
      <c r="E21" s="1"/>
      <c r="F21" s="61" t="str">
        <f>INDEX(Lieferantenbewertung!$D$7:$D$18,MATCH(LARGE(Lieferantenbewertung!$T$7:$T$18,5),Lieferantenbewertung!$T$7:$T$18,0))</f>
        <v>Rohstoffe</v>
      </c>
      <c r="G21" s="61"/>
      <c r="H21" s="23">
        <f>INDEX(Lieferantenbewertung!$N$7:$N$18,MATCH(LARGE(Lieferantenbewertung!$T$7:$T$18,5),Lieferantenbewertung!$T$7:$T$18,0))</f>
        <v>3.92</v>
      </c>
      <c r="I21" s="16" t="str">
        <f>INDEX(Lieferantenbewertung!$P$7:$P$18,MATCH(LARGE(Lieferantenbewertung!$T$7:$T$18,5),Lieferantenbewertung!$T$7:$T$18,0))</f>
        <v>B</v>
      </c>
    </row>
    <row r="22" spans="2:9" ht="19.5" customHeight="1" x14ac:dyDescent="0.25">
      <c r="B22" s="24">
        <v>6</v>
      </c>
      <c r="C22" s="62" t="str">
        <f>INDEX(Lieferantenbewertung!$C$7:$C$18,MATCH(LARGE(Lieferantenbewertung!$T$7:$T$18,6),Lieferantenbewertung!$T$7:$T$18,0))</f>
        <v>Aurum Verpackungen GmbH</v>
      </c>
      <c r="D22" s="62"/>
      <c r="E22" s="62"/>
      <c r="F22" s="63" t="str">
        <f>INDEX(Lieferantenbewertung!$D$7:$D$18,MATCH(LARGE(Lieferantenbewertung!$T$7:$T$18,6),Lieferantenbewertung!$T$7:$T$18,0))</f>
        <v>Verpackung</v>
      </c>
      <c r="G22" s="63"/>
      <c r="H22" s="25">
        <f>INDEX(Lieferantenbewertung!$N$7:$N$18,MATCH(LARGE(Lieferantenbewertung!$T$7:$T$18,6),Lieferantenbewertung!$T$7:$T$18,0))</f>
        <v>3.6299999999999994</v>
      </c>
      <c r="I22" s="18" t="str">
        <f>INDEX(Lieferantenbewertung!$P$7:$P$18,MATCH(LARGE(Lieferantenbewertung!$T$7:$T$18,6),Lieferantenbewertung!$T$7:$T$18,0))</f>
        <v>B</v>
      </c>
    </row>
    <row r="23" spans="2:9" ht="19.5" customHeight="1" x14ac:dyDescent="0.25">
      <c r="B23" s="22">
        <v>7</v>
      </c>
      <c r="C23" s="1" t="str">
        <f>INDEX(Lieferantenbewertung!$C$7:$C$18,MATCH(LARGE(Lieferantenbewertung!$T$7:$T$18,7),Lieferantenbewertung!$T$7:$T$18,0))</f>
        <v>Falkner Maschinenbau</v>
      </c>
      <c r="D23" s="1"/>
      <c r="E23" s="1"/>
      <c r="F23" s="61" t="str">
        <f>INDEX(Lieferantenbewertung!$D$7:$D$18,MATCH(LARGE(Lieferantenbewertung!$T$7:$T$18,7),Lieferantenbewertung!$T$7:$T$18,0))</f>
        <v>Mechanische Bauteile</v>
      </c>
      <c r="G23" s="61"/>
      <c r="H23" s="23">
        <f>INDEX(Lieferantenbewertung!$N$7:$N$18,MATCH(LARGE(Lieferantenbewertung!$T$7:$T$18,7),Lieferantenbewertung!$T$7:$T$18,0))</f>
        <v>3.55</v>
      </c>
      <c r="I23" s="16" t="str">
        <f>INDEX(Lieferantenbewertung!$P$7:$P$18,MATCH(LARGE(Lieferantenbewertung!$T$7:$T$18,7),Lieferantenbewertung!$T$7:$T$18,0))</f>
        <v>B</v>
      </c>
    </row>
    <row r="24" spans="2:9" ht="19.5" customHeight="1" x14ac:dyDescent="0.25">
      <c r="B24" s="24">
        <v>8</v>
      </c>
      <c r="C24" s="62" t="str">
        <f>INDEX(Lieferantenbewertung!$C$7:$C$18,MATCH(LARGE(Lieferantenbewertung!$T$7:$T$18,8),Lieferantenbewertung!$T$7:$T$18,0))</f>
        <v>Lindner Logistik &amp; Service</v>
      </c>
      <c r="D24" s="62"/>
      <c r="E24" s="62"/>
      <c r="F24" s="63" t="str">
        <f>INDEX(Lieferantenbewertung!$D$7:$D$18,MATCH(LARGE(Lieferantenbewertung!$T$7:$T$18,8),Lieferantenbewertung!$T$7:$T$18,0))</f>
        <v>Logistikdienstleistung</v>
      </c>
      <c r="G24" s="63"/>
      <c r="H24" s="25">
        <f>INDEX(Lieferantenbewertung!$N$7:$N$18,MATCH(LARGE(Lieferantenbewertung!$T$7:$T$18,8),Lieferantenbewertung!$T$7:$T$18,0))</f>
        <v>3.48</v>
      </c>
      <c r="I24" s="18" t="str">
        <f>INDEX(Lieferantenbewertung!$P$7:$P$18,MATCH(LARGE(Lieferantenbewertung!$T$7:$T$18,8),Lieferantenbewertung!$T$7:$T$18,0))</f>
        <v>B</v>
      </c>
    </row>
    <row r="25" spans="2:9" ht="19.5" customHeight="1" x14ac:dyDescent="0.25">
      <c r="B25" s="22">
        <v>9</v>
      </c>
      <c r="C25" s="1" t="str">
        <f>INDEX(Lieferantenbewertung!$C$7:$C$18,MATCH(LARGE(Lieferantenbewertung!$T$7:$T$18,9),Lieferantenbewertung!$T$7:$T$18,0))</f>
        <v>Stahlwerk Hellmann KG</v>
      </c>
      <c r="D25" s="1"/>
      <c r="E25" s="1"/>
      <c r="F25" s="61" t="str">
        <f>INDEX(Lieferantenbewertung!$D$7:$D$18,MATCH(LARGE(Lieferantenbewertung!$T$7:$T$18,9),Lieferantenbewertung!$T$7:$T$18,0))</f>
        <v>Rohstoffe</v>
      </c>
      <c r="G25" s="61"/>
      <c r="H25" s="23">
        <f>INDEX(Lieferantenbewertung!$N$7:$N$18,MATCH(LARGE(Lieferantenbewertung!$T$7:$T$18,9),Lieferantenbewertung!$T$7:$T$18,0))</f>
        <v>3.23</v>
      </c>
      <c r="I25" s="16" t="str">
        <f>INDEX(Lieferantenbewertung!$P$7:$P$18,MATCH(LARGE(Lieferantenbewertung!$T$7:$T$18,9),Lieferantenbewertung!$T$7:$T$18,0))</f>
        <v>B</v>
      </c>
    </row>
    <row r="26" spans="2:9" ht="19.5" customHeight="1" x14ac:dyDescent="0.25">
      <c r="B26" s="24">
        <v>10</v>
      </c>
      <c r="C26" s="62" t="str">
        <f>INDEX(Lieferantenbewertung!$C$7:$C$18,MATCH(LARGE(Lieferantenbewertung!$T$7:$T$18,10),Lieferantenbewertung!$T$7:$T$18,0))</f>
        <v>Alpenquell Betriebsstoffe</v>
      </c>
      <c r="D26" s="62"/>
      <c r="E26" s="62"/>
      <c r="F26" s="63" t="str">
        <f>INDEX(Lieferantenbewertung!$D$7:$D$18,MATCH(LARGE(Lieferantenbewertung!$T$7:$T$18,10),Lieferantenbewertung!$T$7:$T$18,0))</f>
        <v>Betriebsstoffe</v>
      </c>
      <c r="G26" s="63"/>
      <c r="H26" s="25">
        <f>INDEX(Lieferantenbewertung!$N$7:$N$18,MATCH(LARGE(Lieferantenbewertung!$T$7:$T$18,10),Lieferantenbewertung!$T$7:$T$18,0))</f>
        <v>3.2</v>
      </c>
      <c r="I26" s="18" t="str">
        <f>INDEX(Lieferantenbewertung!$P$7:$P$18,MATCH(LARGE(Lieferantenbewertung!$T$7:$T$18,10),Lieferantenbewertung!$T$7:$T$18,0))</f>
        <v>B</v>
      </c>
    </row>
    <row r="27" spans="2:9" ht="19.5" customHeight="1" x14ac:dyDescent="0.25">
      <c r="B27" s="22">
        <v>11</v>
      </c>
      <c r="C27" s="1" t="str">
        <f>INDEX(Lieferantenbewertung!$C$7:$C$18,MATCH(LARGE(Lieferantenbewertung!$T$7:$T$18,11),Lieferantenbewertung!$T$7:$T$18,0))</f>
        <v>Donaubogen Chemie GmbH</v>
      </c>
      <c r="D27" s="1"/>
      <c r="E27" s="1"/>
      <c r="F27" s="61" t="str">
        <f>INDEX(Lieferantenbewertung!$D$7:$D$18,MATCH(LARGE(Lieferantenbewertung!$T$7:$T$18,11),Lieferantenbewertung!$T$7:$T$18,0))</f>
        <v>Chemie</v>
      </c>
      <c r="G27" s="61"/>
      <c r="H27" s="23">
        <f>INDEX(Lieferantenbewertung!$N$7:$N$18,MATCH(LARGE(Lieferantenbewertung!$T$7:$T$18,11),Lieferantenbewertung!$T$7:$T$18,0))</f>
        <v>2.7700000000000005</v>
      </c>
      <c r="I27" s="16" t="str">
        <f>INDEX(Lieferantenbewertung!$P$7:$P$18,MATCH(LARGE(Lieferantenbewertung!$T$7:$T$18,11),Lieferantenbewertung!$T$7:$T$18,0))</f>
        <v>C</v>
      </c>
    </row>
    <row r="28" spans="2:9" ht="19.5" customHeight="1" x14ac:dyDescent="0.25">
      <c r="B28" s="24">
        <v>12</v>
      </c>
      <c r="C28" s="62" t="str">
        <f>INDEX(Lieferantenbewertung!$C$7:$C$18,MATCH(LARGE(Lieferantenbewertung!$T$7:$T$18,12),Lieferantenbewertung!$T$7:$T$18,0))</f>
        <v>Westfalia Rohstoffe GmbH</v>
      </c>
      <c r="D28" s="62"/>
      <c r="E28" s="62"/>
      <c r="F28" s="63" t="str">
        <f>INDEX(Lieferantenbewertung!$D$7:$D$18,MATCH(LARGE(Lieferantenbewertung!$T$7:$T$18,12),Lieferantenbewertung!$T$7:$T$18,0))</f>
        <v>Rohstoffe</v>
      </c>
      <c r="G28" s="63"/>
      <c r="H28" s="25">
        <f>INDEX(Lieferantenbewertung!$N$7:$N$18,MATCH(LARGE(Lieferantenbewertung!$T$7:$T$18,12),Lieferantenbewertung!$T$7:$T$18,0))</f>
        <v>2.3000000000000007</v>
      </c>
      <c r="I28" s="18" t="str">
        <f>INDEX(Lieferantenbewertung!$P$7:$P$18,MATCH(LARGE(Lieferantenbewertung!$T$7:$T$18,12),Lieferantenbewertung!$T$7:$T$18,0))</f>
        <v>C</v>
      </c>
    </row>
    <row r="30" spans="2:9" ht="20.85" customHeight="1" x14ac:dyDescent="0.25">
      <c r="B30" s="64" t="s">
        <v>25</v>
      </c>
      <c r="C30" s="64"/>
      <c r="D30" s="64"/>
      <c r="E30" s="64"/>
      <c r="F30" s="64"/>
      <c r="G30" s="64"/>
      <c r="H30" s="64"/>
      <c r="I30" s="64"/>
    </row>
  </sheetData>
  <mergeCells count="49">
    <mergeCell ref="C28:E28"/>
    <mergeCell ref="F28:G28"/>
    <mergeCell ref="B30:I30"/>
    <mergeCell ref="C25:E25"/>
    <mergeCell ref="F25:G25"/>
    <mergeCell ref="C26:E26"/>
    <mergeCell ref="F26:G26"/>
    <mergeCell ref="C27:E27"/>
    <mergeCell ref="F27:G27"/>
    <mergeCell ref="C22:E22"/>
    <mergeCell ref="F22:G22"/>
    <mergeCell ref="C23:E23"/>
    <mergeCell ref="F23:G23"/>
    <mergeCell ref="C24:E24"/>
    <mergeCell ref="F24:G24"/>
    <mergeCell ref="C19:E19"/>
    <mergeCell ref="F19:G19"/>
    <mergeCell ref="C20:E20"/>
    <mergeCell ref="F20:G20"/>
    <mergeCell ref="C21:E21"/>
    <mergeCell ref="F21:G21"/>
    <mergeCell ref="C16:E16"/>
    <mergeCell ref="F16:G16"/>
    <mergeCell ref="C17:E17"/>
    <mergeCell ref="F17:G17"/>
    <mergeCell ref="C18:E18"/>
    <mergeCell ref="F18:G18"/>
    <mergeCell ref="C12:F12"/>
    <mergeCell ref="H12:I12"/>
    <mergeCell ref="C13:F13"/>
    <mergeCell ref="H13:I13"/>
    <mergeCell ref="B15:I15"/>
    <mergeCell ref="C9:F9"/>
    <mergeCell ref="H9:I9"/>
    <mergeCell ref="C10:F10"/>
    <mergeCell ref="H10:I10"/>
    <mergeCell ref="C11:F11"/>
    <mergeCell ref="H11:I11"/>
    <mergeCell ref="B6:C6"/>
    <mergeCell ref="D6:E6"/>
    <mergeCell ref="F6:G6"/>
    <mergeCell ref="H6:I6"/>
    <mergeCell ref="B8:I8"/>
    <mergeCell ref="B2:I2"/>
    <mergeCell ref="B3:I3"/>
    <mergeCell ref="B5:C5"/>
    <mergeCell ref="D5:E5"/>
    <mergeCell ref="F5:G5"/>
    <mergeCell ref="H5:I5"/>
  </mergeCells>
  <conditionalFormatting sqref="I17:I28">
    <cfRule type="cellIs" dxfId="8" priority="2" operator="equal">
      <formula>"A"</formula>
    </cfRule>
    <cfRule type="cellIs" dxfId="7" priority="3" operator="equal">
      <formula>"B"</formula>
    </cfRule>
    <cfRule type="cellIs" dxfId="6" priority="4" operator="equal">
      <formula>"C"</formula>
    </cfRule>
  </conditionalFormatting>
  <pageMargins left="0.4" right="0.4" top="0.5" bottom="0.5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30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2" customWidth="1"/>
    <col min="3" max="3" width="13" customWidth="1"/>
    <col min="4" max="4" width="44" customWidth="1"/>
    <col min="5" max="5" width="12" customWidth="1"/>
    <col min="6" max="6" width="2" customWidth="1"/>
  </cols>
  <sheetData>
    <row r="2" spans="2:5" ht="25.5" customHeight="1" x14ac:dyDescent="0.25">
      <c r="B2" s="65" t="s">
        <v>26</v>
      </c>
      <c r="C2" s="65"/>
      <c r="D2" s="65"/>
      <c r="E2" s="65"/>
    </row>
    <row r="3" spans="2:5" ht="19.5" customHeight="1" x14ac:dyDescent="0.25">
      <c r="B3" s="66" t="s">
        <v>27</v>
      </c>
      <c r="C3" s="66"/>
      <c r="D3" s="66"/>
      <c r="E3" s="66"/>
    </row>
    <row r="5" spans="2:5" ht="21.75" customHeight="1" x14ac:dyDescent="0.25">
      <c r="B5" s="9" t="s">
        <v>28</v>
      </c>
      <c r="C5" s="9"/>
      <c r="D5" s="9"/>
      <c r="E5" s="9"/>
    </row>
    <row r="6" spans="2:5" x14ac:dyDescent="0.25">
      <c r="B6" s="26" t="s">
        <v>29</v>
      </c>
      <c r="C6" s="26" t="s">
        <v>30</v>
      </c>
      <c r="D6" s="26" t="s">
        <v>31</v>
      </c>
      <c r="E6" s="26" t="s">
        <v>32</v>
      </c>
    </row>
    <row r="7" spans="2:5" ht="24" customHeight="1" x14ac:dyDescent="0.25">
      <c r="B7" s="27" t="s">
        <v>33</v>
      </c>
      <c r="C7" s="28">
        <v>0.25</v>
      </c>
      <c r="D7" s="29" t="s">
        <v>34</v>
      </c>
      <c r="E7" s="30" t="s">
        <v>35</v>
      </c>
    </row>
    <row r="8" spans="2:5" ht="24" customHeight="1" x14ac:dyDescent="0.25">
      <c r="B8" s="31" t="s">
        <v>36</v>
      </c>
      <c r="C8" s="32">
        <v>0.2</v>
      </c>
      <c r="D8" s="33" t="s">
        <v>37</v>
      </c>
      <c r="E8" s="34" t="s">
        <v>35</v>
      </c>
    </row>
    <row r="9" spans="2:5" ht="24" customHeight="1" x14ac:dyDescent="0.25">
      <c r="B9" s="27" t="s">
        <v>38</v>
      </c>
      <c r="C9" s="28">
        <v>0.1</v>
      </c>
      <c r="D9" s="29" t="s">
        <v>39</v>
      </c>
      <c r="E9" s="30" t="s">
        <v>35</v>
      </c>
    </row>
    <row r="10" spans="2:5" ht="24" customHeight="1" x14ac:dyDescent="0.25">
      <c r="B10" s="31" t="s">
        <v>40</v>
      </c>
      <c r="C10" s="32">
        <v>0.2</v>
      </c>
      <c r="D10" s="33" t="s">
        <v>41</v>
      </c>
      <c r="E10" s="34" t="s">
        <v>35</v>
      </c>
    </row>
    <row r="11" spans="2:5" ht="24" customHeight="1" x14ac:dyDescent="0.25">
      <c r="B11" s="27" t="s">
        <v>42</v>
      </c>
      <c r="C11" s="28">
        <v>0.1</v>
      </c>
      <c r="D11" s="29" t="s">
        <v>43</v>
      </c>
      <c r="E11" s="30" t="s">
        <v>44</v>
      </c>
    </row>
    <row r="12" spans="2:5" ht="24" customHeight="1" x14ac:dyDescent="0.25">
      <c r="B12" s="31" t="s">
        <v>45</v>
      </c>
      <c r="C12" s="32">
        <v>0.08</v>
      </c>
      <c r="D12" s="33" t="s">
        <v>46</v>
      </c>
      <c r="E12" s="34" t="s">
        <v>44</v>
      </c>
    </row>
    <row r="13" spans="2:5" ht="24" customHeight="1" x14ac:dyDescent="0.25">
      <c r="B13" s="27" t="s">
        <v>47</v>
      </c>
      <c r="C13" s="28">
        <v>7.0000000000000007E-2</v>
      </c>
      <c r="D13" s="29" t="s">
        <v>48</v>
      </c>
      <c r="E13" s="30" t="s">
        <v>44</v>
      </c>
    </row>
    <row r="14" spans="2:5" ht="15" customHeight="1" x14ac:dyDescent="0.25">
      <c r="B14" s="35" t="s">
        <v>49</v>
      </c>
      <c r="C14" s="21">
        <f>SUM(C7:C13)</f>
        <v>1</v>
      </c>
      <c r="D14" s="67" t="s">
        <v>50</v>
      </c>
      <c r="E14" s="67"/>
    </row>
    <row r="16" spans="2:5" ht="21.75" customHeight="1" x14ac:dyDescent="0.25">
      <c r="B16" s="9" t="s">
        <v>51</v>
      </c>
      <c r="C16" s="9"/>
      <c r="D16" s="9"/>
      <c r="E16" s="9"/>
    </row>
    <row r="17" spans="2:5" ht="15" customHeight="1" x14ac:dyDescent="0.25">
      <c r="B17" s="26" t="s">
        <v>52</v>
      </c>
      <c r="C17" s="26" t="s">
        <v>53</v>
      </c>
      <c r="D17" s="68" t="s">
        <v>8</v>
      </c>
      <c r="E17" s="68"/>
    </row>
    <row r="18" spans="2:5" ht="21.75" customHeight="1" x14ac:dyDescent="0.25">
      <c r="B18" s="36">
        <v>5</v>
      </c>
      <c r="C18" s="27" t="s">
        <v>54</v>
      </c>
      <c r="D18" s="69" t="s">
        <v>55</v>
      </c>
      <c r="E18" s="69"/>
    </row>
    <row r="19" spans="2:5" ht="21.75" customHeight="1" x14ac:dyDescent="0.25">
      <c r="B19" s="37">
        <v>4</v>
      </c>
      <c r="C19" s="31" t="s">
        <v>56</v>
      </c>
      <c r="D19" s="70" t="s">
        <v>57</v>
      </c>
      <c r="E19" s="70"/>
    </row>
    <row r="20" spans="2:5" ht="21.75" customHeight="1" x14ac:dyDescent="0.25">
      <c r="B20" s="38">
        <v>3</v>
      </c>
      <c r="C20" s="27" t="s">
        <v>58</v>
      </c>
      <c r="D20" s="69" t="s">
        <v>59</v>
      </c>
      <c r="E20" s="69"/>
    </row>
    <row r="21" spans="2:5" ht="21.75" customHeight="1" x14ac:dyDescent="0.25">
      <c r="B21" s="39">
        <v>2</v>
      </c>
      <c r="C21" s="31" t="s">
        <v>60</v>
      </c>
      <c r="D21" s="70" t="s">
        <v>61</v>
      </c>
      <c r="E21" s="70"/>
    </row>
    <row r="22" spans="2:5" ht="21.75" customHeight="1" x14ac:dyDescent="0.25">
      <c r="B22" s="40">
        <v>1</v>
      </c>
      <c r="C22" s="27" t="s">
        <v>62</v>
      </c>
      <c r="D22" s="69" t="s">
        <v>63</v>
      </c>
      <c r="E22" s="69"/>
    </row>
    <row r="24" spans="2:5" ht="21.75" customHeight="1" x14ac:dyDescent="0.25">
      <c r="B24" s="9" t="s">
        <v>64</v>
      </c>
      <c r="C24" s="9"/>
      <c r="D24" s="9"/>
      <c r="E24" s="9"/>
    </row>
    <row r="25" spans="2:5" ht="15" customHeight="1" x14ac:dyDescent="0.25">
      <c r="B25" s="26" t="s">
        <v>7</v>
      </c>
      <c r="C25" s="26" t="s">
        <v>65</v>
      </c>
      <c r="D25" s="68" t="s">
        <v>66</v>
      </c>
      <c r="E25" s="68"/>
    </row>
    <row r="26" spans="2:5" ht="22.5" customHeight="1" x14ac:dyDescent="0.25">
      <c r="B26" s="15" t="s">
        <v>11</v>
      </c>
      <c r="C26" s="41">
        <v>0.8</v>
      </c>
      <c r="D26" s="71" t="s">
        <v>67</v>
      </c>
      <c r="E26" s="71"/>
    </row>
    <row r="27" spans="2:5" ht="22.5" customHeight="1" x14ac:dyDescent="0.25">
      <c r="B27" s="17" t="s">
        <v>13</v>
      </c>
      <c r="C27" s="41">
        <v>0.6</v>
      </c>
      <c r="D27" s="71" t="s">
        <v>68</v>
      </c>
      <c r="E27" s="71"/>
    </row>
    <row r="28" spans="2:5" ht="22.5" customHeight="1" x14ac:dyDescent="0.25">
      <c r="B28" s="19" t="s">
        <v>15</v>
      </c>
      <c r="C28" s="41">
        <v>0</v>
      </c>
      <c r="D28" s="71" t="s">
        <v>69</v>
      </c>
      <c r="E28" s="71"/>
    </row>
    <row r="30" spans="2:5" ht="20.85" customHeight="1" x14ac:dyDescent="0.25">
      <c r="B30" s="64" t="s">
        <v>70</v>
      </c>
      <c r="C30" s="64"/>
      <c r="D30" s="64"/>
      <c r="E30" s="64"/>
    </row>
  </sheetData>
  <mergeCells count="17">
    <mergeCell ref="D28:E28"/>
    <mergeCell ref="B30:E30"/>
    <mergeCell ref="D22:E22"/>
    <mergeCell ref="B24:E24"/>
    <mergeCell ref="D25:E25"/>
    <mergeCell ref="D26:E26"/>
    <mergeCell ref="D27:E27"/>
    <mergeCell ref="D17:E17"/>
    <mergeCell ref="D18:E18"/>
    <mergeCell ref="D19:E19"/>
    <mergeCell ref="D20:E20"/>
    <mergeCell ref="D21:E21"/>
    <mergeCell ref="B2:E2"/>
    <mergeCell ref="B3:E3"/>
    <mergeCell ref="B5:E5"/>
    <mergeCell ref="D14:E14"/>
    <mergeCell ref="B16:E16"/>
  </mergeCells>
  <pageMargins left="0.4" right="0.4" top="0.5" bottom="0.5" header="0.511811023622047" footer="0.511811023622047"/>
  <pageSetup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T21"/>
  <sheetViews>
    <sheetView showGridLines="0"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4" customWidth="1"/>
    <col min="3" max="3" width="26" customWidth="1"/>
    <col min="4" max="4" width="19" customWidth="1"/>
    <col min="5" max="5" width="20" customWidth="1"/>
    <col min="6" max="6" width="12" customWidth="1"/>
    <col min="7" max="13" width="7.42578125" customWidth="1"/>
    <col min="14" max="14" width="10" customWidth="1"/>
    <col min="15" max="15" width="11" customWidth="1"/>
    <col min="16" max="16" width="7" customWidth="1"/>
    <col min="17" max="17" width="6" customWidth="1"/>
    <col min="18" max="18" width="29" customWidth="1"/>
    <col min="19" max="19" width="2" customWidth="1"/>
    <col min="20" max="20" width="13" hidden="1" customWidth="1"/>
  </cols>
  <sheetData>
    <row r="2" spans="2:20" ht="25.5" customHeight="1" x14ac:dyDescent="0.25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2:20" ht="19.5" customHeight="1" x14ac:dyDescent="0.25">
      <c r="B3" s="66" t="s">
        <v>71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5" spans="2:20" ht="27.75" customHeight="1" x14ac:dyDescent="0.25">
      <c r="B5" s="72" t="s">
        <v>72</v>
      </c>
      <c r="C5" s="72" t="s">
        <v>21</v>
      </c>
      <c r="D5" s="72" t="s">
        <v>22</v>
      </c>
      <c r="E5" s="72" t="s">
        <v>73</v>
      </c>
      <c r="F5" s="72" t="s">
        <v>74</v>
      </c>
      <c r="G5" s="42" t="s">
        <v>33</v>
      </c>
      <c r="H5" s="42" t="s">
        <v>75</v>
      </c>
      <c r="I5" s="42" t="s">
        <v>76</v>
      </c>
      <c r="J5" s="42" t="s">
        <v>77</v>
      </c>
      <c r="K5" s="42" t="s">
        <v>78</v>
      </c>
      <c r="L5" s="42" t="s">
        <v>79</v>
      </c>
      <c r="M5" s="42" t="s">
        <v>80</v>
      </c>
      <c r="N5" s="72" t="s">
        <v>81</v>
      </c>
      <c r="O5" s="72" t="s">
        <v>82</v>
      </c>
      <c r="P5" s="72" t="s">
        <v>7</v>
      </c>
      <c r="Q5" s="72" t="s">
        <v>20</v>
      </c>
      <c r="R5" s="72" t="s">
        <v>83</v>
      </c>
    </row>
    <row r="6" spans="2:20" ht="15" customHeight="1" x14ac:dyDescent="0.25">
      <c r="B6" s="72"/>
      <c r="C6" s="72"/>
      <c r="D6" s="72"/>
      <c r="E6" s="72"/>
      <c r="F6" s="72"/>
      <c r="G6" s="43">
        <f>Konfiguration!$C$7</f>
        <v>0.25</v>
      </c>
      <c r="H6" s="43">
        <f>Konfiguration!$C$8</f>
        <v>0.2</v>
      </c>
      <c r="I6" s="43">
        <f>Konfiguration!$C$9</f>
        <v>0.1</v>
      </c>
      <c r="J6" s="43">
        <f>Konfiguration!$C$10</f>
        <v>0.2</v>
      </c>
      <c r="K6" s="43">
        <f>Konfiguration!$C$11</f>
        <v>0.1</v>
      </c>
      <c r="L6" s="43">
        <f>Konfiguration!$C$12</f>
        <v>0.08</v>
      </c>
      <c r="M6" s="43">
        <f>Konfiguration!$C$13</f>
        <v>7.0000000000000007E-2</v>
      </c>
      <c r="N6" s="72"/>
      <c r="O6" s="72"/>
      <c r="P6" s="72"/>
      <c r="Q6" s="72"/>
      <c r="R6" s="72"/>
    </row>
    <row r="7" spans="2:20" ht="21" customHeight="1" x14ac:dyDescent="0.25">
      <c r="B7" s="44">
        <v>1</v>
      </c>
      <c r="C7" s="27" t="s">
        <v>84</v>
      </c>
      <c r="D7" s="29" t="s">
        <v>85</v>
      </c>
      <c r="E7" s="29" t="s">
        <v>86</v>
      </c>
      <c r="F7" s="45" t="s">
        <v>87</v>
      </c>
      <c r="G7" s="46">
        <v>5</v>
      </c>
      <c r="H7" s="46">
        <v>5</v>
      </c>
      <c r="I7" s="46">
        <v>4</v>
      </c>
      <c r="J7" s="46">
        <v>4</v>
      </c>
      <c r="K7" s="46">
        <v>5</v>
      </c>
      <c r="L7" s="46">
        <v>4</v>
      </c>
      <c r="M7" s="46">
        <v>4</v>
      </c>
      <c r="N7" s="47">
        <f t="shared" ref="N7:N18" si="0">SUMPRODUCT($G$6:$M$6,$G7:$M7)</f>
        <v>4.5500000000000007</v>
      </c>
      <c r="O7" s="48">
        <f t="shared" ref="O7:O19" si="1">N7/5</f>
        <v>0.91000000000000014</v>
      </c>
      <c r="P7" s="16" t="str">
        <f>IF(O7&gt;=Konfiguration!$C$26,"A",IF(O7&gt;=Konfiguration!$C$27,"B","C"))</f>
        <v>A</v>
      </c>
      <c r="Q7" s="49">
        <f t="shared" ref="Q7:Q18" si="2">RANK(N7,$N$7:$N$18)</f>
        <v>1</v>
      </c>
      <c r="R7" s="29" t="str">
        <f t="shared" ref="R7:R18" si="3">IF(P7="A","Partnerschaft ausbauen, Volumen bündeln",IF(P7="B","Regelmäßig überwachen &amp; entwickeln","Eskalation – Alternativen prüfen"))</f>
        <v>Partnerschaft ausbauen, Volumen bündeln</v>
      </c>
      <c r="T7" s="50">
        <f t="shared" ref="T7:T18" si="4">N7+ROW()/100000</f>
        <v>4.5500700000000007</v>
      </c>
    </row>
    <row r="8" spans="2:20" ht="21" customHeight="1" x14ac:dyDescent="0.25">
      <c r="B8" s="51">
        <v>2</v>
      </c>
      <c r="C8" s="31" t="s">
        <v>88</v>
      </c>
      <c r="D8" s="33" t="s">
        <v>89</v>
      </c>
      <c r="E8" s="33" t="s">
        <v>90</v>
      </c>
      <c r="F8" s="52" t="s">
        <v>91</v>
      </c>
      <c r="G8" s="53">
        <v>5</v>
      </c>
      <c r="H8" s="53">
        <v>5</v>
      </c>
      <c r="I8" s="53">
        <v>5</v>
      </c>
      <c r="J8" s="53">
        <v>3</v>
      </c>
      <c r="K8" s="53">
        <v>4</v>
      </c>
      <c r="L8" s="53">
        <v>5</v>
      </c>
      <c r="M8" s="53">
        <v>4</v>
      </c>
      <c r="N8" s="54">
        <f t="shared" si="0"/>
        <v>4.4300000000000006</v>
      </c>
      <c r="O8" s="55">
        <f t="shared" si="1"/>
        <v>0.88600000000000012</v>
      </c>
      <c r="P8" s="18" t="str">
        <f>IF(O8&gt;=Konfiguration!$C$26,"A",IF(O8&gt;=Konfiguration!$C$27,"B","C"))</f>
        <v>A</v>
      </c>
      <c r="Q8" s="56">
        <f t="shared" si="2"/>
        <v>2</v>
      </c>
      <c r="R8" s="33" t="str">
        <f t="shared" si="3"/>
        <v>Partnerschaft ausbauen, Volumen bündeln</v>
      </c>
      <c r="T8" s="50">
        <f t="shared" si="4"/>
        <v>4.4300800000000002</v>
      </c>
    </row>
    <row r="9" spans="2:20" ht="21" customHeight="1" x14ac:dyDescent="0.25">
      <c r="B9" s="44">
        <v>3</v>
      </c>
      <c r="C9" s="27" t="s">
        <v>92</v>
      </c>
      <c r="D9" s="29" t="s">
        <v>93</v>
      </c>
      <c r="E9" s="29" t="s">
        <v>94</v>
      </c>
      <c r="F9" s="45" t="s">
        <v>95</v>
      </c>
      <c r="G9" s="46">
        <v>4</v>
      </c>
      <c r="H9" s="46">
        <v>5</v>
      </c>
      <c r="I9" s="46">
        <v>4</v>
      </c>
      <c r="J9" s="46">
        <v>4</v>
      </c>
      <c r="K9" s="46">
        <v>4</v>
      </c>
      <c r="L9" s="46">
        <v>4</v>
      </c>
      <c r="M9" s="46">
        <v>5</v>
      </c>
      <c r="N9" s="47">
        <f t="shared" si="0"/>
        <v>4.2699999999999996</v>
      </c>
      <c r="O9" s="48">
        <f t="shared" si="1"/>
        <v>0.85399999999999987</v>
      </c>
      <c r="P9" s="16" t="str">
        <f>IF(O9&gt;=Konfiguration!$C$26,"A",IF(O9&gt;=Konfiguration!$C$27,"B","C"))</f>
        <v>A</v>
      </c>
      <c r="Q9" s="49">
        <f t="shared" si="2"/>
        <v>3</v>
      </c>
      <c r="R9" s="29" t="str">
        <f t="shared" si="3"/>
        <v>Partnerschaft ausbauen, Volumen bündeln</v>
      </c>
      <c r="T9" s="50">
        <f t="shared" si="4"/>
        <v>4.2700899999999997</v>
      </c>
    </row>
    <row r="10" spans="2:20" ht="21" customHeight="1" x14ac:dyDescent="0.25">
      <c r="B10" s="51">
        <v>4</v>
      </c>
      <c r="C10" s="31" t="s">
        <v>96</v>
      </c>
      <c r="D10" s="33" t="s">
        <v>85</v>
      </c>
      <c r="E10" s="33" t="s">
        <v>97</v>
      </c>
      <c r="F10" s="52" t="s">
        <v>98</v>
      </c>
      <c r="G10" s="53">
        <v>5</v>
      </c>
      <c r="H10" s="53">
        <v>4</v>
      </c>
      <c r="I10" s="53">
        <v>5</v>
      </c>
      <c r="J10" s="53">
        <v>3</v>
      </c>
      <c r="K10" s="53">
        <v>4</v>
      </c>
      <c r="L10" s="53">
        <v>4</v>
      </c>
      <c r="M10" s="53">
        <v>3</v>
      </c>
      <c r="N10" s="54">
        <f t="shared" si="0"/>
        <v>4.08</v>
      </c>
      <c r="O10" s="55">
        <f t="shared" si="1"/>
        <v>0.81600000000000006</v>
      </c>
      <c r="P10" s="18" t="str">
        <f>IF(O10&gt;=Konfiguration!$C$26,"A",IF(O10&gt;=Konfiguration!$C$27,"B","C"))</f>
        <v>A</v>
      </c>
      <c r="Q10" s="56">
        <f t="shared" si="2"/>
        <v>4</v>
      </c>
      <c r="R10" s="33" t="str">
        <f t="shared" si="3"/>
        <v>Partnerschaft ausbauen, Volumen bündeln</v>
      </c>
      <c r="T10" s="50">
        <f t="shared" si="4"/>
        <v>4.0800999999999998</v>
      </c>
    </row>
    <row r="11" spans="2:20" ht="21" customHeight="1" x14ac:dyDescent="0.25">
      <c r="B11" s="44">
        <v>5</v>
      </c>
      <c r="C11" s="27" t="s">
        <v>99</v>
      </c>
      <c r="D11" s="29" t="s">
        <v>100</v>
      </c>
      <c r="E11" s="29" t="s">
        <v>101</v>
      </c>
      <c r="F11" s="45" t="s">
        <v>102</v>
      </c>
      <c r="G11" s="46">
        <v>4</v>
      </c>
      <c r="H11" s="46">
        <v>4</v>
      </c>
      <c r="I11" s="46">
        <v>4</v>
      </c>
      <c r="J11" s="46">
        <v>4</v>
      </c>
      <c r="K11" s="46">
        <v>4</v>
      </c>
      <c r="L11" s="46">
        <v>3</v>
      </c>
      <c r="M11" s="46">
        <v>4</v>
      </c>
      <c r="N11" s="47">
        <f t="shared" si="0"/>
        <v>3.92</v>
      </c>
      <c r="O11" s="48">
        <f t="shared" si="1"/>
        <v>0.78400000000000003</v>
      </c>
      <c r="P11" s="16" t="str">
        <f>IF(O11&gt;=Konfiguration!$C$26,"A",IF(O11&gt;=Konfiguration!$C$27,"B","C"))</f>
        <v>B</v>
      </c>
      <c r="Q11" s="49">
        <f t="shared" si="2"/>
        <v>5</v>
      </c>
      <c r="R11" s="29" t="str">
        <f t="shared" si="3"/>
        <v>Regelmäßig überwachen &amp; entwickeln</v>
      </c>
      <c r="T11" s="50">
        <f t="shared" si="4"/>
        <v>3.9201099999999998</v>
      </c>
    </row>
    <row r="12" spans="2:20" ht="21" customHeight="1" x14ac:dyDescent="0.25">
      <c r="B12" s="51">
        <v>6</v>
      </c>
      <c r="C12" s="31" t="s">
        <v>103</v>
      </c>
      <c r="D12" s="33" t="s">
        <v>104</v>
      </c>
      <c r="E12" s="33" t="s">
        <v>105</v>
      </c>
      <c r="F12" s="52" t="s">
        <v>106</v>
      </c>
      <c r="G12" s="53">
        <v>3</v>
      </c>
      <c r="H12" s="53">
        <v>4</v>
      </c>
      <c r="I12" s="53">
        <v>4</v>
      </c>
      <c r="J12" s="53">
        <v>3</v>
      </c>
      <c r="K12" s="53">
        <v>4</v>
      </c>
      <c r="L12" s="53">
        <v>4</v>
      </c>
      <c r="M12" s="53">
        <v>3</v>
      </c>
      <c r="N12" s="54">
        <f t="shared" si="0"/>
        <v>3.48</v>
      </c>
      <c r="O12" s="55">
        <f t="shared" si="1"/>
        <v>0.69599999999999995</v>
      </c>
      <c r="P12" s="18" t="str">
        <f>IF(O12&gt;=Konfiguration!$C$26,"A",IF(O12&gt;=Konfiguration!$C$27,"B","C"))</f>
        <v>B</v>
      </c>
      <c r="Q12" s="56">
        <f t="shared" si="2"/>
        <v>8</v>
      </c>
      <c r="R12" s="33" t="str">
        <f t="shared" si="3"/>
        <v>Regelmäßig überwachen &amp; entwickeln</v>
      </c>
      <c r="T12" s="50">
        <f t="shared" si="4"/>
        <v>3.4801199999999999</v>
      </c>
    </row>
    <row r="13" spans="2:20" ht="21" customHeight="1" x14ac:dyDescent="0.25">
      <c r="B13" s="44">
        <v>7</v>
      </c>
      <c r="C13" s="27" t="s">
        <v>107</v>
      </c>
      <c r="D13" s="29" t="s">
        <v>93</v>
      </c>
      <c r="E13" s="29" t="s">
        <v>108</v>
      </c>
      <c r="F13" s="45" t="s">
        <v>109</v>
      </c>
      <c r="G13" s="46">
        <v>4</v>
      </c>
      <c r="H13" s="46">
        <v>3</v>
      </c>
      <c r="I13" s="46">
        <v>4</v>
      </c>
      <c r="J13" s="46">
        <v>4</v>
      </c>
      <c r="K13" s="46">
        <v>3</v>
      </c>
      <c r="L13" s="46">
        <v>4</v>
      </c>
      <c r="M13" s="46">
        <v>3</v>
      </c>
      <c r="N13" s="47">
        <f t="shared" si="0"/>
        <v>3.6299999999999994</v>
      </c>
      <c r="O13" s="48">
        <f t="shared" si="1"/>
        <v>0.72599999999999987</v>
      </c>
      <c r="P13" s="16" t="str">
        <f>IF(O13&gt;=Konfiguration!$C$26,"A",IF(O13&gt;=Konfiguration!$C$27,"B","C"))</f>
        <v>B</v>
      </c>
      <c r="Q13" s="49">
        <f t="shared" si="2"/>
        <v>6</v>
      </c>
      <c r="R13" s="29" t="str">
        <f t="shared" si="3"/>
        <v>Regelmäßig überwachen &amp; entwickeln</v>
      </c>
      <c r="T13" s="50">
        <f t="shared" si="4"/>
        <v>3.6301299999999994</v>
      </c>
    </row>
    <row r="14" spans="2:20" ht="21" customHeight="1" x14ac:dyDescent="0.25">
      <c r="B14" s="51">
        <v>8</v>
      </c>
      <c r="C14" s="31" t="s">
        <v>110</v>
      </c>
      <c r="D14" s="33" t="s">
        <v>85</v>
      </c>
      <c r="E14" s="33" t="s">
        <v>111</v>
      </c>
      <c r="F14" s="52" t="s">
        <v>112</v>
      </c>
      <c r="G14" s="53">
        <v>4</v>
      </c>
      <c r="H14" s="53">
        <v>4</v>
      </c>
      <c r="I14" s="53">
        <v>3</v>
      </c>
      <c r="J14" s="53">
        <v>3</v>
      </c>
      <c r="K14" s="53">
        <v>4</v>
      </c>
      <c r="L14" s="53">
        <v>3</v>
      </c>
      <c r="M14" s="53">
        <v>3</v>
      </c>
      <c r="N14" s="54">
        <f t="shared" si="0"/>
        <v>3.55</v>
      </c>
      <c r="O14" s="55">
        <f t="shared" si="1"/>
        <v>0.71</v>
      </c>
      <c r="P14" s="18" t="str">
        <f>IF(O14&gt;=Konfiguration!$C$26,"A",IF(O14&gt;=Konfiguration!$C$27,"B","C"))</f>
        <v>B</v>
      </c>
      <c r="Q14" s="56">
        <f t="shared" si="2"/>
        <v>7</v>
      </c>
      <c r="R14" s="33" t="str">
        <f t="shared" si="3"/>
        <v>Regelmäßig überwachen &amp; entwickeln</v>
      </c>
      <c r="T14" s="50">
        <f t="shared" si="4"/>
        <v>3.5501399999999999</v>
      </c>
    </row>
    <row r="15" spans="2:20" ht="21" customHeight="1" x14ac:dyDescent="0.25">
      <c r="B15" s="44">
        <v>9</v>
      </c>
      <c r="C15" s="27" t="s">
        <v>113</v>
      </c>
      <c r="D15" s="29" t="s">
        <v>100</v>
      </c>
      <c r="E15" s="29" t="s">
        <v>114</v>
      </c>
      <c r="F15" s="45" t="s">
        <v>115</v>
      </c>
      <c r="G15" s="46">
        <v>3</v>
      </c>
      <c r="H15" s="46">
        <v>3</v>
      </c>
      <c r="I15" s="46">
        <v>4</v>
      </c>
      <c r="J15" s="46">
        <v>4</v>
      </c>
      <c r="K15" s="46">
        <v>3</v>
      </c>
      <c r="L15" s="46">
        <v>3</v>
      </c>
      <c r="M15" s="46">
        <v>2</v>
      </c>
      <c r="N15" s="47">
        <f t="shared" si="0"/>
        <v>3.23</v>
      </c>
      <c r="O15" s="48">
        <f t="shared" si="1"/>
        <v>0.64600000000000002</v>
      </c>
      <c r="P15" s="16" t="str">
        <f>IF(O15&gt;=Konfiguration!$C$26,"A",IF(O15&gt;=Konfiguration!$C$27,"B","C"))</f>
        <v>B</v>
      </c>
      <c r="Q15" s="49">
        <f t="shared" si="2"/>
        <v>9</v>
      </c>
      <c r="R15" s="29" t="str">
        <f t="shared" si="3"/>
        <v>Regelmäßig überwachen &amp; entwickeln</v>
      </c>
      <c r="T15" s="50">
        <f t="shared" si="4"/>
        <v>3.2301500000000001</v>
      </c>
    </row>
    <row r="16" spans="2:20" ht="21" customHeight="1" x14ac:dyDescent="0.25">
      <c r="B16" s="51">
        <v>10</v>
      </c>
      <c r="C16" s="31" t="s">
        <v>116</v>
      </c>
      <c r="D16" s="33" t="s">
        <v>117</v>
      </c>
      <c r="E16" s="33" t="s">
        <v>118</v>
      </c>
      <c r="F16" s="52" t="s">
        <v>119</v>
      </c>
      <c r="G16" s="53">
        <v>3</v>
      </c>
      <c r="H16" s="53">
        <v>3</v>
      </c>
      <c r="I16" s="53">
        <v>3</v>
      </c>
      <c r="J16" s="53">
        <v>4</v>
      </c>
      <c r="K16" s="53">
        <v>3</v>
      </c>
      <c r="L16" s="53">
        <v>3</v>
      </c>
      <c r="M16" s="53">
        <v>3</v>
      </c>
      <c r="N16" s="54">
        <f t="shared" si="0"/>
        <v>3.2</v>
      </c>
      <c r="O16" s="55">
        <f t="shared" si="1"/>
        <v>0.64</v>
      </c>
      <c r="P16" s="18" t="str">
        <f>IF(O16&gt;=Konfiguration!$C$26,"A",IF(O16&gt;=Konfiguration!$C$27,"B","C"))</f>
        <v>B</v>
      </c>
      <c r="Q16" s="56">
        <f t="shared" si="2"/>
        <v>10</v>
      </c>
      <c r="R16" s="33" t="str">
        <f t="shared" si="3"/>
        <v>Regelmäßig überwachen &amp; entwickeln</v>
      </c>
      <c r="T16" s="50">
        <f t="shared" si="4"/>
        <v>3.2001600000000003</v>
      </c>
    </row>
    <row r="17" spans="2:20" ht="21" customHeight="1" x14ac:dyDescent="0.25">
      <c r="B17" s="44">
        <v>11</v>
      </c>
      <c r="C17" s="27" t="s">
        <v>120</v>
      </c>
      <c r="D17" s="29" t="s">
        <v>121</v>
      </c>
      <c r="E17" s="29" t="s">
        <v>122</v>
      </c>
      <c r="F17" s="45" t="s">
        <v>123</v>
      </c>
      <c r="G17" s="46">
        <v>2</v>
      </c>
      <c r="H17" s="46">
        <v>3</v>
      </c>
      <c r="I17" s="46">
        <v>3</v>
      </c>
      <c r="J17" s="46">
        <v>4</v>
      </c>
      <c r="K17" s="46">
        <v>2</v>
      </c>
      <c r="L17" s="46">
        <v>2</v>
      </c>
      <c r="M17" s="46">
        <v>3</v>
      </c>
      <c r="N17" s="47">
        <f t="shared" si="0"/>
        <v>2.7700000000000005</v>
      </c>
      <c r="O17" s="48">
        <f t="shared" si="1"/>
        <v>0.55400000000000005</v>
      </c>
      <c r="P17" s="16" t="str">
        <f>IF(O17&gt;=Konfiguration!$C$26,"A",IF(O17&gt;=Konfiguration!$C$27,"B","C"))</f>
        <v>C</v>
      </c>
      <c r="Q17" s="49">
        <f t="shared" si="2"/>
        <v>11</v>
      </c>
      <c r="R17" s="29" t="str">
        <f t="shared" si="3"/>
        <v>Eskalation – Alternativen prüfen</v>
      </c>
      <c r="T17" s="50">
        <f t="shared" si="4"/>
        <v>2.7701700000000002</v>
      </c>
    </row>
    <row r="18" spans="2:20" ht="21" customHeight="1" x14ac:dyDescent="0.25">
      <c r="B18" s="51">
        <v>12</v>
      </c>
      <c r="C18" s="31" t="s">
        <v>124</v>
      </c>
      <c r="D18" s="33" t="s">
        <v>100</v>
      </c>
      <c r="E18" s="33" t="s">
        <v>125</v>
      </c>
      <c r="F18" s="52" t="s">
        <v>126</v>
      </c>
      <c r="G18" s="53">
        <v>2</v>
      </c>
      <c r="H18" s="53">
        <v>2</v>
      </c>
      <c r="I18" s="53">
        <v>3</v>
      </c>
      <c r="J18" s="53">
        <v>3</v>
      </c>
      <c r="K18" s="53">
        <v>2</v>
      </c>
      <c r="L18" s="53">
        <v>2</v>
      </c>
      <c r="M18" s="53">
        <v>2</v>
      </c>
      <c r="N18" s="54">
        <f t="shared" si="0"/>
        <v>2.3000000000000007</v>
      </c>
      <c r="O18" s="55">
        <f t="shared" si="1"/>
        <v>0.46000000000000013</v>
      </c>
      <c r="P18" s="18" t="str">
        <f>IF(O18&gt;=Konfiguration!$C$26,"A",IF(O18&gt;=Konfiguration!$C$27,"B","C"))</f>
        <v>C</v>
      </c>
      <c r="Q18" s="56">
        <f t="shared" si="2"/>
        <v>12</v>
      </c>
      <c r="R18" s="33" t="str">
        <f t="shared" si="3"/>
        <v>Eskalation – Alternativen prüfen</v>
      </c>
      <c r="T18" s="50">
        <f t="shared" si="4"/>
        <v>2.3001800000000006</v>
      </c>
    </row>
    <row r="19" spans="2:20" ht="21.75" customHeight="1" x14ac:dyDescent="0.25">
      <c r="B19" s="73" t="s">
        <v>127</v>
      </c>
      <c r="C19" s="73"/>
      <c r="D19" s="73"/>
      <c r="E19" s="73"/>
      <c r="F19" s="73"/>
      <c r="G19" s="57">
        <f t="shared" ref="G19:M19" si="5">AVERAGE(G7:G18)</f>
        <v>3.6666666666666665</v>
      </c>
      <c r="H19" s="57">
        <f t="shared" si="5"/>
        <v>3.75</v>
      </c>
      <c r="I19" s="57">
        <f t="shared" si="5"/>
        <v>3.8333333333333335</v>
      </c>
      <c r="J19" s="57">
        <f t="shared" si="5"/>
        <v>3.5833333333333335</v>
      </c>
      <c r="K19" s="57">
        <f t="shared" si="5"/>
        <v>3.5</v>
      </c>
      <c r="L19" s="57">
        <f t="shared" si="5"/>
        <v>3.4166666666666665</v>
      </c>
      <c r="M19" s="57">
        <f t="shared" si="5"/>
        <v>3.25</v>
      </c>
      <c r="N19" s="58">
        <f>AVERAGE($N$7:$N$18)</f>
        <v>3.617500000000001</v>
      </c>
      <c r="O19" s="59">
        <f t="shared" si="1"/>
        <v>0.72350000000000025</v>
      </c>
      <c r="P19" s="60"/>
      <c r="Q19" s="60"/>
      <c r="R19" s="60"/>
    </row>
    <row r="21" spans="2:20" ht="15" customHeight="1" x14ac:dyDescent="0.25">
      <c r="B21" s="74" t="s">
        <v>128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</row>
  </sheetData>
  <mergeCells count="14">
    <mergeCell ref="B19:F19"/>
    <mergeCell ref="B21:R21"/>
    <mergeCell ref="B2:R2"/>
    <mergeCell ref="B3:R3"/>
    <mergeCell ref="B5:B6"/>
    <mergeCell ref="C5:C6"/>
    <mergeCell ref="D5:D6"/>
    <mergeCell ref="E5:E6"/>
    <mergeCell ref="F5:F6"/>
    <mergeCell ref="N5:N6"/>
    <mergeCell ref="O5:O6"/>
    <mergeCell ref="P5:P6"/>
    <mergeCell ref="Q5:Q6"/>
    <mergeCell ref="R5:R6"/>
  </mergeCells>
  <conditionalFormatting sqref="G7:M18">
    <cfRule type="cellIs" dxfId="5" priority="2" operator="greaterThanOrEqual">
      <formula>4</formula>
    </cfRule>
    <cfRule type="cellIs" dxfId="4" priority="3" operator="equal">
      <formula>3</formula>
    </cfRule>
    <cfRule type="cellIs" dxfId="3" priority="4" operator="lessThanOrEqual">
      <formula>2</formula>
    </cfRule>
  </conditionalFormatting>
  <conditionalFormatting sqref="P7:P18">
    <cfRule type="cellIs" dxfId="2" priority="5" operator="equal">
      <formula>"A"</formula>
    </cfRule>
    <cfRule type="cellIs" dxfId="1" priority="6" operator="equal">
      <formula>"B"</formula>
    </cfRule>
    <cfRule type="cellIs" dxfId="0" priority="7" operator="equal">
      <formula>"C"</formula>
    </cfRule>
  </conditionalFormatting>
  <pageMargins left="0.4" right="0.4" top="0.5" bottom="0.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Übersicht</vt:lpstr>
      <vt:lpstr>Konfiguration</vt:lpstr>
      <vt:lpstr>Lieferantenbewertung</vt:lpstr>
      <vt:lpstr>Konfiguration!Druckbereich</vt:lpstr>
      <vt:lpstr>Lieferantenbewertung!Druckbereich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2026-06-21T11:07:49Z</dcterms:created>
  <dcterms:modified xsi:type="dcterms:W3CDTF">2026-06-21T11:31:51Z</dcterms:modified>
  <dc:language>en-US</dc:language>
</cp:coreProperties>
</file>