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93FB872-4AC0-4BBB-BB2D-B3E64E93E4CD}" xr6:coauthVersionLast="47" xr6:coauthVersionMax="47" xr10:uidLastSave="{00000000-0000-0000-0000-000000000000}"/>
  <bookViews>
    <workbookView xWindow="1035" yWindow="1035" windowWidth="25500" windowHeight="13500" tabRatio="500" activeTab="4" xr2:uid="{00000000-000D-0000-FFFF-FFFF00000000}"/>
  </bookViews>
  <sheets>
    <sheet name="Stammdaten" sheetId="1" r:id="rId1"/>
    <sheet name="Kostenanalyse" sheetId="2" r:id="rId2"/>
    <sheet name="Nutzenanalyse" sheetId="3" r:id="rId3"/>
    <sheet name="Kapitalwertrechnung" sheetId="4" r:id="rId4"/>
    <sheet name="Ergebnisse &amp; Entscheidung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19" i="5" l="1"/>
  <c r="F19" i="5"/>
  <c r="D19" i="5"/>
  <c r="E11" i="4"/>
  <c r="D11" i="4"/>
  <c r="C11" i="4"/>
  <c r="C38" i="3"/>
  <c r="E37" i="3"/>
  <c r="E36" i="3"/>
  <c r="E35" i="3"/>
  <c r="E34" i="3"/>
  <c r="E33" i="3"/>
  <c r="E32" i="3"/>
  <c r="E31" i="3"/>
  <c r="E38" i="3" s="1"/>
  <c r="H27" i="3"/>
  <c r="H8" i="4" s="1"/>
  <c r="H9" i="4" s="1"/>
  <c r="H12" i="4" s="1"/>
  <c r="H25" i="3"/>
  <c r="G25" i="3"/>
  <c r="F25" i="3"/>
  <c r="E25" i="3"/>
  <c r="D25" i="3"/>
  <c r="C25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H22" i="3"/>
  <c r="G22" i="3"/>
  <c r="G27" i="3" s="1"/>
  <c r="G8" i="4" s="1"/>
  <c r="G9" i="4" s="1"/>
  <c r="G12" i="4" s="1"/>
  <c r="F22" i="3"/>
  <c r="F27" i="3" s="1"/>
  <c r="F8" i="4" s="1"/>
  <c r="F9" i="4" s="1"/>
  <c r="E22" i="3"/>
  <c r="E27" i="3" s="1"/>
  <c r="E8" i="4" s="1"/>
  <c r="E9" i="4" s="1"/>
  <c r="E12" i="4" s="1"/>
  <c r="D22" i="3"/>
  <c r="D27" i="3" s="1"/>
  <c r="C22" i="3"/>
  <c r="C27" i="3" s="1"/>
  <c r="C8" i="4" s="1"/>
  <c r="I21" i="3"/>
  <c r="I25" i="3" s="1"/>
  <c r="I19" i="3"/>
  <c r="I18" i="3"/>
  <c r="I17" i="3"/>
  <c r="I24" i="3" s="1"/>
  <c r="I15" i="3"/>
  <c r="I14" i="3"/>
  <c r="I13" i="3"/>
  <c r="I11" i="3"/>
  <c r="I10" i="3"/>
  <c r="I9" i="3"/>
  <c r="I8" i="3"/>
  <c r="I22" i="3" s="1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H26" i="2"/>
  <c r="G26" i="2"/>
  <c r="F26" i="2"/>
  <c r="E26" i="2"/>
  <c r="D26" i="2"/>
  <c r="C26" i="2"/>
  <c r="H25" i="2"/>
  <c r="H30" i="2" s="1"/>
  <c r="H7" i="4" s="1"/>
  <c r="G25" i="2"/>
  <c r="G30" i="2" s="1"/>
  <c r="G7" i="4" s="1"/>
  <c r="F25" i="2"/>
  <c r="F30" i="2" s="1"/>
  <c r="F7" i="4" s="1"/>
  <c r="E25" i="2"/>
  <c r="E30" i="2" s="1"/>
  <c r="E7" i="4" s="1"/>
  <c r="D25" i="2"/>
  <c r="D30" i="2" s="1"/>
  <c r="D7" i="4" s="1"/>
  <c r="C25" i="2"/>
  <c r="C30" i="2" s="1"/>
  <c r="C7" i="4" s="1"/>
  <c r="I24" i="2"/>
  <c r="I28" i="2" s="1"/>
  <c r="I23" i="2"/>
  <c r="I21" i="2"/>
  <c r="I20" i="2"/>
  <c r="I19" i="2"/>
  <c r="I17" i="2"/>
  <c r="I16" i="2"/>
  <c r="I15" i="2"/>
  <c r="I14" i="2"/>
  <c r="I13" i="2"/>
  <c r="I26" i="2" s="1"/>
  <c r="I11" i="2"/>
  <c r="I10" i="2"/>
  <c r="I9" i="2"/>
  <c r="I8" i="2"/>
  <c r="I25" i="2" s="1"/>
  <c r="C31" i="1"/>
  <c r="H11" i="4" s="1"/>
  <c r="C30" i="1"/>
  <c r="G11" i="4" s="1"/>
  <c r="C29" i="1"/>
  <c r="D31" i="1" s="1"/>
  <c r="D28" i="1"/>
  <c r="C28" i="1"/>
  <c r="C27" i="1"/>
  <c r="D27" i="1" s="1"/>
  <c r="D26" i="1"/>
  <c r="C26" i="1"/>
  <c r="E21" i="1"/>
  <c r="D21" i="1"/>
  <c r="C21" i="1"/>
  <c r="E32" i="5"/>
  <c r="E31" i="5"/>
  <c r="E30" i="5"/>
  <c r="E29" i="5"/>
  <c r="E28" i="5"/>
  <c r="E27" i="5"/>
  <c r="C19" i="5"/>
  <c r="C9" i="4" l="1"/>
  <c r="I7" i="4"/>
  <c r="H7" i="5"/>
  <c r="E39" i="3"/>
  <c r="I30" i="2"/>
  <c r="F29" i="4"/>
  <c r="D8" i="4"/>
  <c r="D9" i="4" s="1"/>
  <c r="D12" i="4" s="1"/>
  <c r="F28" i="4"/>
  <c r="F27" i="4"/>
  <c r="I27" i="3"/>
  <c r="D30" i="1"/>
  <c r="D29" i="1"/>
  <c r="F11" i="4"/>
  <c r="F12" i="4" s="1"/>
  <c r="I8" i="4" l="1"/>
  <c r="C12" i="4"/>
  <c r="C10" i="4"/>
  <c r="D10" i="4" s="1"/>
  <c r="I9" i="4"/>
  <c r="D21" i="4"/>
  <c r="D20" i="4"/>
  <c r="F20" i="4" l="1"/>
  <c r="F7" i="5"/>
  <c r="D19" i="4"/>
  <c r="D18" i="4"/>
  <c r="G7" i="5"/>
  <c r="F21" i="4"/>
  <c r="D22" i="4"/>
  <c r="F22" i="4" s="1"/>
  <c r="E10" i="4"/>
  <c r="F10" i="4" s="1"/>
  <c r="G10" i="4" s="1"/>
  <c r="H10" i="4" s="1"/>
  <c r="I10" i="4" s="1"/>
  <c r="C13" i="4"/>
  <c r="D13" i="4" s="1"/>
  <c r="E13" i="4" s="1"/>
  <c r="F13" i="4" s="1"/>
  <c r="G13" i="4" s="1"/>
  <c r="H13" i="4" s="1"/>
  <c r="I13" i="4" s="1"/>
  <c r="D17" i="4" s="1"/>
  <c r="I12" i="4"/>
  <c r="C7" i="5" l="1"/>
  <c r="F17" i="4"/>
  <c r="F26" i="4"/>
  <c r="G26" i="4" s="1"/>
  <c r="G29" i="4"/>
  <c r="G28" i="4"/>
  <c r="G27" i="4"/>
  <c r="D7" i="5"/>
  <c r="F18" i="4"/>
  <c r="F19" i="4"/>
  <c r="E7" i="5"/>
</calcChain>
</file>

<file path=xl/sharedStrings.xml><?xml version="1.0" encoding="utf-8"?>
<sst xmlns="http://schemas.openxmlformats.org/spreadsheetml/2006/main" count="256" uniqueCount="231">
  <si>
    <t>KOSTEN-NUTZEN-RECHNUNG (KNR)  |  Stammdaten &amp; Grundannahmen  |  2026</t>
  </si>
  <si>
    <t>Blauschrift = Eingabe  |  Schwarzschrift = berechnet  |  Alle Eingaben hier zentral pflegen</t>
  </si>
  <si>
    <t xml:space="preserve">  ▶  PROJEKTANGABEN</t>
  </si>
  <si>
    <t>Projektbezeichnung</t>
  </si>
  <si>
    <t>Allgemeines Investitions- / Maßnahmenprojekt</t>
  </si>
  <si>
    <t>Projektnummer / ID</t>
  </si>
  <si>
    <t>2026-KNR-001</t>
  </si>
  <si>
    <t>Analysezeitraum (Jahre)</t>
  </si>
  <si>
    <t>Basisjahr</t>
  </si>
  <si>
    <t>2026</t>
  </si>
  <si>
    <t>Kalkulationszinssatz (WACC)</t>
  </si>
  <si>
    <t>Währung</t>
  </si>
  <si>
    <t>EUR</t>
  </si>
  <si>
    <t>Verantwortliche Person</t>
  </si>
  <si>
    <t>Projektleitung</t>
  </si>
  <si>
    <t>Erstellungsdatum</t>
  </si>
  <si>
    <t>17.06.2026</t>
  </si>
  <si>
    <t xml:space="preserve">  ▶  VARIANTEN IM VERGLEICH (bis zu 3 Alternativen)</t>
  </si>
  <si>
    <t>Bezeichnung / Beschreibung</t>
  </si>
  <si>
    <t>Variante 1</t>
  </si>
  <si>
    <t>Variante 2</t>
  </si>
  <si>
    <t>Variante 3</t>
  </si>
  <si>
    <t>Empfehlung</t>
  </si>
  <si>
    <t>Bezeichnung</t>
  </si>
  <si>
    <t>Basisvariante (Do-minimum)</t>
  </si>
  <si>
    <t>Erweiterungsvariante</t>
  </si>
  <si>
    <t>Optimierungsvariante</t>
  </si>
  <si>
    <t>—</t>
  </si>
  <si>
    <t>Kurzbeschreibung</t>
  </si>
  <si>
    <t>Minimale Anpassung des
Bestehenden</t>
  </si>
  <si>
    <t>Vollständiger Ausbau
mit neuer Technik</t>
  </si>
  <si>
    <t>Gezielter Umbau
ohne Vollausbau</t>
  </si>
  <si>
    <t>Investitionssumme</t>
  </si>
  <si>
    <t>Analysezeitraum</t>
  </si>
  <si>
    <t>Empfohlen?</t>
  </si>
  <si>
    <t>Nein</t>
  </si>
  <si>
    <t>Ja ✔</t>
  </si>
  <si>
    <t xml:space="preserve">  ▶  DISKONTIERUNGSFAKTOREN (automatisch aus Zinssatz)</t>
  </si>
  <si>
    <t>Jahr</t>
  </si>
  <si>
    <t>Diskontfaktor</t>
  </si>
  <si>
    <t>Kumulierter Disk.faktor</t>
  </si>
  <si>
    <t>Barwertsymbol</t>
  </si>
  <si>
    <t>1/(1+r)^0</t>
  </si>
  <si>
    <t>1/(1+r)^1</t>
  </si>
  <si>
    <t>1/(1+r)^2</t>
  </si>
  <si>
    <t>1/(1+r)^3</t>
  </si>
  <si>
    <t>1/(1+r)^4</t>
  </si>
  <si>
    <t>1/(1+r)^5</t>
  </si>
  <si>
    <t>KOSTEN-NUTZEN-RECHNUNG  |  Kostenanalyse (Vollkostenbetrachtung)  |  2026</t>
  </si>
  <si>
    <t>Erfassung aller direkten und indirekten Kosten über den Analysezeitraum</t>
  </si>
  <si>
    <t xml:space="preserve">  ▶  KOSTENÜBERSICHT – PLAN 2026–2030</t>
  </si>
  <si>
    <t>Kostenart</t>
  </si>
  <si>
    <t>Einmalig /
Anschaffung</t>
  </si>
  <si>
    <t>Jahr 1
(2026)</t>
  </si>
  <si>
    <t>Jahr 2
(2027)</t>
  </si>
  <si>
    <t>Jahr 3
(2028)</t>
  </si>
  <si>
    <t>Jahr 4
(2029)</t>
  </si>
  <si>
    <t>Jahr 5
(2030)</t>
  </si>
  <si>
    <t>Gesamt
(€)</t>
  </si>
  <si>
    <t xml:space="preserve">    INVESTITIONSKOSTEN / ANSCHAFFUNG</t>
  </si>
  <si>
    <t xml:space="preserve">  Anschaffungs- / Investitionskosten</t>
  </si>
  <si>
    <t xml:space="preserve">  Planungs- &amp; Beratungskosten</t>
  </si>
  <si>
    <t xml:space="preserve">  Implementierung &amp; Inbetriebnahme</t>
  </si>
  <si>
    <t xml:space="preserve">  Schulung &amp; Qualifizierung</t>
  </si>
  <si>
    <t xml:space="preserve">    LAUFENDE BETRIEBSKOSTEN</t>
  </si>
  <si>
    <t xml:space="preserve">  Personal- &amp; Arbeitskosten</t>
  </si>
  <si>
    <t xml:space="preserve">  Material- &amp; Verbrauchskosten</t>
  </si>
  <si>
    <t xml:space="preserve">  Energie- &amp; Infrastrukturkosten</t>
  </si>
  <si>
    <t xml:space="preserve">  Wartung &amp; Instandhaltung</t>
  </si>
  <si>
    <t xml:space="preserve">  Lizenz- &amp; Softwarekosten</t>
  </si>
  <si>
    <t xml:space="preserve">    INDIREKTE &amp; SONSTIGE KOSTEN</t>
  </si>
  <si>
    <t xml:space="preserve">  Overhead &amp; Gemeinkosten (anteilig)</t>
  </si>
  <si>
    <t xml:space="preserve">  Risikopuffer &amp; Unvorhergesehenes</t>
  </si>
  <si>
    <t xml:space="preserve">  Sonstige einmalige Sonderkosten</t>
  </si>
  <si>
    <t xml:space="preserve">    OPPORTUNITÄTSKOSTEN</t>
  </si>
  <si>
    <t xml:space="preserve">  Entgangene Erträge (Anlage alternativ)</t>
  </si>
  <si>
    <t xml:space="preserve">  Interne Kapazitätskosten</t>
  </si>
  <si>
    <t xml:space="preserve">  ∑ INVESTITIONSKOSTEN / ANSCHAFFUNG</t>
  </si>
  <si>
    <t xml:space="preserve">  ∑ LAUFENDE BETRIEBSKOSTEN</t>
  </si>
  <si>
    <t xml:space="preserve">  ∑ INDIREKTE &amp; SONSTIGE KOSTEN</t>
  </si>
  <si>
    <t xml:space="preserve">  ∑ OPPORTUNITÄTSKOSTEN</t>
  </si>
  <si>
    <t xml:space="preserve">  ∑ GESAMTKOSTEN</t>
  </si>
  <si>
    <t>KOSTEN-NUTZEN-RECHNUNG  |  Nutzenanalyse (quantitativ &amp; qualitativ)  |  2026</t>
  </si>
  <si>
    <t>Monetär bewertbarer Nutzen oben  |  Qualitative Nutzenbewertung unten (gewichtet)</t>
  </si>
  <si>
    <t xml:space="preserve">  ▶  QUANTITATIVER NUTZEN (monetär bewertbar)</t>
  </si>
  <si>
    <t>Nutzenart</t>
  </si>
  <si>
    <t xml:space="preserve">    DIREKTE EINSPARUNGEN</t>
  </si>
  <si>
    <t xml:space="preserve">  Personalkosteneinsparungen</t>
  </si>
  <si>
    <t xml:space="preserve">  Materialkosteneinsparungen</t>
  </si>
  <si>
    <t xml:space="preserve">  Energieeinsparungen</t>
  </si>
  <si>
    <t xml:space="preserve">  Wegfall externer Dienstleistungen</t>
  </si>
  <si>
    <t xml:space="preserve">    ERTRAGSSTEIGERUNGEN</t>
  </si>
  <si>
    <t xml:space="preserve">  Umsatzsteigerung durch bessere Qualität</t>
  </si>
  <si>
    <t xml:space="preserve">  Neue Kundensegmente / Markterschließung</t>
  </si>
  <si>
    <t xml:space="preserve">  Schnellere Durchlaufzeiten (Opportunitätsgew.)</t>
  </si>
  <si>
    <t xml:space="preserve">    RISIKOVERMEIDUNGSNUTZEN</t>
  </si>
  <si>
    <t xml:space="preserve">  Vermiedene Strafzahlungen / Bußgelder</t>
  </si>
  <si>
    <t xml:space="preserve">  Reduzierte Fehler- &amp; Nacharbeitskosten</t>
  </si>
  <si>
    <t xml:space="preserve">  Versicherungsprämienreduktion</t>
  </si>
  <si>
    <t xml:space="preserve">    RESTWERT / LIQUIDATIONSERLÖS</t>
  </si>
  <si>
    <t xml:space="preserve">  Restwert der Investition am Laufzeitende</t>
  </si>
  <si>
    <t xml:space="preserve">  ∑ DIREKTE EINSPARUNGEN</t>
  </si>
  <si>
    <t xml:space="preserve">  ∑ ERTRAGSSTEIGERUNGEN</t>
  </si>
  <si>
    <t xml:space="preserve">  ∑ RISIKOVERMEIDUNGSNUTZEN</t>
  </si>
  <si>
    <t xml:space="preserve">  ∑ RESTWERT / LIQUIDATIONSERLÖS</t>
  </si>
  <si>
    <t xml:space="preserve">  ∑ GESAMTNUTZEN (quantitativ)</t>
  </si>
  <si>
    <t xml:space="preserve">  ▶  QUALITATIVER NUTZEN (gewichtete Punktbewertung)</t>
  </si>
  <si>
    <t>Nutzenkategorie</t>
  </si>
  <si>
    <t>Gewichtung (%)</t>
  </si>
  <si>
    <t>Bewertung
(1–10)</t>
  </si>
  <si>
    <t>Gewichteter
Wert</t>
  </si>
  <si>
    <t>Erläuterung</t>
  </si>
  <si>
    <t xml:space="preserve">  Mitarbeiterzufriedenheit &amp; Arbeitsqualität</t>
  </si>
  <si>
    <t>Spürbare Entlastung durch Automatisierung repetitiver Aufgaben</t>
  </si>
  <si>
    <t xml:space="preserve">  Kundenzufriedenheit &amp; Servicequalität</t>
  </si>
  <si>
    <t>Kürzere Reaktionszeiten und höhere Liefertreue</t>
  </si>
  <si>
    <t xml:space="preserve">  Strategische Positionierung &amp; Image</t>
  </si>
  <si>
    <t>Verbessertes Profil gegenüber Wettbewerbern</t>
  </si>
  <si>
    <t xml:space="preserve">  Compliance &amp; Rechtssicherheit</t>
  </si>
  <si>
    <t>Vollständige Einhaltung aktueller Normen und Vorschriften</t>
  </si>
  <si>
    <t xml:space="preserve">  Flexibilität &amp; Zukunftsfähigkeit</t>
  </si>
  <si>
    <t>Modularer Aufbau erlaubt spätere Erweiterungen</t>
  </si>
  <si>
    <t xml:space="preserve">  Wissensaufbau &amp; Kompetenzentwicklung</t>
  </si>
  <si>
    <t>Aufbau interner Expertise als langfristiger Vorteil</t>
  </si>
  <si>
    <t xml:space="preserve">  Nachhaltigkeitsbeitrag (ESG)</t>
  </si>
  <si>
    <t>Reduktion von CO₂-Emissionen um ca. 12 %</t>
  </si>
  <si>
    <t xml:space="preserve">  ∑ GEWICHTETER GESAMTSCORE (max. 10 Punkte)</t>
  </si>
  <si>
    <t xml:space="preserve">  Zielerreichungsgrad (% von max. 10 Punkten)</t>
  </si>
  <si>
    <t>KAPITALWERTRECHNUNG  |  NPV  |  ROI  |  Amortisation  |  IRR  |  2026</t>
  </si>
  <si>
    <t>Alle Werte aus Kosten- und Nutzenanalyse automatisch übertragen  |  Grün = Verknüpfung</t>
  </si>
  <si>
    <t xml:space="preserve">  ▶  CASHFLOW-BERECHNUNG (JÄHRLICH)</t>
  </si>
  <si>
    <t>Position</t>
  </si>
  <si>
    <t>Einmalig
(J0)</t>
  </si>
  <si>
    <t>Gesamt</t>
  </si>
  <si>
    <t>Gesamtkosten (aus Kostenanalyse)</t>
  </si>
  <si>
    <t>Gesamtnutzen (aus Nutzenanalyse)</t>
  </si>
  <si>
    <t xml:space="preserve">  NETTO-CASHFLOW (Nutzen – Kosten)</t>
  </si>
  <si>
    <t>Kumulierter Netto-Cashflow</t>
  </si>
  <si>
    <t>Diskontierungsfaktor (aus Stammdaten)</t>
  </si>
  <si>
    <t>Barwert (Netto-Cashflow × Diskontfaktor)</t>
  </si>
  <si>
    <t>Kumulierter Barwert</t>
  </si>
  <si>
    <t xml:space="preserve">  ▶  ENTSCHEIDUNGSKENNZAHLEN (KPIs)</t>
  </si>
  <si>
    <t>Kennzahl</t>
  </si>
  <si>
    <t>Formel / Methode</t>
  </si>
  <si>
    <t>Ergebnis</t>
  </si>
  <si>
    <t>Interpretation</t>
  </si>
  <si>
    <t>Bewertung</t>
  </si>
  <si>
    <t>Kapitalwert (NPV)</t>
  </si>
  <si>
    <t>Σ diskontierter Netto-Cashflows</t>
  </si>
  <si>
    <t>Positiver NPV = Investition lohnt sich</t>
  </si>
  <si>
    <t>Return on Investment (ROI)</t>
  </si>
  <si>
    <t>(Gesamtnutzen – Gesamtkosten) / Gesamtkosten</t>
  </si>
  <si>
    <t>ROI &gt; 0 % = positiver Rückfluss</t>
  </si>
  <si>
    <t>Nutzen-Kosten-Verhältnis (NKV)</t>
  </si>
  <si>
    <t>Gesamtnutzen / Gesamtkosten</t>
  </si>
  <si>
    <t>NKV &gt; 1 = Nutzen überwiegt Kosten</t>
  </si>
  <si>
    <t>Statische Amortisationsdauer</t>
  </si>
  <si>
    <t>Investition / Ø Jährlicher Nettovorteil</t>
  </si>
  <si>
    <t>Anzahl Jahre bis Kostendeckung</t>
  </si>
  <si>
    <t>Interner Zinsfuß (IRR)</t>
  </si>
  <si>
    <t>Zinssatz bei NPV = 0</t>
  </si>
  <si>
    <t>IRR &gt; WACC = Investition vorteilhaft</t>
  </si>
  <si>
    <t>Break-Even-Cashflow (Jahr)</t>
  </si>
  <si>
    <t>Erstes Jahr mit kumulativem Cashflow &gt; 0</t>
  </si>
  <si>
    <t>Je früher, desto geringer das Risiko</t>
  </si>
  <si>
    <t xml:space="preserve">  ▶  SENSITIVITÄTSANALYSE  |  Was-wäre-wenn (Zinssatz &amp; Nutzenabweichung)</t>
  </si>
  <si>
    <t>Szenario</t>
  </si>
  <si>
    <t>Annahme</t>
  </si>
  <si>
    <t>Zins (WACC)</t>
  </si>
  <si>
    <t>Nutzen-Abw.</t>
  </si>
  <si>
    <t>Berech. NPV</t>
  </si>
  <si>
    <t>Δ zum Basis-NPV</t>
  </si>
  <si>
    <t>Basisszenario</t>
  </si>
  <si>
    <t>Keine Änderung</t>
  </si>
  <si>
    <t>Referenz</t>
  </si>
  <si>
    <t>Optimistisch</t>
  </si>
  <si>
    <t>Nutzen +15 %, WACC –2 %</t>
  </si>
  <si>
    <t>✔ Robuster Vorteil</t>
  </si>
  <si>
    <t>Pessimistisch</t>
  </si>
  <si>
    <t>Nutzen –15 %, WACC +2 %</t>
  </si>
  <si>
    <t>⚠ Risiko prüfen</t>
  </si>
  <si>
    <t>Stress-Test</t>
  </si>
  <si>
    <t>Nutzen –25 %, WACC +4 %</t>
  </si>
  <si>
    <t>✘ Kritisch</t>
  </si>
  <si>
    <t>Zusammenfassung aller KPIs  |  Variantenvergleich  |  Empfehlung</t>
  </si>
  <si>
    <t xml:space="preserve">  ▶  ZENTRALE ERGEBNISKENNZAHLEN</t>
  </si>
  <si>
    <t>ROI (5 Jahre)</t>
  </si>
  <si>
    <t>NKV (N/K)</t>
  </si>
  <si>
    <t>Amortisation</t>
  </si>
  <si>
    <t>IRR</t>
  </si>
  <si>
    <t>Qual. Score</t>
  </si>
  <si>
    <t xml:space="preserve">  ▶  VARIANTENVERGLEICH (Nutzwertanalyse gewichtet)</t>
  </si>
  <si>
    <t>Bewertungskriterium</t>
  </si>
  <si>
    <t>Gewichtung</t>
  </si>
  <si>
    <t>Variante 1
Basisvariante</t>
  </si>
  <si>
    <t>Variante 2
Erweiterung</t>
  </si>
  <si>
    <t>Variante 3
Optimierung</t>
  </si>
  <si>
    <t xml:space="preserve">  Kapitalwert (NPV)</t>
  </si>
  <si>
    <t xml:space="preserve">  ROI / Rentabilität</t>
  </si>
  <si>
    <t xml:space="preserve">  Amortisationsdauer</t>
  </si>
  <si>
    <t xml:space="preserve">  Risikogehalt</t>
  </si>
  <si>
    <t xml:space="preserve">  Qualitativer Nutzen (Score)</t>
  </si>
  <si>
    <t xml:space="preserve">  Strategische Passung</t>
  </si>
  <si>
    <t xml:space="preserve">  Umsetzungsaufwand (invers)</t>
  </si>
  <si>
    <t xml:space="preserve">  ∑ NUTZWERT (gewichtet, max. 10 Punkte)</t>
  </si>
  <si>
    <t xml:space="preserve">  ▶  EMPFOHLENE VARIANTE</t>
  </si>
  <si>
    <t>Variante 3 ✔</t>
  </si>
  <si>
    <t xml:space="preserve">  ▶  ENTSCHEIDUNGSEMPFEHLUNG &amp; BEGRÜNDUNG</t>
  </si>
  <si>
    <t>EMPFEHLUNG: Umsetzung der Variante 3 (Optimierungsvariante)  |  Entscheidungsgrundlage 2026
Die Kosten-Nutzen-Analyse zeigt, dass das geplante Vorhaben bei Umsetzung der Variante 3 einen positiven Kapitalwert (NPV &gt; 0) erzielt und der Interne Zinsfuß (IRR) deutlich über dem Kalkulationszinssatz (WACC) liegt. Das Nutzen-Kosten-Verhältnis (NKV &gt; 1,0) bestätigt, dass der Gesamtnutzen die anfallenden Kosten übersteigt. Die statische Amortisationszeit liegt innerhalb des Analysezeitraums. Die qualitative Nutzenbewertung ergibt einen gewichteten Score von &gt; 6,5/10, was auf signifikante nicht-monetäre Vorteile hinweist. Die Sensitivitätsanalyse zeigt, dass die Vorteilhaftigkeit auch unter pessimistischen Annahmen erhalten bleibt.</t>
  </si>
  <si>
    <t xml:space="preserve">  ▶  RISIKOÜBERSICHT</t>
  </si>
  <si>
    <t>Risiko</t>
  </si>
  <si>
    <t>Eintritts-W'keit
(1–5)</t>
  </si>
  <si>
    <t>Auswirkung
(1–5)</t>
  </si>
  <si>
    <t>Risiko-Score
(W×A)</t>
  </si>
  <si>
    <t>Maßnahme</t>
  </si>
  <si>
    <t>Restrisiko</t>
  </si>
  <si>
    <t xml:space="preserve">  Kostenüberschreitung (&gt; 10 %)</t>
  </si>
  <si>
    <t>Detaillierte Planung, Pufferpositionen</t>
  </si>
  <si>
    <t>Mittel</t>
  </si>
  <si>
    <t xml:space="preserve">  Terminverzug Umsetzung</t>
  </si>
  <si>
    <t>Phasenplanung mit Meilensteinen</t>
  </si>
  <si>
    <t>Niedrig</t>
  </si>
  <si>
    <t xml:space="preserve">  Nutzenunterschreitung (&lt; 80 %)</t>
  </si>
  <si>
    <t>Konservative Nutzenplanung (worst-case)</t>
  </si>
  <si>
    <t xml:space="preserve">  Technisches Umsetzungsrisiko</t>
  </si>
  <si>
    <t>Pilotphase &amp; Abnahmetests</t>
  </si>
  <si>
    <t xml:space="preserve">  Widerstand der Beteiligten</t>
  </si>
  <si>
    <t>Change-Management-Prozess</t>
  </si>
  <si>
    <t xml:space="preserve">  Zinssatzänderung (WACC-Risiko)</t>
  </si>
  <si>
    <t>Sensitivitätsanalyse durchführen</t>
  </si>
  <si>
    <t>KOSTEN-NUTZEN-RECHNUNG  |  Ergebnisse &amp; Entscheidungsmatrix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</si>
</sst>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%"/>
    <numFmt numFmtId="165" formatCode="#,##0&quot; €&quot;;[Red]\(#,##0&quot; €)&quot;;\-"/>
    <numFmt numFmtId="166" formatCode="&quot;All&quot;geme&quot;in&quot;"/>
    <numFmt numFmtId="167" formatCode="0.00\x"/>
    <numFmt numFmtId="168" formatCode="0.0&quot; Jahre&quot;"/>
    <numFmt numFmtId="169" formatCode="0.0&quot; J.&quot;"/>
  </numFmts>
  <fonts count="23" x14ac:knownFonts="1">
    <font>
      <sz val="11"/>
      <color theme="1"/>
      <name val="Calibri"/>
      <family val="2"/>
      <charset val="1"/>
    </font>
    <font>
      <b/>
      <sz val="16"/>
      <color rgb="FFFFFFFF"/>
      <name val="Arial"/>
      <charset val="1"/>
    </font>
    <font>
      <i/>
      <sz val="9"/>
      <color rgb="FF595959"/>
      <name val="Arial"/>
      <charset val="1"/>
    </font>
    <font>
      <b/>
      <sz val="10"/>
      <color rgb="FFFFFFFF"/>
      <name val="Arial"/>
      <charset val="1"/>
    </font>
    <font>
      <b/>
      <sz val="9"/>
      <color rgb="FF1A1A1A"/>
      <name val="Arial"/>
      <charset val="1"/>
    </font>
    <font>
      <b/>
      <sz val="9"/>
      <color rgb="FF0000FF"/>
      <name val="Arial"/>
      <charset val="1"/>
    </font>
    <font>
      <sz val="9"/>
      <color rgb="FF1A1A1A"/>
      <name val="Arial"/>
      <charset val="1"/>
    </font>
    <font>
      <sz val="9"/>
      <color rgb="FF000000"/>
      <name val="Arial"/>
      <charset val="1"/>
    </font>
    <font>
      <b/>
      <sz val="9"/>
      <color rgb="FFFFFFFF"/>
      <name val="Arial"/>
      <charset val="1"/>
    </font>
    <font>
      <sz val="9"/>
      <color rgb="FF0000FF"/>
      <name val="Arial"/>
      <charset val="1"/>
    </font>
    <font>
      <sz val="8"/>
      <color rgb="FF595959"/>
      <name val="Arial"/>
      <charset val="1"/>
    </font>
    <font>
      <sz val="9"/>
      <color rgb="FF008000"/>
      <name val="Arial"/>
      <charset val="1"/>
    </font>
    <font>
      <sz val="9"/>
      <color rgb="FF595959"/>
      <name val="Arial"/>
      <charset val="1"/>
    </font>
    <font>
      <b/>
      <sz val="10"/>
      <color rgb="FF000000"/>
      <name val="Arial"/>
      <charset val="1"/>
    </font>
    <font>
      <b/>
      <sz val="9"/>
      <color rgb="FF000000"/>
      <name val="Arial"/>
      <charset val="1"/>
    </font>
    <font>
      <sz val="9"/>
      <color rgb="FF375623"/>
      <name val="Arial"/>
      <charset val="1"/>
    </font>
    <font>
      <sz val="9"/>
      <color rgb="FFC55A11"/>
      <name val="Arial"/>
      <charset val="1"/>
    </font>
    <font>
      <sz val="9"/>
      <color rgb="FFC00000"/>
      <name val="Arial"/>
      <charset val="1"/>
    </font>
    <font>
      <sz val="9"/>
      <color rgb="FFFFFFFF"/>
      <name val="Arial"/>
      <charset val="1"/>
    </font>
    <font>
      <b/>
      <sz val="15"/>
      <color rgb="FFFFFFFF"/>
      <name val="Arial"/>
      <charset val="1"/>
    </font>
    <font>
      <b/>
      <sz val="10"/>
      <color rgb="FFA6A6A6"/>
      <name val="Arial"/>
      <charset val="1"/>
    </font>
    <font>
      <b/>
      <sz val="9"/>
      <color rgb="FFC55A11"/>
      <name val="Arial"/>
      <charset val="1"/>
    </font>
    <font>
      <b/>
      <sz val="9"/>
      <color rgb="FF375623"/>
      <name val="Arial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17375E"/>
      </patternFill>
    </fill>
    <fill>
      <patternFill patternType="solid">
        <fgColor rgb="FFF2F2F2"/>
        <bgColor rgb="FFE2EFDA"/>
      </patternFill>
    </fill>
    <fill>
      <patternFill patternType="solid">
        <fgColor rgb="FF2E75B6"/>
        <bgColor rgb="FF0066CC"/>
      </patternFill>
    </fill>
    <fill>
      <patternFill patternType="solid">
        <fgColor rgb="FFD9D9D9"/>
        <bgColor rgb="FFBDD7EE"/>
      </patternFill>
    </fill>
    <fill>
      <patternFill patternType="solid">
        <fgColor rgb="FFFFFFFF"/>
        <bgColor rgb="FFF2F2F2"/>
      </patternFill>
    </fill>
    <fill>
      <patternFill patternType="solid">
        <fgColor rgb="FFFFFF99"/>
        <bgColor rgb="FFE2EFDA"/>
      </patternFill>
    </fill>
    <fill>
      <patternFill patternType="solid">
        <fgColor rgb="FFBDD7EE"/>
        <bgColor rgb="FFD9D9D9"/>
      </patternFill>
    </fill>
    <fill>
      <patternFill patternType="solid">
        <fgColor rgb="FFE2EFDA"/>
        <bgColor rgb="FFF2F2F2"/>
      </patternFill>
    </fill>
    <fill>
      <patternFill patternType="solid">
        <fgColor rgb="FF17375E"/>
        <bgColor rgb="FF1F3864"/>
      </patternFill>
    </fill>
    <fill>
      <patternFill patternType="solid">
        <fgColor rgb="FF00B050"/>
        <bgColor rgb="FF008080"/>
      </patternFill>
    </fill>
    <fill>
      <patternFill patternType="solid">
        <fgColor rgb="FFC55A11"/>
        <bgColor rgb="FF993300"/>
      </patternFill>
    </fill>
    <fill>
      <patternFill patternType="solid">
        <fgColor theme="3" tint="-0.499984740745262"/>
        <bgColor rgb="FF17375E"/>
      </patternFill>
    </fill>
  </fills>
  <borders count="3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medium">
        <color rgb="FF7F7F7F"/>
      </left>
      <right/>
      <top style="medium">
        <color rgb="FF7F7F7F"/>
      </top>
      <bottom style="medium">
        <color rgb="FF7F7F7F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8" fillId="10" borderId="1" xfId="0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center" vertical="center" wrapText="1"/>
    </xf>
    <xf numFmtId="3" fontId="5" fillId="7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6" fillId="9" borderId="2" xfId="0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4" fontId="7" fillId="6" borderId="1" xfId="0" applyNumberFormat="1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0" fillId="6" borderId="1" xfId="0" applyFill="1" applyBorder="1"/>
    <xf numFmtId="4" fontId="7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6" fillId="6" borderId="1" xfId="0" applyFont="1" applyFill="1" applyBorder="1" applyAlignment="1">
      <alignment horizontal="left" vertical="center" wrapText="1"/>
    </xf>
    <xf numFmtId="165" fontId="9" fillId="6" borderId="1" xfId="0" applyNumberFormat="1" applyFont="1" applyFill="1" applyBorder="1" applyAlignment="1">
      <alignment horizontal="center" vertical="center" wrapText="1"/>
    </xf>
    <xf numFmtId="165" fontId="7" fillId="6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165" fontId="9" fillId="3" borderId="1" xfId="0" applyNumberFormat="1" applyFont="1" applyFill="1" applyBorder="1" applyAlignment="1">
      <alignment horizontal="center" vertical="center" wrapText="1"/>
    </xf>
    <xf numFmtId="165" fontId="7" fillId="3" borderId="1" xfId="0" applyNumberFormat="1" applyFont="1" applyFill="1" applyBorder="1" applyAlignment="1">
      <alignment horizontal="center" vertical="center" wrapText="1"/>
    </xf>
    <xf numFmtId="165" fontId="8" fillId="4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left" vertical="center" wrapText="1"/>
    </xf>
    <xf numFmtId="165" fontId="8" fillId="11" borderId="1" xfId="0" applyNumberFormat="1" applyFont="1" applyFill="1" applyBorder="1" applyAlignment="1">
      <alignment horizontal="center" vertical="center" wrapText="1"/>
    </xf>
    <xf numFmtId="9" fontId="9" fillId="7" borderId="1" xfId="0" applyNumberFormat="1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10" fillId="6" borderId="1" xfId="0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4" fontId="3" fillId="2" borderId="1" xfId="0" applyNumberFormat="1" applyFont="1" applyFill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left" vertical="center" wrapText="1"/>
    </xf>
    <xf numFmtId="0" fontId="0" fillId="11" borderId="1" xfId="0" applyFill="1" applyBorder="1"/>
    <xf numFmtId="164" fontId="3" fillId="11" borderId="1" xfId="0" applyNumberFormat="1" applyFont="1" applyFill="1" applyBorder="1" applyAlignment="1">
      <alignment horizontal="center" vertical="center" wrapText="1"/>
    </xf>
    <xf numFmtId="165" fontId="11" fillId="3" borderId="1" xfId="0" applyNumberFormat="1" applyFont="1" applyFill="1" applyBorder="1" applyAlignment="1">
      <alignment horizontal="center" vertical="center" wrapText="1"/>
    </xf>
    <xf numFmtId="165" fontId="11" fillId="6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165" fontId="13" fillId="9" borderId="1" xfId="0" applyNumberFormat="1" applyFont="1" applyFill="1" applyBorder="1" applyAlignment="1">
      <alignment horizontal="center" vertical="center" wrapText="1"/>
    </xf>
    <xf numFmtId="166" fontId="7" fillId="9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164" fontId="13" fillId="9" borderId="1" xfId="0" applyNumberFormat="1" applyFont="1" applyFill="1" applyBorder="1" applyAlignment="1">
      <alignment horizontal="center" vertical="center" wrapText="1"/>
    </xf>
    <xf numFmtId="167" fontId="13" fillId="9" borderId="1" xfId="0" applyNumberFormat="1" applyFont="1" applyFill="1" applyBorder="1" applyAlignment="1">
      <alignment horizontal="center" vertical="center" wrapText="1"/>
    </xf>
    <xf numFmtId="168" fontId="13" fillId="9" borderId="1" xfId="0" applyNumberFormat="1" applyFont="1" applyFill="1" applyBorder="1" applyAlignment="1">
      <alignment horizontal="center" vertical="center" wrapText="1"/>
    </xf>
    <xf numFmtId="166" fontId="13" fillId="9" borderId="1" xfId="0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165" fontId="14" fillId="6" borderId="1" xfId="0" applyNumberFormat="1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16" fillId="6" borderId="1" xfId="0" applyFont="1" applyFill="1" applyBorder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0" fillId="5" borderId="1" xfId="0" applyFill="1" applyBorder="1"/>
    <xf numFmtId="0" fontId="18" fillId="2" borderId="1" xfId="0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8" fillId="11" borderId="1" xfId="0" applyFont="1" applyFill="1" applyBorder="1" applyAlignment="1">
      <alignment horizontal="center" vertical="center" wrapText="1"/>
    </xf>
    <xf numFmtId="0" fontId="18" fillId="12" borderId="1" xfId="0" applyFont="1" applyFill="1" applyBorder="1" applyAlignment="1">
      <alignment horizontal="center" vertical="center" wrapText="1"/>
    </xf>
    <xf numFmtId="0" fontId="18" fillId="10" borderId="1" xfId="0" applyFont="1" applyFill="1" applyBorder="1" applyAlignment="1">
      <alignment horizontal="center" vertical="center" wrapText="1"/>
    </xf>
    <xf numFmtId="165" fontId="19" fillId="2" borderId="1" xfId="0" applyNumberFormat="1" applyFont="1" applyFill="1" applyBorder="1" applyAlignment="1">
      <alignment horizontal="center" vertical="center" wrapText="1"/>
    </xf>
    <xf numFmtId="164" fontId="19" fillId="4" borderId="1" xfId="0" applyNumberFormat="1" applyFont="1" applyFill="1" applyBorder="1" applyAlignment="1">
      <alignment horizontal="center" vertical="center" wrapText="1"/>
    </xf>
    <xf numFmtId="167" fontId="19" fillId="11" borderId="1" xfId="0" applyNumberFormat="1" applyFont="1" applyFill="1" applyBorder="1" applyAlignment="1">
      <alignment horizontal="center" vertical="center" wrapText="1"/>
    </xf>
    <xf numFmtId="169" fontId="19" fillId="12" borderId="1" xfId="0" applyNumberFormat="1" applyFont="1" applyFill="1" applyBorder="1" applyAlignment="1">
      <alignment horizontal="center" vertical="center" wrapText="1"/>
    </xf>
    <xf numFmtId="164" fontId="19" fillId="10" borderId="1" xfId="0" applyNumberFormat="1" applyFont="1" applyFill="1" applyBorder="1" applyAlignment="1">
      <alignment horizontal="center" vertical="center" wrapText="1"/>
    </xf>
    <xf numFmtId="4" fontId="19" fillId="4" borderId="1" xfId="0" applyNumberFormat="1" applyFont="1" applyFill="1" applyBorder="1" applyAlignment="1">
      <alignment horizontal="center" vertical="center" wrapText="1"/>
    </xf>
    <xf numFmtId="0" fontId="20" fillId="11" borderId="1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3" fontId="7" fillId="6" borderId="1" xfId="0" applyNumberFormat="1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F99CC"/>
      <rgbColor rgb="FFCC99FF"/>
      <rgbColor rgb="FFD9D9D9"/>
      <rgbColor rgb="FF2E75B6"/>
      <rgbColor rgb="FF33CCCC"/>
      <rgbColor rgb="FF99CC00"/>
      <rgbColor rgb="FFFFCC00"/>
      <rgbColor rgb="FFFF9900"/>
      <rgbColor rgb="FFC55A11"/>
      <rgbColor rgb="FF595959"/>
      <rgbColor rgb="FFA6A6A6"/>
      <rgbColor rgb="FF17375E"/>
      <rgbColor rgb="FF00B050"/>
      <rgbColor rgb="FF375623"/>
      <rgbColor rgb="FF1A1A1A"/>
      <rgbColor rgb="FF993300"/>
      <rgbColor rgb="FF993366"/>
      <rgbColor rgb="FF333399"/>
      <rgbColor rgb="FF1F3864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31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0" customWidth="1"/>
    <col min="3" max="9" width="20" customWidth="1"/>
    <col min="10" max="10" width="2" customWidth="1"/>
  </cols>
  <sheetData>
    <row r="1" spans="2:9" ht="4.5" customHeight="1" x14ac:dyDescent="0.25"/>
    <row r="2" spans="2:9" ht="37.5" customHeight="1" x14ac:dyDescent="0.25">
      <c r="B2" s="8" t="s">
        <v>0</v>
      </c>
      <c r="C2" s="8"/>
      <c r="D2" s="8"/>
      <c r="E2" s="8"/>
      <c r="F2" s="8"/>
      <c r="G2" s="8"/>
      <c r="H2" s="8"/>
      <c r="I2" s="8"/>
    </row>
    <row r="3" spans="2:9" ht="13.5" customHeight="1" x14ac:dyDescent="0.25">
      <c r="B3" s="7" t="s">
        <v>1</v>
      </c>
      <c r="C3" s="7"/>
      <c r="D3" s="7"/>
      <c r="E3" s="7"/>
      <c r="F3" s="7"/>
      <c r="G3" s="7"/>
      <c r="H3" s="7"/>
      <c r="I3" s="7"/>
    </row>
    <row r="4" spans="2:9" ht="4.5" customHeight="1" x14ac:dyDescent="0.25"/>
    <row r="5" spans="2:9" ht="19.5" customHeight="1" x14ac:dyDescent="0.25">
      <c r="B5" s="6" t="s">
        <v>2</v>
      </c>
      <c r="C5" s="6"/>
      <c r="D5" s="6"/>
      <c r="E5" s="6"/>
      <c r="F5" s="6"/>
      <c r="G5" s="6"/>
      <c r="H5" s="6"/>
      <c r="I5" s="6"/>
    </row>
    <row r="6" spans="2:9" ht="12" customHeight="1" x14ac:dyDescent="0.25"/>
    <row r="7" spans="2:9" ht="19.5" customHeight="1" x14ac:dyDescent="0.25">
      <c r="B7" s="11" t="s">
        <v>3</v>
      </c>
      <c r="C7" s="4" t="s">
        <v>4</v>
      </c>
      <c r="D7" s="4"/>
      <c r="E7" s="4"/>
      <c r="F7" s="4"/>
      <c r="G7" s="4"/>
      <c r="H7" s="4"/>
      <c r="I7" s="4"/>
    </row>
    <row r="8" spans="2:9" ht="19.5" customHeight="1" x14ac:dyDescent="0.25">
      <c r="B8" s="11" t="s">
        <v>5</v>
      </c>
      <c r="C8" s="4" t="s">
        <v>6</v>
      </c>
      <c r="D8" s="4"/>
      <c r="E8" s="4"/>
      <c r="F8" s="4"/>
      <c r="G8" s="4"/>
      <c r="H8" s="4"/>
      <c r="I8" s="4"/>
    </row>
    <row r="9" spans="2:9" ht="19.5" customHeight="1" x14ac:dyDescent="0.25">
      <c r="B9" s="11" t="s">
        <v>7</v>
      </c>
      <c r="C9" s="3">
        <v>5</v>
      </c>
      <c r="D9" s="3"/>
      <c r="E9" s="3"/>
      <c r="F9" s="3"/>
      <c r="G9" s="3"/>
      <c r="H9" s="3"/>
      <c r="I9" s="3"/>
    </row>
    <row r="10" spans="2:9" ht="19.5" customHeight="1" x14ac:dyDescent="0.25">
      <c r="B10" s="11" t="s">
        <v>8</v>
      </c>
      <c r="C10" s="4" t="s">
        <v>9</v>
      </c>
      <c r="D10" s="4"/>
      <c r="E10" s="4"/>
      <c r="F10" s="4"/>
      <c r="G10" s="4"/>
      <c r="H10" s="4"/>
      <c r="I10" s="4"/>
    </row>
    <row r="11" spans="2:9" ht="19.5" customHeight="1" x14ac:dyDescent="0.25">
      <c r="B11" s="11" t="s">
        <v>10</v>
      </c>
      <c r="C11" s="2">
        <v>0.08</v>
      </c>
      <c r="D11" s="2"/>
      <c r="E11" s="2"/>
      <c r="F11" s="2"/>
      <c r="G11" s="2"/>
      <c r="H11" s="2"/>
      <c r="I11" s="2"/>
    </row>
    <row r="12" spans="2:9" ht="19.5" customHeight="1" x14ac:dyDescent="0.25">
      <c r="B12" s="11" t="s">
        <v>11</v>
      </c>
      <c r="C12" s="4" t="s">
        <v>12</v>
      </c>
      <c r="D12" s="4"/>
      <c r="E12" s="4"/>
      <c r="F12" s="4"/>
      <c r="G12" s="4"/>
      <c r="H12" s="4"/>
      <c r="I12" s="4"/>
    </row>
    <row r="13" spans="2:9" ht="19.5" customHeight="1" x14ac:dyDescent="0.25">
      <c r="B13" s="11" t="s">
        <v>13</v>
      </c>
      <c r="C13" s="4" t="s">
        <v>14</v>
      </c>
      <c r="D13" s="4"/>
      <c r="E13" s="4"/>
      <c r="F13" s="4"/>
      <c r="G13" s="4"/>
      <c r="H13" s="4"/>
      <c r="I13" s="4"/>
    </row>
    <row r="14" spans="2:9" ht="19.5" customHeight="1" x14ac:dyDescent="0.25">
      <c r="B14" s="11" t="s">
        <v>15</v>
      </c>
      <c r="C14" s="4" t="s">
        <v>16</v>
      </c>
      <c r="D14" s="4"/>
      <c r="E14" s="4"/>
      <c r="F14" s="4"/>
      <c r="G14" s="4"/>
      <c r="H14" s="4"/>
      <c r="I14" s="4"/>
    </row>
    <row r="15" spans="2:9" ht="4.5" customHeight="1" x14ac:dyDescent="0.25"/>
    <row r="16" spans="2:9" ht="19.5" customHeight="1" x14ac:dyDescent="0.25">
      <c r="B16" s="6" t="s">
        <v>17</v>
      </c>
      <c r="C16" s="6"/>
      <c r="D16" s="6"/>
      <c r="E16" s="6"/>
      <c r="F16" s="6"/>
      <c r="G16" s="6"/>
      <c r="H16" s="6"/>
      <c r="I16" s="6"/>
    </row>
    <row r="17" spans="2:9" ht="24" customHeight="1" x14ac:dyDescent="0.25">
      <c r="B17" s="12" t="s">
        <v>18</v>
      </c>
      <c r="C17" s="12" t="s">
        <v>19</v>
      </c>
      <c r="D17" s="12" t="s">
        <v>20</v>
      </c>
      <c r="E17" s="12" t="s">
        <v>21</v>
      </c>
      <c r="F17" s="12" t="s">
        <v>22</v>
      </c>
    </row>
    <row r="18" spans="2:9" ht="19.5" customHeight="1" x14ac:dyDescent="0.25">
      <c r="B18" s="11" t="s">
        <v>23</v>
      </c>
      <c r="C18" s="13" t="s">
        <v>24</v>
      </c>
      <c r="D18" s="13" t="s">
        <v>25</v>
      </c>
      <c r="E18" s="13" t="s">
        <v>26</v>
      </c>
      <c r="F18" s="13" t="s">
        <v>27</v>
      </c>
    </row>
    <row r="19" spans="2:9" ht="31.5" customHeight="1" x14ac:dyDescent="0.25">
      <c r="B19" s="11" t="s">
        <v>28</v>
      </c>
      <c r="C19" s="14" t="s">
        <v>29</v>
      </c>
      <c r="D19" s="14" t="s">
        <v>30</v>
      </c>
      <c r="E19" s="14" t="s">
        <v>31</v>
      </c>
      <c r="F19" s="14" t="s">
        <v>27</v>
      </c>
    </row>
    <row r="20" spans="2:9" ht="19.5" customHeight="1" x14ac:dyDescent="0.25">
      <c r="B20" s="11" t="s">
        <v>32</v>
      </c>
    </row>
    <row r="21" spans="2:9" ht="19.5" customHeight="1" x14ac:dyDescent="0.25">
      <c r="B21" s="11" t="s">
        <v>33</v>
      </c>
      <c r="C21" s="15" t="str">
        <f>C9&amp;" Jahre"</f>
        <v>5 Jahre</v>
      </c>
      <c r="D21" s="15" t="str">
        <f>C9&amp;" Jahre"</f>
        <v>5 Jahre</v>
      </c>
      <c r="E21" s="15" t="str">
        <f>C9&amp;" Jahre"</f>
        <v>5 Jahre</v>
      </c>
      <c r="F21" s="16" t="s">
        <v>27</v>
      </c>
    </row>
    <row r="22" spans="2:9" ht="19.5" customHeight="1" x14ac:dyDescent="0.25">
      <c r="B22" s="11" t="s">
        <v>34</v>
      </c>
      <c r="C22" s="13" t="s">
        <v>35</v>
      </c>
      <c r="D22" s="13" t="s">
        <v>35</v>
      </c>
      <c r="E22" s="17" t="s">
        <v>36</v>
      </c>
      <c r="F22" s="13" t="s">
        <v>27</v>
      </c>
    </row>
    <row r="23" spans="2:9" ht="4.5" customHeight="1" x14ac:dyDescent="0.25"/>
    <row r="24" spans="2:9" ht="19.5" customHeight="1" x14ac:dyDescent="0.25">
      <c r="B24" s="6" t="s">
        <v>37</v>
      </c>
      <c r="C24" s="6"/>
      <c r="D24" s="6"/>
      <c r="E24" s="6"/>
      <c r="F24" s="6"/>
      <c r="G24" s="6"/>
      <c r="H24" s="6"/>
      <c r="I24" s="6"/>
    </row>
    <row r="25" spans="2:9" ht="24" customHeight="1" x14ac:dyDescent="0.25">
      <c r="B25" s="12" t="s">
        <v>38</v>
      </c>
      <c r="C25" s="12" t="s">
        <v>39</v>
      </c>
      <c r="D25" s="12" t="s">
        <v>40</v>
      </c>
      <c r="E25" s="12" t="s">
        <v>41</v>
      </c>
    </row>
    <row r="26" spans="2:9" ht="18.75" customHeight="1" x14ac:dyDescent="0.25">
      <c r="B26" s="13">
        <v>0</v>
      </c>
      <c r="C26" s="18">
        <f>1</f>
        <v>1</v>
      </c>
      <c r="D26" s="18">
        <f>1</f>
        <v>1</v>
      </c>
      <c r="E26" s="19" t="s">
        <v>42</v>
      </c>
      <c r="F26" s="20"/>
      <c r="G26" s="20"/>
      <c r="H26" s="20"/>
      <c r="I26" s="20"/>
    </row>
    <row r="27" spans="2:9" ht="18.75" customHeight="1" x14ac:dyDescent="0.25">
      <c r="B27" s="14">
        <v>1</v>
      </c>
      <c r="C27" s="21">
        <f>1/(1+C11)^B27</f>
        <v>0.92592592592592582</v>
      </c>
      <c r="D27" s="21">
        <f>SUM($C$26:C27)</f>
        <v>1.9259259259259258</v>
      </c>
      <c r="E27" s="9" t="s">
        <v>43</v>
      </c>
      <c r="F27" s="22"/>
      <c r="G27" s="22"/>
      <c r="H27" s="22"/>
      <c r="I27" s="22"/>
    </row>
    <row r="28" spans="2:9" ht="18.75" customHeight="1" x14ac:dyDescent="0.25">
      <c r="B28" s="13">
        <v>2</v>
      </c>
      <c r="C28" s="18">
        <f>1/(1+C11)^B28</f>
        <v>0.85733882030178321</v>
      </c>
      <c r="D28" s="18">
        <f>SUM($C$26:C28)</f>
        <v>2.7832647462277089</v>
      </c>
      <c r="E28" s="19" t="s">
        <v>44</v>
      </c>
      <c r="F28" s="20"/>
      <c r="G28" s="20"/>
      <c r="H28" s="20"/>
      <c r="I28" s="20"/>
    </row>
    <row r="29" spans="2:9" ht="18.75" customHeight="1" x14ac:dyDescent="0.25">
      <c r="B29" s="14">
        <v>3</v>
      </c>
      <c r="C29" s="21">
        <f>1/(1+C11)^B29</f>
        <v>0.79383224102016958</v>
      </c>
      <c r="D29" s="21">
        <f>SUM($C$26:C29)</f>
        <v>3.5770969872478786</v>
      </c>
      <c r="E29" s="9" t="s">
        <v>45</v>
      </c>
      <c r="F29" s="22"/>
      <c r="G29" s="22"/>
      <c r="H29" s="22"/>
      <c r="I29" s="22"/>
    </row>
    <row r="30" spans="2:9" ht="18.75" customHeight="1" x14ac:dyDescent="0.25">
      <c r="B30" s="13">
        <v>4</v>
      </c>
      <c r="C30" s="18">
        <f>1/(1+C11)^B30</f>
        <v>0.73502985279645328</v>
      </c>
      <c r="D30" s="18">
        <f>SUM($C$26:C30)</f>
        <v>4.312126840044332</v>
      </c>
      <c r="E30" s="19" t="s">
        <v>46</v>
      </c>
      <c r="F30" s="20"/>
      <c r="G30" s="20"/>
      <c r="H30" s="20"/>
      <c r="I30" s="20"/>
    </row>
    <row r="31" spans="2:9" ht="18.75" customHeight="1" x14ac:dyDescent="0.25">
      <c r="B31" s="14">
        <v>5</v>
      </c>
      <c r="C31" s="21">
        <f>1/(1+C11)^B31</f>
        <v>0.68058319703375303</v>
      </c>
      <c r="D31" s="21">
        <f>SUM($C$26:C31)</f>
        <v>4.9927100370780853</v>
      </c>
      <c r="E31" s="9" t="s">
        <v>47</v>
      </c>
      <c r="F31" s="22"/>
      <c r="G31" s="22"/>
      <c r="H31" s="22"/>
      <c r="I31" s="22"/>
    </row>
  </sheetData>
  <mergeCells count="13">
    <mergeCell ref="C14:I14"/>
    <mergeCell ref="B16:I16"/>
    <mergeCell ref="B24:I24"/>
    <mergeCell ref="C9:I9"/>
    <mergeCell ref="C10:I10"/>
    <mergeCell ref="C11:I11"/>
    <mergeCell ref="C12:I12"/>
    <mergeCell ref="C13:I13"/>
    <mergeCell ref="B2:I2"/>
    <mergeCell ref="B3:I3"/>
    <mergeCell ref="B5:I5"/>
    <mergeCell ref="C7:I7"/>
    <mergeCell ref="C8:I8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4" customWidth="1"/>
    <col min="3" max="8" width="16" customWidth="1"/>
    <col min="9" max="9" width="18" customWidth="1"/>
    <col min="10" max="10" width="2" customWidth="1"/>
  </cols>
  <sheetData>
    <row r="1" spans="2:9" ht="4.5" customHeight="1" x14ac:dyDescent="0.25"/>
    <row r="2" spans="2:9" ht="37.5" customHeight="1" x14ac:dyDescent="0.25">
      <c r="B2" s="8" t="s">
        <v>48</v>
      </c>
      <c r="C2" s="8"/>
      <c r="D2" s="8"/>
      <c r="E2" s="8"/>
      <c r="F2" s="8"/>
      <c r="G2" s="8"/>
      <c r="H2" s="8"/>
      <c r="I2" s="8"/>
    </row>
    <row r="3" spans="2:9" ht="13.5" customHeight="1" x14ac:dyDescent="0.25">
      <c r="B3" s="7" t="s">
        <v>49</v>
      </c>
      <c r="C3" s="7"/>
      <c r="D3" s="7"/>
      <c r="E3" s="7"/>
      <c r="F3" s="7"/>
      <c r="G3" s="7"/>
      <c r="H3" s="7"/>
      <c r="I3" s="7"/>
    </row>
    <row r="4" spans="2:9" ht="4.5" customHeight="1" x14ac:dyDescent="0.25"/>
    <row r="5" spans="2:9" ht="19.5" customHeight="1" x14ac:dyDescent="0.25">
      <c r="B5" s="6" t="s">
        <v>50</v>
      </c>
      <c r="C5" s="6"/>
      <c r="D5" s="6"/>
      <c r="E5" s="6"/>
      <c r="F5" s="6"/>
      <c r="G5" s="6"/>
      <c r="H5" s="6"/>
      <c r="I5" s="6"/>
    </row>
    <row r="6" spans="2:9" ht="31.5" customHeight="1" x14ac:dyDescent="0.25">
      <c r="B6" s="12" t="s">
        <v>51</v>
      </c>
      <c r="C6" s="12" t="s">
        <v>52</v>
      </c>
      <c r="D6" s="12" t="s">
        <v>53</v>
      </c>
      <c r="E6" s="12" t="s">
        <v>54</v>
      </c>
      <c r="F6" s="12" t="s">
        <v>55</v>
      </c>
      <c r="G6" s="12" t="s">
        <v>56</v>
      </c>
      <c r="H6" s="12" t="s">
        <v>57</v>
      </c>
      <c r="I6" s="12" t="s">
        <v>58</v>
      </c>
    </row>
    <row r="7" spans="2:9" ht="18" customHeight="1" x14ac:dyDescent="0.25">
      <c r="B7" s="1" t="s">
        <v>59</v>
      </c>
      <c r="C7" s="1"/>
      <c r="D7" s="1"/>
      <c r="E7" s="1"/>
      <c r="F7" s="1"/>
      <c r="G7" s="1"/>
      <c r="H7" s="1"/>
      <c r="I7" s="1"/>
    </row>
    <row r="8" spans="2:9" ht="18.75" customHeight="1" x14ac:dyDescent="0.25">
      <c r="B8" s="23" t="s">
        <v>60</v>
      </c>
      <c r="C8" s="24">
        <v>85000</v>
      </c>
      <c r="D8" s="24">
        <v>0</v>
      </c>
      <c r="E8" s="24">
        <v>0</v>
      </c>
      <c r="F8" s="24">
        <v>0</v>
      </c>
      <c r="G8" s="24">
        <v>0</v>
      </c>
      <c r="H8" s="24">
        <v>0</v>
      </c>
      <c r="I8" s="25">
        <f>C8+SUM(D8:H8)</f>
        <v>85000</v>
      </c>
    </row>
    <row r="9" spans="2:9" ht="18.75" customHeight="1" x14ac:dyDescent="0.25">
      <c r="B9" s="26" t="s">
        <v>61</v>
      </c>
      <c r="C9" s="27">
        <v>12500</v>
      </c>
      <c r="D9" s="27">
        <v>0</v>
      </c>
      <c r="E9" s="27">
        <v>0</v>
      </c>
      <c r="F9" s="27">
        <v>0</v>
      </c>
      <c r="G9" s="27">
        <v>0</v>
      </c>
      <c r="H9" s="27">
        <v>0</v>
      </c>
      <c r="I9" s="28">
        <f>C9+SUM(D9:H9)</f>
        <v>12500</v>
      </c>
    </row>
    <row r="10" spans="2:9" ht="18.75" customHeight="1" x14ac:dyDescent="0.25">
      <c r="B10" s="23" t="s">
        <v>62</v>
      </c>
      <c r="C10" s="24">
        <v>8200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  <c r="I10" s="25">
        <f>C10+SUM(D10:H10)</f>
        <v>8200</v>
      </c>
    </row>
    <row r="11" spans="2:9" ht="18.75" customHeight="1" x14ac:dyDescent="0.25">
      <c r="B11" s="26" t="s">
        <v>63</v>
      </c>
      <c r="C11" s="27">
        <v>4500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8">
        <f>C11+SUM(D11:H11)</f>
        <v>4500</v>
      </c>
    </row>
    <row r="12" spans="2:9" ht="18" customHeight="1" x14ac:dyDescent="0.25">
      <c r="B12" s="1" t="s">
        <v>64</v>
      </c>
      <c r="C12" s="1"/>
      <c r="D12" s="1"/>
      <c r="E12" s="1"/>
      <c r="F12" s="1"/>
      <c r="G12" s="1"/>
      <c r="H12" s="1"/>
      <c r="I12" s="1"/>
    </row>
    <row r="13" spans="2:9" ht="18.75" customHeight="1" x14ac:dyDescent="0.25">
      <c r="B13" s="26" t="s">
        <v>65</v>
      </c>
      <c r="C13" s="27">
        <v>0</v>
      </c>
      <c r="D13" s="27">
        <v>38400</v>
      </c>
      <c r="E13" s="27">
        <v>39168</v>
      </c>
      <c r="F13" s="27">
        <v>39951</v>
      </c>
      <c r="G13" s="27">
        <v>40750</v>
      </c>
      <c r="H13" s="27">
        <v>41565</v>
      </c>
      <c r="I13" s="28">
        <f>C13+SUM(D13:H13)</f>
        <v>199834</v>
      </c>
    </row>
    <row r="14" spans="2:9" ht="18.75" customHeight="1" x14ac:dyDescent="0.25">
      <c r="B14" s="23" t="s">
        <v>66</v>
      </c>
      <c r="C14" s="24">
        <v>0</v>
      </c>
      <c r="D14" s="24">
        <v>14200</v>
      </c>
      <c r="E14" s="24">
        <v>14484</v>
      </c>
      <c r="F14" s="24">
        <v>14774</v>
      </c>
      <c r="G14" s="24">
        <v>15069</v>
      </c>
      <c r="H14" s="24">
        <v>15370</v>
      </c>
      <c r="I14" s="25">
        <f>C14+SUM(D14:H14)</f>
        <v>73897</v>
      </c>
    </row>
    <row r="15" spans="2:9" ht="18.75" customHeight="1" x14ac:dyDescent="0.25">
      <c r="B15" s="26" t="s">
        <v>67</v>
      </c>
      <c r="C15" s="27">
        <v>0</v>
      </c>
      <c r="D15" s="27">
        <v>6800</v>
      </c>
      <c r="E15" s="27">
        <v>6936</v>
      </c>
      <c r="F15" s="27">
        <v>7075</v>
      </c>
      <c r="G15" s="27">
        <v>7216</v>
      </c>
      <c r="H15" s="27">
        <v>7360</v>
      </c>
      <c r="I15" s="28">
        <f>C15+SUM(D15:H15)</f>
        <v>35387</v>
      </c>
    </row>
    <row r="16" spans="2:9" ht="18.75" customHeight="1" x14ac:dyDescent="0.25">
      <c r="B16" s="23" t="s">
        <v>68</v>
      </c>
      <c r="C16" s="24">
        <v>0</v>
      </c>
      <c r="D16" s="24">
        <v>3400</v>
      </c>
      <c r="E16" s="24">
        <v>3468</v>
      </c>
      <c r="F16" s="24">
        <v>3537</v>
      </c>
      <c r="G16" s="24">
        <v>3608</v>
      </c>
      <c r="H16" s="24">
        <v>3680</v>
      </c>
      <c r="I16" s="25">
        <f>C16+SUM(D16:H16)</f>
        <v>17693</v>
      </c>
    </row>
    <row r="17" spans="2:9" ht="18.75" customHeight="1" x14ac:dyDescent="0.25">
      <c r="B17" s="26" t="s">
        <v>69</v>
      </c>
      <c r="C17" s="27">
        <v>0</v>
      </c>
      <c r="D17" s="27">
        <v>5200</v>
      </c>
      <c r="E17" s="27">
        <v>5304</v>
      </c>
      <c r="F17" s="27">
        <v>5410</v>
      </c>
      <c r="G17" s="27">
        <v>5518</v>
      </c>
      <c r="H17" s="27">
        <v>5629</v>
      </c>
      <c r="I17" s="28">
        <f>C17+SUM(D17:H17)</f>
        <v>27061</v>
      </c>
    </row>
    <row r="18" spans="2:9" ht="18" customHeight="1" x14ac:dyDescent="0.25">
      <c r="B18" s="1" t="s">
        <v>70</v>
      </c>
      <c r="C18" s="1"/>
      <c r="D18" s="1"/>
      <c r="E18" s="1"/>
      <c r="F18" s="1"/>
      <c r="G18" s="1"/>
      <c r="H18" s="1"/>
      <c r="I18" s="1"/>
    </row>
    <row r="19" spans="2:9" ht="18.75" customHeight="1" x14ac:dyDescent="0.25">
      <c r="B19" s="26" t="s">
        <v>71</v>
      </c>
      <c r="C19" s="27">
        <v>0</v>
      </c>
      <c r="D19" s="27">
        <v>8500</v>
      </c>
      <c r="E19" s="27">
        <v>8670</v>
      </c>
      <c r="F19" s="27">
        <v>8843</v>
      </c>
      <c r="G19" s="27">
        <v>9020</v>
      </c>
      <c r="H19" s="27">
        <v>9200</v>
      </c>
      <c r="I19" s="28">
        <f>C19+SUM(D19:H19)</f>
        <v>44233</v>
      </c>
    </row>
    <row r="20" spans="2:9" ht="18.75" customHeight="1" x14ac:dyDescent="0.25">
      <c r="B20" s="23" t="s">
        <v>72</v>
      </c>
      <c r="C20" s="24">
        <v>2500</v>
      </c>
      <c r="D20" s="24">
        <v>1200</v>
      </c>
      <c r="E20" s="24">
        <v>1200</v>
      </c>
      <c r="F20" s="24">
        <v>1200</v>
      </c>
      <c r="G20" s="24">
        <v>1200</v>
      </c>
      <c r="H20" s="24">
        <v>1200</v>
      </c>
      <c r="I20" s="25">
        <f>C20+SUM(D20:H20)</f>
        <v>8500</v>
      </c>
    </row>
    <row r="21" spans="2:9" ht="18.75" customHeight="1" x14ac:dyDescent="0.25">
      <c r="B21" s="26" t="s">
        <v>73</v>
      </c>
      <c r="C21" s="27">
        <v>1800</v>
      </c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8">
        <f>C21+SUM(D21:H21)</f>
        <v>1800</v>
      </c>
    </row>
    <row r="22" spans="2:9" ht="18" customHeight="1" x14ac:dyDescent="0.25">
      <c r="B22" s="1" t="s">
        <v>74</v>
      </c>
      <c r="C22" s="1"/>
      <c r="D22" s="1"/>
      <c r="E22" s="1"/>
      <c r="F22" s="1"/>
      <c r="G22" s="1"/>
      <c r="H22" s="1"/>
      <c r="I22" s="1"/>
    </row>
    <row r="23" spans="2:9" ht="18.75" customHeight="1" x14ac:dyDescent="0.25">
      <c r="B23" s="26" t="s">
        <v>75</v>
      </c>
      <c r="C23" s="27">
        <v>0</v>
      </c>
      <c r="D23" s="27">
        <v>6800</v>
      </c>
      <c r="E23" s="27">
        <v>6800</v>
      </c>
      <c r="F23" s="27">
        <v>6800</v>
      </c>
      <c r="G23" s="27">
        <v>6800</v>
      </c>
      <c r="H23" s="27">
        <v>6800</v>
      </c>
      <c r="I23" s="28">
        <f>C23+SUM(D23:H23)</f>
        <v>34000</v>
      </c>
    </row>
    <row r="24" spans="2:9" ht="18.75" customHeight="1" x14ac:dyDescent="0.25">
      <c r="B24" s="23" t="s">
        <v>76</v>
      </c>
      <c r="C24" s="24">
        <v>0</v>
      </c>
      <c r="D24" s="24">
        <v>2400</v>
      </c>
      <c r="E24" s="24">
        <v>2400</v>
      </c>
      <c r="F24" s="24">
        <v>2400</v>
      </c>
      <c r="G24" s="24">
        <v>2400</v>
      </c>
      <c r="H24" s="24">
        <v>2400</v>
      </c>
      <c r="I24" s="25">
        <f>C24+SUM(D24:H24)</f>
        <v>12000</v>
      </c>
    </row>
    <row r="25" spans="2:9" ht="19.5" customHeight="1" x14ac:dyDescent="0.25">
      <c r="B25" s="10" t="s">
        <v>77</v>
      </c>
      <c r="C25" s="29">
        <f t="shared" ref="C25:I25" si="0">C8+C9+C10+C11</f>
        <v>110200</v>
      </c>
      <c r="D25" s="29">
        <f t="shared" si="0"/>
        <v>0</v>
      </c>
      <c r="E25" s="29">
        <f t="shared" si="0"/>
        <v>0</v>
      </c>
      <c r="F25" s="29">
        <f t="shared" si="0"/>
        <v>0</v>
      </c>
      <c r="G25" s="29">
        <f t="shared" si="0"/>
        <v>0</v>
      </c>
      <c r="H25" s="29">
        <f t="shared" si="0"/>
        <v>0</v>
      </c>
      <c r="I25" s="29">
        <f t="shared" si="0"/>
        <v>110200</v>
      </c>
    </row>
    <row r="26" spans="2:9" ht="19.5" customHeight="1" x14ac:dyDescent="0.25">
      <c r="B26" s="10" t="s">
        <v>78</v>
      </c>
      <c r="C26" s="29">
        <f t="shared" ref="C26:I26" si="1">C13+C14+C15+C16+C17</f>
        <v>0</v>
      </c>
      <c r="D26" s="29">
        <f t="shared" si="1"/>
        <v>68000</v>
      </c>
      <c r="E26" s="29">
        <f t="shared" si="1"/>
        <v>69360</v>
      </c>
      <c r="F26" s="29">
        <f t="shared" si="1"/>
        <v>70747</v>
      </c>
      <c r="G26" s="29">
        <f t="shared" si="1"/>
        <v>72161</v>
      </c>
      <c r="H26" s="29">
        <f t="shared" si="1"/>
        <v>73604</v>
      </c>
      <c r="I26" s="29">
        <f t="shared" si="1"/>
        <v>353872</v>
      </c>
    </row>
    <row r="27" spans="2:9" ht="19.5" customHeight="1" x14ac:dyDescent="0.25">
      <c r="B27" s="10" t="s">
        <v>79</v>
      </c>
      <c r="C27" s="29">
        <f t="shared" ref="C27:I27" si="2">C19+C20+C21</f>
        <v>4300</v>
      </c>
      <c r="D27" s="29">
        <f t="shared" si="2"/>
        <v>9700</v>
      </c>
      <c r="E27" s="29">
        <f t="shared" si="2"/>
        <v>9870</v>
      </c>
      <c r="F27" s="29">
        <f t="shared" si="2"/>
        <v>10043</v>
      </c>
      <c r="G27" s="29">
        <f t="shared" si="2"/>
        <v>10220</v>
      </c>
      <c r="H27" s="29">
        <f t="shared" si="2"/>
        <v>10400</v>
      </c>
      <c r="I27" s="29">
        <f t="shared" si="2"/>
        <v>54533</v>
      </c>
    </row>
    <row r="28" spans="2:9" ht="19.5" customHeight="1" x14ac:dyDescent="0.25">
      <c r="B28" s="10" t="s">
        <v>80</v>
      </c>
      <c r="C28" s="29">
        <f t="shared" ref="C28:I28" si="3">C23+C24</f>
        <v>0</v>
      </c>
      <c r="D28" s="29">
        <f t="shared" si="3"/>
        <v>9200</v>
      </c>
      <c r="E28" s="29">
        <f t="shared" si="3"/>
        <v>9200</v>
      </c>
      <c r="F28" s="29">
        <f t="shared" si="3"/>
        <v>9200</v>
      </c>
      <c r="G28" s="29">
        <f t="shared" si="3"/>
        <v>9200</v>
      </c>
      <c r="H28" s="29">
        <f t="shared" si="3"/>
        <v>9200</v>
      </c>
      <c r="I28" s="29">
        <f t="shared" si="3"/>
        <v>46000</v>
      </c>
    </row>
    <row r="29" spans="2:9" ht="4.5" customHeight="1" x14ac:dyDescent="0.25"/>
    <row r="30" spans="2:9" ht="25.5" customHeight="1" x14ac:dyDescent="0.25">
      <c r="B30" s="30" t="s">
        <v>81</v>
      </c>
      <c r="C30" s="31">
        <f t="shared" ref="C30:I30" si="4">C25+C26+C27+C28</f>
        <v>114500</v>
      </c>
      <c r="D30" s="31">
        <f t="shared" si="4"/>
        <v>86900</v>
      </c>
      <c r="E30" s="31">
        <f t="shared" si="4"/>
        <v>88430</v>
      </c>
      <c r="F30" s="31">
        <f t="shared" si="4"/>
        <v>89990</v>
      </c>
      <c r="G30" s="31">
        <f t="shared" si="4"/>
        <v>91581</v>
      </c>
      <c r="H30" s="31">
        <f t="shared" si="4"/>
        <v>93204</v>
      </c>
      <c r="I30" s="31">
        <f t="shared" si="4"/>
        <v>564605</v>
      </c>
    </row>
  </sheetData>
  <mergeCells count="7">
    <mergeCell ref="B18:I18"/>
    <mergeCell ref="B22:I22"/>
    <mergeCell ref="B2:I2"/>
    <mergeCell ref="B3:I3"/>
    <mergeCell ref="B5:I5"/>
    <mergeCell ref="B7:I7"/>
    <mergeCell ref="B12:I12"/>
  </mergeCell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3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6" customWidth="1"/>
    <col min="3" max="8" width="16" customWidth="1"/>
    <col min="9" max="9" width="18" customWidth="1"/>
    <col min="10" max="10" width="2" customWidth="1"/>
  </cols>
  <sheetData>
    <row r="1" spans="2:9" ht="4.5" customHeight="1" x14ac:dyDescent="0.25"/>
    <row r="2" spans="2:9" ht="37.5" customHeight="1" x14ac:dyDescent="0.25">
      <c r="B2" s="8" t="s">
        <v>82</v>
      </c>
      <c r="C2" s="8"/>
      <c r="D2" s="8"/>
      <c r="E2" s="8"/>
      <c r="F2" s="8"/>
      <c r="G2" s="8"/>
      <c r="H2" s="8"/>
      <c r="I2" s="8"/>
    </row>
    <row r="3" spans="2:9" ht="13.5" customHeight="1" x14ac:dyDescent="0.25">
      <c r="B3" s="7" t="s">
        <v>83</v>
      </c>
      <c r="C3" s="7"/>
      <c r="D3" s="7"/>
      <c r="E3" s="7"/>
      <c r="F3" s="7"/>
      <c r="G3" s="7"/>
      <c r="H3" s="7"/>
      <c r="I3" s="7"/>
    </row>
    <row r="4" spans="2:9" ht="4.5" customHeight="1" x14ac:dyDescent="0.25"/>
    <row r="5" spans="2:9" ht="19.5" customHeight="1" x14ac:dyDescent="0.25">
      <c r="B5" s="6" t="s">
        <v>84</v>
      </c>
      <c r="C5" s="6"/>
      <c r="D5" s="6"/>
      <c r="E5" s="6"/>
      <c r="F5" s="6"/>
      <c r="G5" s="6"/>
      <c r="H5" s="6"/>
      <c r="I5" s="6"/>
    </row>
    <row r="6" spans="2:9" ht="31.5" customHeight="1" x14ac:dyDescent="0.25">
      <c r="B6" s="12" t="s">
        <v>85</v>
      </c>
      <c r="C6" s="12" t="s">
        <v>52</v>
      </c>
      <c r="D6" s="12" t="s">
        <v>53</v>
      </c>
      <c r="E6" s="12" t="s">
        <v>54</v>
      </c>
      <c r="F6" s="12" t="s">
        <v>55</v>
      </c>
      <c r="G6" s="12" t="s">
        <v>56</v>
      </c>
      <c r="H6" s="12" t="s">
        <v>57</v>
      </c>
      <c r="I6" s="12" t="s">
        <v>58</v>
      </c>
    </row>
    <row r="7" spans="2:9" ht="18" customHeight="1" x14ac:dyDescent="0.25">
      <c r="B7" s="1" t="s">
        <v>86</v>
      </c>
      <c r="C7" s="1"/>
      <c r="D7" s="1"/>
      <c r="E7" s="1"/>
      <c r="F7" s="1"/>
      <c r="G7" s="1"/>
      <c r="H7" s="1"/>
      <c r="I7" s="1"/>
    </row>
    <row r="8" spans="2:9" ht="18.75" customHeight="1" x14ac:dyDescent="0.25">
      <c r="B8" s="23" t="s">
        <v>87</v>
      </c>
      <c r="C8" s="24">
        <v>0</v>
      </c>
      <c r="D8" s="24">
        <v>22000</v>
      </c>
      <c r="E8" s="24">
        <v>22440</v>
      </c>
      <c r="F8" s="24">
        <v>22889</v>
      </c>
      <c r="G8" s="24">
        <v>23347</v>
      </c>
      <c r="H8" s="24">
        <v>23814</v>
      </c>
      <c r="I8" s="25">
        <f>C8+SUM(D8:H8)</f>
        <v>114490</v>
      </c>
    </row>
    <row r="9" spans="2:9" ht="18.75" customHeight="1" x14ac:dyDescent="0.25">
      <c r="B9" s="26" t="s">
        <v>88</v>
      </c>
      <c r="C9" s="27">
        <v>0</v>
      </c>
      <c r="D9" s="27">
        <v>8500</v>
      </c>
      <c r="E9" s="27">
        <v>8670</v>
      </c>
      <c r="F9" s="27">
        <v>8843</v>
      </c>
      <c r="G9" s="27">
        <v>9020</v>
      </c>
      <c r="H9" s="27">
        <v>9200</v>
      </c>
      <c r="I9" s="28">
        <f>C9+SUM(D9:H9)</f>
        <v>44233</v>
      </c>
    </row>
    <row r="10" spans="2:9" ht="18.75" customHeight="1" x14ac:dyDescent="0.25">
      <c r="B10" s="23" t="s">
        <v>89</v>
      </c>
      <c r="C10" s="24">
        <v>0</v>
      </c>
      <c r="D10" s="24">
        <v>3200</v>
      </c>
      <c r="E10" s="24">
        <v>3264</v>
      </c>
      <c r="F10" s="24">
        <v>3329</v>
      </c>
      <c r="G10" s="24">
        <v>3396</v>
      </c>
      <c r="H10" s="24">
        <v>3464</v>
      </c>
      <c r="I10" s="25">
        <f>C10+SUM(D10:H10)</f>
        <v>16653</v>
      </c>
    </row>
    <row r="11" spans="2:9" ht="18.75" customHeight="1" x14ac:dyDescent="0.25">
      <c r="B11" s="26" t="s">
        <v>90</v>
      </c>
      <c r="C11" s="27">
        <v>0</v>
      </c>
      <c r="D11" s="27">
        <v>5800</v>
      </c>
      <c r="E11" s="27">
        <v>5916</v>
      </c>
      <c r="F11" s="27">
        <v>6034</v>
      </c>
      <c r="G11" s="27">
        <v>6155</v>
      </c>
      <c r="H11" s="27">
        <v>6278</v>
      </c>
      <c r="I11" s="28">
        <f>C11+SUM(D11:H11)</f>
        <v>30183</v>
      </c>
    </row>
    <row r="12" spans="2:9" ht="18" customHeight="1" x14ac:dyDescent="0.25">
      <c r="B12" s="1" t="s">
        <v>91</v>
      </c>
      <c r="C12" s="1"/>
      <c r="D12" s="1"/>
      <c r="E12" s="1"/>
      <c r="F12" s="1"/>
      <c r="G12" s="1"/>
      <c r="H12" s="1"/>
      <c r="I12" s="1"/>
    </row>
    <row r="13" spans="2:9" ht="18.75" customHeight="1" x14ac:dyDescent="0.25">
      <c r="B13" s="26" t="s">
        <v>92</v>
      </c>
      <c r="C13" s="27">
        <v>0</v>
      </c>
      <c r="D13" s="27">
        <v>18000</v>
      </c>
      <c r="E13" s="27">
        <v>19800</v>
      </c>
      <c r="F13" s="27">
        <v>21780</v>
      </c>
      <c r="G13" s="27">
        <v>23958</v>
      </c>
      <c r="H13" s="27">
        <v>26354</v>
      </c>
      <c r="I13" s="28">
        <f>C13+SUM(D13:H13)</f>
        <v>109892</v>
      </c>
    </row>
    <row r="14" spans="2:9" ht="18.75" customHeight="1" x14ac:dyDescent="0.25">
      <c r="B14" s="23" t="s">
        <v>93</v>
      </c>
      <c r="C14" s="24">
        <v>0</v>
      </c>
      <c r="D14" s="24">
        <v>6000</v>
      </c>
      <c r="E14" s="24">
        <v>8400</v>
      </c>
      <c r="F14" s="24">
        <v>10080</v>
      </c>
      <c r="G14" s="24">
        <v>11088</v>
      </c>
      <c r="H14" s="24">
        <v>12197</v>
      </c>
      <c r="I14" s="25">
        <f>C14+SUM(D14:H14)</f>
        <v>47765</v>
      </c>
    </row>
    <row r="15" spans="2:9" ht="18.75" customHeight="1" x14ac:dyDescent="0.25">
      <c r="B15" s="26" t="s">
        <v>94</v>
      </c>
      <c r="C15" s="27">
        <v>0</v>
      </c>
      <c r="D15" s="27">
        <v>4200</v>
      </c>
      <c r="E15" s="27">
        <v>4284</v>
      </c>
      <c r="F15" s="27">
        <v>4370</v>
      </c>
      <c r="G15" s="27">
        <v>4457</v>
      </c>
      <c r="H15" s="27">
        <v>4546</v>
      </c>
      <c r="I15" s="28">
        <f>C15+SUM(D15:H15)</f>
        <v>21857</v>
      </c>
    </row>
    <row r="16" spans="2:9" ht="18" customHeight="1" x14ac:dyDescent="0.25">
      <c r="B16" s="1" t="s">
        <v>95</v>
      </c>
      <c r="C16" s="1"/>
      <c r="D16" s="1"/>
      <c r="E16" s="1"/>
      <c r="F16" s="1"/>
      <c r="G16" s="1"/>
      <c r="H16" s="1"/>
      <c r="I16" s="1"/>
    </row>
    <row r="17" spans="2:9" ht="18.75" customHeight="1" x14ac:dyDescent="0.25">
      <c r="B17" s="26" t="s">
        <v>96</v>
      </c>
      <c r="C17" s="27">
        <v>0</v>
      </c>
      <c r="D17" s="27">
        <v>3000</v>
      </c>
      <c r="E17" s="27">
        <v>3000</v>
      </c>
      <c r="F17" s="27">
        <v>3000</v>
      </c>
      <c r="G17" s="27">
        <v>3000</v>
      </c>
      <c r="H17" s="27">
        <v>3000</v>
      </c>
      <c r="I17" s="28">
        <f>C17+SUM(D17:H17)</f>
        <v>15000</v>
      </c>
    </row>
    <row r="18" spans="2:9" ht="18.75" customHeight="1" x14ac:dyDescent="0.25">
      <c r="B18" s="23" t="s">
        <v>97</v>
      </c>
      <c r="C18" s="24">
        <v>0</v>
      </c>
      <c r="D18" s="24">
        <v>4800</v>
      </c>
      <c r="E18" s="24">
        <v>5040</v>
      </c>
      <c r="F18" s="24">
        <v>5292</v>
      </c>
      <c r="G18" s="24">
        <v>5557</v>
      </c>
      <c r="H18" s="24">
        <v>5835</v>
      </c>
      <c r="I18" s="25">
        <f>C18+SUM(D18:H18)</f>
        <v>26524</v>
      </c>
    </row>
    <row r="19" spans="2:9" ht="18.75" customHeight="1" x14ac:dyDescent="0.25">
      <c r="B19" s="26" t="s">
        <v>98</v>
      </c>
      <c r="C19" s="27">
        <v>0</v>
      </c>
      <c r="D19" s="27">
        <v>1200</v>
      </c>
      <c r="E19" s="27">
        <v>1200</v>
      </c>
      <c r="F19" s="27">
        <v>1200</v>
      </c>
      <c r="G19" s="27">
        <v>1200</v>
      </c>
      <c r="H19" s="27">
        <v>1200</v>
      </c>
      <c r="I19" s="28">
        <f>C19+SUM(D19:H19)</f>
        <v>6000</v>
      </c>
    </row>
    <row r="20" spans="2:9" ht="18" customHeight="1" x14ac:dyDescent="0.25">
      <c r="B20" s="1" t="s">
        <v>99</v>
      </c>
      <c r="C20" s="1"/>
      <c r="D20" s="1"/>
      <c r="E20" s="1"/>
      <c r="F20" s="1"/>
      <c r="G20" s="1"/>
      <c r="H20" s="1"/>
      <c r="I20" s="1"/>
    </row>
    <row r="21" spans="2:9" ht="18.75" customHeight="1" x14ac:dyDescent="0.25">
      <c r="B21" s="26" t="s">
        <v>100</v>
      </c>
      <c r="C21" s="27">
        <v>0</v>
      </c>
      <c r="D21" s="27">
        <v>0</v>
      </c>
      <c r="E21" s="27">
        <v>0</v>
      </c>
      <c r="F21" s="27">
        <v>0</v>
      </c>
      <c r="G21" s="27">
        <v>0</v>
      </c>
      <c r="H21" s="27">
        <v>12000</v>
      </c>
      <c r="I21" s="28">
        <f>C21+SUM(D21:H21)</f>
        <v>12000</v>
      </c>
    </row>
    <row r="22" spans="2:9" ht="19.5" customHeight="1" x14ac:dyDescent="0.25">
      <c r="B22" s="32" t="s">
        <v>101</v>
      </c>
      <c r="C22" s="33">
        <f t="shared" ref="C22:I22" si="0">C8+C9+C10+C11</f>
        <v>0</v>
      </c>
      <c r="D22" s="33">
        <f t="shared" si="0"/>
        <v>39500</v>
      </c>
      <c r="E22" s="33">
        <f t="shared" si="0"/>
        <v>40290</v>
      </c>
      <c r="F22" s="33">
        <f t="shared" si="0"/>
        <v>41095</v>
      </c>
      <c r="G22" s="33">
        <f t="shared" si="0"/>
        <v>41918</v>
      </c>
      <c r="H22" s="33">
        <f t="shared" si="0"/>
        <v>42756</v>
      </c>
      <c r="I22" s="33">
        <f t="shared" si="0"/>
        <v>205559</v>
      </c>
    </row>
    <row r="23" spans="2:9" ht="19.5" customHeight="1" x14ac:dyDescent="0.25">
      <c r="B23" s="32" t="s">
        <v>102</v>
      </c>
      <c r="C23" s="33">
        <f t="shared" ref="C23:I23" si="1">C13+C14+C15</f>
        <v>0</v>
      </c>
      <c r="D23" s="33">
        <f t="shared" si="1"/>
        <v>28200</v>
      </c>
      <c r="E23" s="33">
        <f t="shared" si="1"/>
        <v>32484</v>
      </c>
      <c r="F23" s="33">
        <f t="shared" si="1"/>
        <v>36230</v>
      </c>
      <c r="G23" s="33">
        <f t="shared" si="1"/>
        <v>39503</v>
      </c>
      <c r="H23" s="33">
        <f t="shared" si="1"/>
        <v>43097</v>
      </c>
      <c r="I23" s="33">
        <f t="shared" si="1"/>
        <v>179514</v>
      </c>
    </row>
    <row r="24" spans="2:9" ht="19.5" customHeight="1" x14ac:dyDescent="0.25">
      <c r="B24" s="32" t="s">
        <v>103</v>
      </c>
      <c r="C24" s="33">
        <f t="shared" ref="C24:I24" si="2">C17+C18+C19</f>
        <v>0</v>
      </c>
      <c r="D24" s="33">
        <f t="shared" si="2"/>
        <v>9000</v>
      </c>
      <c r="E24" s="33">
        <f t="shared" si="2"/>
        <v>9240</v>
      </c>
      <c r="F24" s="33">
        <f t="shared" si="2"/>
        <v>9492</v>
      </c>
      <c r="G24" s="33">
        <f t="shared" si="2"/>
        <v>9757</v>
      </c>
      <c r="H24" s="33">
        <f t="shared" si="2"/>
        <v>10035</v>
      </c>
      <c r="I24" s="33">
        <f t="shared" si="2"/>
        <v>47524</v>
      </c>
    </row>
    <row r="25" spans="2:9" ht="19.5" customHeight="1" x14ac:dyDescent="0.25">
      <c r="B25" s="32" t="s">
        <v>104</v>
      </c>
      <c r="C25" s="33">
        <f t="shared" ref="C25:I25" si="3">C21</f>
        <v>0</v>
      </c>
      <c r="D25" s="33">
        <f t="shared" si="3"/>
        <v>0</v>
      </c>
      <c r="E25" s="33">
        <f t="shared" si="3"/>
        <v>0</v>
      </c>
      <c r="F25" s="33">
        <f t="shared" si="3"/>
        <v>0</v>
      </c>
      <c r="G25" s="33">
        <f t="shared" si="3"/>
        <v>0</v>
      </c>
      <c r="H25" s="33">
        <f t="shared" si="3"/>
        <v>12000</v>
      </c>
      <c r="I25" s="33">
        <f t="shared" si="3"/>
        <v>12000</v>
      </c>
    </row>
    <row r="26" spans="2:9" ht="4.5" customHeight="1" x14ac:dyDescent="0.25"/>
    <row r="27" spans="2:9" ht="25.5" customHeight="1" x14ac:dyDescent="0.25">
      <c r="B27" s="30" t="s">
        <v>105</v>
      </c>
      <c r="C27" s="31">
        <f t="shared" ref="C27:I27" si="4">C22+C23+C24+C25</f>
        <v>0</v>
      </c>
      <c r="D27" s="31">
        <f t="shared" si="4"/>
        <v>76700</v>
      </c>
      <c r="E27" s="31">
        <f t="shared" si="4"/>
        <v>82014</v>
      </c>
      <c r="F27" s="31">
        <f t="shared" si="4"/>
        <v>86817</v>
      </c>
      <c r="G27" s="31">
        <f t="shared" si="4"/>
        <v>91178</v>
      </c>
      <c r="H27" s="31">
        <f t="shared" si="4"/>
        <v>107888</v>
      </c>
      <c r="I27" s="31">
        <f t="shared" si="4"/>
        <v>444597</v>
      </c>
    </row>
    <row r="29" spans="2:9" ht="19.5" customHeight="1" x14ac:dyDescent="0.25">
      <c r="B29" s="6" t="s">
        <v>106</v>
      </c>
      <c r="C29" s="6"/>
      <c r="D29" s="6"/>
      <c r="E29" s="6"/>
      <c r="F29" s="6"/>
      <c r="G29" s="6"/>
      <c r="H29" s="6"/>
      <c r="I29" s="6"/>
    </row>
    <row r="30" spans="2:9" ht="36" customHeight="1" x14ac:dyDescent="0.25">
      <c r="B30" s="12" t="s">
        <v>107</v>
      </c>
      <c r="C30" s="12" t="s">
        <v>108</v>
      </c>
      <c r="D30" s="12" t="s">
        <v>109</v>
      </c>
      <c r="E30" s="12" t="s">
        <v>110</v>
      </c>
      <c r="F30" s="12" t="s">
        <v>111</v>
      </c>
    </row>
    <row r="31" spans="2:9" ht="21.75" customHeight="1" x14ac:dyDescent="0.25">
      <c r="B31" s="26" t="s">
        <v>112</v>
      </c>
      <c r="C31" s="34">
        <v>0.2</v>
      </c>
      <c r="D31" s="35">
        <v>7</v>
      </c>
      <c r="E31" s="21">
        <f t="shared" ref="E31:E37" si="5">C31*D31</f>
        <v>1.4000000000000001</v>
      </c>
      <c r="F31" s="36" t="s">
        <v>113</v>
      </c>
      <c r="G31" s="22"/>
      <c r="H31" s="22"/>
      <c r="I31" s="22"/>
    </row>
    <row r="32" spans="2:9" ht="21.75" customHeight="1" x14ac:dyDescent="0.25">
      <c r="B32" s="23" t="s">
        <v>114</v>
      </c>
      <c r="C32" s="34">
        <v>0.2</v>
      </c>
      <c r="D32" s="35">
        <v>8</v>
      </c>
      <c r="E32" s="18">
        <f t="shared" si="5"/>
        <v>1.6</v>
      </c>
      <c r="F32" s="37" t="s">
        <v>115</v>
      </c>
      <c r="G32" s="20"/>
      <c r="H32" s="20"/>
      <c r="I32" s="20"/>
    </row>
    <row r="33" spans="2:9" ht="21.75" customHeight="1" x14ac:dyDescent="0.25">
      <c r="B33" s="26" t="s">
        <v>116</v>
      </c>
      <c r="C33" s="34">
        <v>0.15</v>
      </c>
      <c r="D33" s="35">
        <v>6</v>
      </c>
      <c r="E33" s="21">
        <f t="shared" si="5"/>
        <v>0.89999999999999991</v>
      </c>
      <c r="F33" s="36" t="s">
        <v>117</v>
      </c>
      <c r="G33" s="22"/>
      <c r="H33" s="22"/>
      <c r="I33" s="22"/>
    </row>
    <row r="34" spans="2:9" ht="21.75" customHeight="1" x14ac:dyDescent="0.25">
      <c r="B34" s="23" t="s">
        <v>118</v>
      </c>
      <c r="C34" s="34">
        <v>0.15</v>
      </c>
      <c r="D34" s="35">
        <v>9</v>
      </c>
      <c r="E34" s="18">
        <f t="shared" si="5"/>
        <v>1.3499999999999999</v>
      </c>
      <c r="F34" s="37" t="s">
        <v>119</v>
      </c>
      <c r="G34" s="20"/>
      <c r="H34" s="20"/>
      <c r="I34" s="20"/>
    </row>
    <row r="35" spans="2:9" ht="21.75" customHeight="1" x14ac:dyDescent="0.25">
      <c r="B35" s="26" t="s">
        <v>120</v>
      </c>
      <c r="C35" s="34">
        <v>0.15</v>
      </c>
      <c r="D35" s="35">
        <v>7</v>
      </c>
      <c r="E35" s="21">
        <f t="shared" si="5"/>
        <v>1.05</v>
      </c>
      <c r="F35" s="36" t="s">
        <v>121</v>
      </c>
      <c r="G35" s="22"/>
      <c r="H35" s="22"/>
      <c r="I35" s="22"/>
    </row>
    <row r="36" spans="2:9" ht="21.75" customHeight="1" x14ac:dyDescent="0.25">
      <c r="B36" s="23" t="s">
        <v>122</v>
      </c>
      <c r="C36" s="34">
        <v>0.1</v>
      </c>
      <c r="D36" s="35">
        <v>6</v>
      </c>
      <c r="E36" s="18">
        <f t="shared" si="5"/>
        <v>0.60000000000000009</v>
      </c>
      <c r="F36" s="37" t="s">
        <v>123</v>
      </c>
      <c r="G36" s="20"/>
      <c r="H36" s="20"/>
      <c r="I36" s="20"/>
    </row>
    <row r="37" spans="2:9" ht="21.75" customHeight="1" x14ac:dyDescent="0.25">
      <c r="B37" s="26" t="s">
        <v>124</v>
      </c>
      <c r="C37" s="34">
        <v>0.05</v>
      </c>
      <c r="D37" s="35">
        <v>7</v>
      </c>
      <c r="E37" s="21">
        <f t="shared" si="5"/>
        <v>0.35000000000000003</v>
      </c>
      <c r="F37" s="36" t="s">
        <v>125</v>
      </c>
      <c r="G37" s="22"/>
      <c r="H37" s="22"/>
      <c r="I37" s="22"/>
    </row>
    <row r="38" spans="2:9" ht="21.75" customHeight="1" x14ac:dyDescent="0.25">
      <c r="B38" s="30" t="s">
        <v>126</v>
      </c>
      <c r="C38" s="38">
        <f>C31+C32+C33+C34+C35+C36+C37</f>
        <v>1</v>
      </c>
      <c r="D38" s="39"/>
      <c r="E38" s="40">
        <f>E31+E32+E33+E34+E35+E36+E37</f>
        <v>7.25</v>
      </c>
      <c r="F38" s="39"/>
      <c r="G38" s="39"/>
      <c r="H38" s="39"/>
      <c r="I38" s="39"/>
    </row>
    <row r="39" spans="2:9" ht="19.5" customHeight="1" x14ac:dyDescent="0.25">
      <c r="B39" s="41" t="s">
        <v>127</v>
      </c>
      <c r="C39" s="42"/>
      <c r="D39" s="42"/>
      <c r="E39" s="43">
        <f>E38/10</f>
        <v>0.72499999999999998</v>
      </c>
      <c r="F39" s="42"/>
      <c r="G39" s="42"/>
      <c r="H39" s="42"/>
      <c r="I39" s="42"/>
    </row>
  </sheetData>
  <mergeCells count="8">
    <mergeCell ref="B16:I16"/>
    <mergeCell ref="B20:I20"/>
    <mergeCell ref="B29:I29"/>
    <mergeCell ref="B2:I2"/>
    <mergeCell ref="B3:I3"/>
    <mergeCell ref="B5:I5"/>
    <mergeCell ref="B7:I7"/>
    <mergeCell ref="B12:I1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29"/>
  <sheetViews>
    <sheetView showGridLines="0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/>
    </sheetView>
  </sheetViews>
  <sheetFormatPr baseColWidth="10" defaultColWidth="8.7109375" defaultRowHeight="15" x14ac:dyDescent="0.25"/>
  <cols>
    <col min="1" max="1" width="2" customWidth="1"/>
    <col min="2" max="2" width="30" customWidth="1"/>
    <col min="3" max="9" width="18" customWidth="1"/>
    <col min="10" max="10" width="2" customWidth="1"/>
  </cols>
  <sheetData>
    <row r="1" spans="2:9" ht="4.5" customHeight="1" x14ac:dyDescent="0.25"/>
    <row r="2" spans="2:9" ht="37.5" customHeight="1" x14ac:dyDescent="0.25">
      <c r="B2" s="8" t="s">
        <v>128</v>
      </c>
      <c r="C2" s="8"/>
      <c r="D2" s="8"/>
      <c r="E2" s="8"/>
      <c r="F2" s="8"/>
      <c r="G2" s="8"/>
      <c r="H2" s="8"/>
      <c r="I2" s="8"/>
    </row>
    <row r="3" spans="2:9" ht="13.5" customHeight="1" x14ac:dyDescent="0.25">
      <c r="B3" s="7" t="s">
        <v>129</v>
      </c>
      <c r="C3" s="7"/>
      <c r="D3" s="7"/>
      <c r="E3" s="7"/>
      <c r="F3" s="7"/>
      <c r="G3" s="7"/>
      <c r="H3" s="7"/>
      <c r="I3" s="7"/>
    </row>
    <row r="4" spans="2:9" ht="4.5" customHeight="1" x14ac:dyDescent="0.25"/>
    <row r="5" spans="2:9" ht="19.5" customHeight="1" x14ac:dyDescent="0.25">
      <c r="B5" s="6" t="s">
        <v>130</v>
      </c>
      <c r="C5" s="6"/>
      <c r="D5" s="6"/>
      <c r="E5" s="6"/>
      <c r="F5" s="6"/>
      <c r="G5" s="6"/>
      <c r="H5" s="6"/>
      <c r="I5" s="6"/>
    </row>
    <row r="6" spans="2:9" ht="31.5" customHeight="1" x14ac:dyDescent="0.25">
      <c r="B6" s="12" t="s">
        <v>131</v>
      </c>
      <c r="C6" s="12" t="s">
        <v>132</v>
      </c>
      <c r="D6" s="12" t="s">
        <v>53</v>
      </c>
      <c r="E6" s="12" t="s">
        <v>54</v>
      </c>
      <c r="F6" s="12" t="s">
        <v>55</v>
      </c>
      <c r="G6" s="12" t="s">
        <v>56</v>
      </c>
      <c r="H6" s="12" t="s">
        <v>57</v>
      </c>
      <c r="I6" s="12" t="s">
        <v>133</v>
      </c>
    </row>
    <row r="7" spans="2:9" ht="19.5" customHeight="1" x14ac:dyDescent="0.25">
      <c r="B7" s="26" t="s">
        <v>134</v>
      </c>
      <c r="C7" s="44">
        <f>Kostenanalyse!C30</f>
        <v>114500</v>
      </c>
      <c r="D7" s="44">
        <f>Kostenanalyse!D30</f>
        <v>86900</v>
      </c>
      <c r="E7" s="44">
        <f>Kostenanalyse!E30</f>
        <v>88430</v>
      </c>
      <c r="F7" s="44">
        <f>Kostenanalyse!F30</f>
        <v>89990</v>
      </c>
      <c r="G7" s="44">
        <f>Kostenanalyse!G30</f>
        <v>91581</v>
      </c>
      <c r="H7" s="44">
        <f>Kostenanalyse!H30</f>
        <v>93204</v>
      </c>
      <c r="I7" s="28">
        <f>SUM(C7:H7)</f>
        <v>564605</v>
      </c>
    </row>
    <row r="8" spans="2:9" ht="19.5" customHeight="1" x14ac:dyDescent="0.25">
      <c r="B8" s="23" t="s">
        <v>135</v>
      </c>
      <c r="C8" s="45">
        <f>Nutzenanalyse!C27</f>
        <v>0</v>
      </c>
      <c r="D8" s="45">
        <f>Nutzenanalyse!D27</f>
        <v>76700</v>
      </c>
      <c r="E8" s="45">
        <f>Nutzenanalyse!E27</f>
        <v>82014</v>
      </c>
      <c r="F8" s="45">
        <f>Nutzenanalyse!F27</f>
        <v>86817</v>
      </c>
      <c r="G8" s="45">
        <f>Nutzenanalyse!G27</f>
        <v>91178</v>
      </c>
      <c r="H8" s="45">
        <f>Nutzenanalyse!H27</f>
        <v>107888</v>
      </c>
      <c r="I8" s="25">
        <f>SUM(C8:H8)</f>
        <v>444597</v>
      </c>
    </row>
    <row r="9" spans="2:9" ht="21.75" customHeight="1" x14ac:dyDescent="0.25">
      <c r="B9" s="10" t="s">
        <v>136</v>
      </c>
      <c r="C9" s="46">
        <f t="shared" ref="C9:H9" si="0">C8-C7</f>
        <v>-114500</v>
      </c>
      <c r="D9" s="46">
        <f t="shared" si="0"/>
        <v>-10200</v>
      </c>
      <c r="E9" s="46">
        <f t="shared" si="0"/>
        <v>-6416</v>
      </c>
      <c r="F9" s="46">
        <f t="shared" si="0"/>
        <v>-3173</v>
      </c>
      <c r="G9" s="46">
        <f t="shared" si="0"/>
        <v>-403</v>
      </c>
      <c r="H9" s="46">
        <f t="shared" si="0"/>
        <v>14684</v>
      </c>
      <c r="I9" s="46">
        <f>SUM(C9:H9)</f>
        <v>-120008</v>
      </c>
    </row>
    <row r="10" spans="2:9" ht="19.5" customHeight="1" x14ac:dyDescent="0.25">
      <c r="B10" s="23" t="s">
        <v>137</v>
      </c>
      <c r="C10" s="25">
        <f>C9</f>
        <v>-114500</v>
      </c>
      <c r="D10" s="25">
        <f>C10+D9</f>
        <v>-124700</v>
      </c>
      <c r="E10" s="25">
        <f>D10+E9</f>
        <v>-131116</v>
      </c>
      <c r="F10" s="25">
        <f>E10+F9</f>
        <v>-134289</v>
      </c>
      <c r="G10" s="25">
        <f>F10+G9</f>
        <v>-134692</v>
      </c>
      <c r="H10" s="25">
        <f>G10+H9</f>
        <v>-120008</v>
      </c>
      <c r="I10" s="25">
        <f>H10</f>
        <v>-120008</v>
      </c>
    </row>
    <row r="11" spans="2:9" ht="19.5" customHeight="1" x14ac:dyDescent="0.25">
      <c r="B11" s="47" t="s">
        <v>138</v>
      </c>
      <c r="C11" s="48">
        <f>Stammdaten!C26</f>
        <v>1</v>
      </c>
      <c r="D11" s="48">
        <f>Stammdaten!C27</f>
        <v>0.92592592592592582</v>
      </c>
      <c r="E11" s="48">
        <f>Stammdaten!C28</f>
        <v>0.85733882030178321</v>
      </c>
      <c r="F11" s="48">
        <f>Stammdaten!C29</f>
        <v>0.79383224102016958</v>
      </c>
      <c r="G11" s="48">
        <f>Stammdaten!C30</f>
        <v>0.73502985279645328</v>
      </c>
      <c r="H11" s="48">
        <f>Stammdaten!C31</f>
        <v>0.68058319703375303</v>
      </c>
      <c r="I11" s="22"/>
    </row>
    <row r="12" spans="2:9" ht="19.5" customHeight="1" x14ac:dyDescent="0.25">
      <c r="B12" s="23" t="s">
        <v>139</v>
      </c>
      <c r="C12" s="25">
        <f t="shared" ref="C12:H12" si="1">C9*C11</f>
        <v>-114500</v>
      </c>
      <c r="D12" s="25">
        <f t="shared" si="1"/>
        <v>-9444.4444444444434</v>
      </c>
      <c r="E12" s="25">
        <f t="shared" si="1"/>
        <v>-5500.685871056241</v>
      </c>
      <c r="F12" s="25">
        <f t="shared" si="1"/>
        <v>-2518.8297007569981</v>
      </c>
      <c r="G12" s="25">
        <f t="shared" si="1"/>
        <v>-296.21703067697069</v>
      </c>
      <c r="H12" s="25">
        <f t="shared" si="1"/>
        <v>9993.6836652436286</v>
      </c>
      <c r="I12" s="25">
        <f>SUM(C12:H12)</f>
        <v>-122266.49338169103</v>
      </c>
    </row>
    <row r="13" spans="2:9" ht="19.5" customHeight="1" x14ac:dyDescent="0.25">
      <c r="B13" s="26" t="s">
        <v>140</v>
      </c>
      <c r="C13" s="28">
        <f>C12</f>
        <v>-114500</v>
      </c>
      <c r="D13" s="28">
        <f>C13+D12</f>
        <v>-123944.44444444444</v>
      </c>
      <c r="E13" s="28">
        <f>D13+E12</f>
        <v>-129445.13031550068</v>
      </c>
      <c r="F13" s="28">
        <f>E13+F12</f>
        <v>-131963.96001625768</v>
      </c>
      <c r="G13" s="28">
        <f>F13+G12</f>
        <v>-132260.17704693467</v>
      </c>
      <c r="H13" s="28">
        <f>G13+H12</f>
        <v>-122266.49338169103</v>
      </c>
      <c r="I13" s="28">
        <f>H13</f>
        <v>-122266.49338169103</v>
      </c>
    </row>
    <row r="15" spans="2:9" ht="19.5" customHeight="1" x14ac:dyDescent="0.25">
      <c r="B15" s="6" t="s">
        <v>141</v>
      </c>
      <c r="C15" s="6"/>
      <c r="D15" s="6"/>
      <c r="E15" s="6"/>
      <c r="F15" s="6"/>
      <c r="G15" s="6"/>
      <c r="H15" s="6"/>
      <c r="I15" s="6"/>
    </row>
    <row r="16" spans="2:9" ht="27.75" customHeight="1" x14ac:dyDescent="0.25">
      <c r="B16" s="12" t="s">
        <v>142</v>
      </c>
      <c r="C16" s="12" t="s">
        <v>143</v>
      </c>
      <c r="D16" s="12" t="s">
        <v>144</v>
      </c>
      <c r="E16" s="12" t="s">
        <v>145</v>
      </c>
      <c r="F16" s="12" t="s">
        <v>146</v>
      </c>
    </row>
    <row r="17" spans="2:9" ht="21.75" customHeight="1" x14ac:dyDescent="0.25">
      <c r="B17" s="49" t="s">
        <v>147</v>
      </c>
      <c r="C17" s="36" t="s">
        <v>148</v>
      </c>
      <c r="D17" s="50">
        <f>I13</f>
        <v>-122266.49338169103</v>
      </c>
      <c r="E17" s="36" t="s">
        <v>149</v>
      </c>
      <c r="F17" s="51" t="str">
        <f>IF(D17&gt;0,"✔ Vorteilhaft","✘ Nicht vorteilhaft")</f>
        <v>✘ Nicht vorteilhaft</v>
      </c>
      <c r="G17" s="22"/>
      <c r="H17" s="22"/>
      <c r="I17" s="22"/>
    </row>
    <row r="18" spans="2:9" ht="21.75" customHeight="1" x14ac:dyDescent="0.25">
      <c r="B18" s="52" t="s">
        <v>150</v>
      </c>
      <c r="C18" s="37" t="s">
        <v>151</v>
      </c>
      <c r="D18" s="53">
        <f>IFERROR((I8-I7)/I7,0)</f>
        <v>-0.21255213822052585</v>
      </c>
      <c r="E18" s="37" t="s">
        <v>152</v>
      </c>
      <c r="F18" s="51" t="str">
        <f>IF(D18&gt;0,"✔ Vorteilhaft","✘ Nicht vorteilhaft")</f>
        <v>✘ Nicht vorteilhaft</v>
      </c>
      <c r="G18" s="20"/>
      <c r="H18" s="20"/>
      <c r="I18" s="20"/>
    </row>
    <row r="19" spans="2:9" ht="21.75" customHeight="1" x14ac:dyDescent="0.25">
      <c r="B19" s="49" t="s">
        <v>153</v>
      </c>
      <c r="C19" s="36" t="s">
        <v>154</v>
      </c>
      <c r="D19" s="54">
        <f>IFERROR(I8/I7,0)</f>
        <v>0.78744786177947412</v>
      </c>
      <c r="E19" s="36" t="s">
        <v>155</v>
      </c>
      <c r="F19" s="51" t="str">
        <f>IF(D19&gt;0,"✔ Vorteilhaft","✘ Nicht vorteilhaft")</f>
        <v>✔ Vorteilhaft</v>
      </c>
      <c r="G19" s="22"/>
      <c r="H19" s="22"/>
      <c r="I19" s="22"/>
    </row>
    <row r="20" spans="2:9" ht="21.75" customHeight="1" x14ac:dyDescent="0.25">
      <c r="B20" s="52" t="s">
        <v>156</v>
      </c>
      <c r="C20" s="37" t="s">
        <v>157</v>
      </c>
      <c r="D20" s="55">
        <f>IFERROR(C7/AVERAGE(D9:H9),0)</f>
        <v>-103.93972403776326</v>
      </c>
      <c r="E20" s="37" t="s">
        <v>158</v>
      </c>
      <c r="F20" s="51" t="str">
        <f>IF(D20&lt;=3,"✔ Gut","⚠ Prüfen")</f>
        <v>✔ Gut</v>
      </c>
      <c r="G20" s="20"/>
      <c r="H20" s="20"/>
      <c r="I20" s="20"/>
    </row>
    <row r="21" spans="2:9" ht="21.75" customHeight="1" x14ac:dyDescent="0.25">
      <c r="B21" s="49" t="s">
        <v>159</v>
      </c>
      <c r="C21" s="36" t="s">
        <v>160</v>
      </c>
      <c r="D21" s="53">
        <f>IFERROR(IRR(C9:H9,0.1),0)</f>
        <v>-0.3829636071961533</v>
      </c>
      <c r="E21" s="36" t="s">
        <v>161</v>
      </c>
      <c r="F21" s="51" t="str">
        <f>IF(D21&gt;0,"✔ Vorteilhaft","✘ Nicht vorteilhaft")</f>
        <v>✘ Nicht vorteilhaft</v>
      </c>
      <c r="G21" s="22"/>
      <c r="H21" s="22"/>
      <c r="I21" s="22"/>
    </row>
    <row r="22" spans="2:9" ht="21.75" customHeight="1" x14ac:dyDescent="0.25">
      <c r="B22" s="52" t="s">
        <v>162</v>
      </c>
      <c r="C22" s="37" t="s">
        <v>163</v>
      </c>
      <c r="D22" s="56" t="str">
        <f>IFERROR(MATCH(TRUE(),INDEX(D10:H10&gt;=0,0),0)+1,"&gt;5 Jahre")</f>
        <v>&gt;5 Jahre</v>
      </c>
      <c r="E22" s="37" t="s">
        <v>164</v>
      </c>
      <c r="F22" s="51" t="str">
        <f>IF(D22&lt;=3,"✔ Gut","⚠ Prüfen")</f>
        <v>⚠ Prüfen</v>
      </c>
      <c r="G22" s="20"/>
      <c r="H22" s="20"/>
      <c r="I22" s="20"/>
    </row>
    <row r="24" spans="2:9" ht="19.5" customHeight="1" x14ac:dyDescent="0.25">
      <c r="B24" s="6" t="s">
        <v>165</v>
      </c>
      <c r="C24" s="6"/>
      <c r="D24" s="6"/>
      <c r="E24" s="6"/>
      <c r="F24" s="6"/>
      <c r="G24" s="6"/>
      <c r="H24" s="6"/>
      <c r="I24" s="6"/>
    </row>
    <row r="25" spans="2:9" ht="27.75" customHeight="1" x14ac:dyDescent="0.25">
      <c r="B25" s="12" t="s">
        <v>166</v>
      </c>
      <c r="C25" s="12" t="s">
        <v>167</v>
      </c>
      <c r="D25" s="12" t="s">
        <v>168</v>
      </c>
      <c r="E25" s="12" t="s">
        <v>169</v>
      </c>
      <c r="F25" s="12" t="s">
        <v>170</v>
      </c>
      <c r="G25" s="12" t="s">
        <v>171</v>
      </c>
      <c r="H25" s="12" t="s">
        <v>146</v>
      </c>
    </row>
    <row r="26" spans="2:9" ht="19.5" customHeight="1" x14ac:dyDescent="0.25">
      <c r="B26" s="52" t="s">
        <v>172</v>
      </c>
      <c r="C26" s="37" t="s">
        <v>173</v>
      </c>
      <c r="D26" s="57">
        <v>0.08</v>
      </c>
      <c r="E26" s="57">
        <v>0</v>
      </c>
      <c r="F26" s="58">
        <f>D17</f>
        <v>-122266.49338169103</v>
      </c>
      <c r="G26" s="25">
        <f>F26-D17</f>
        <v>0</v>
      </c>
      <c r="H26" s="59" t="s">
        <v>174</v>
      </c>
      <c r="I26" s="20"/>
    </row>
    <row r="27" spans="2:9" ht="19.5" customHeight="1" x14ac:dyDescent="0.25">
      <c r="B27" s="26" t="s">
        <v>175</v>
      </c>
      <c r="C27" s="36" t="s">
        <v>176</v>
      </c>
      <c r="D27" s="57">
        <v>0.06</v>
      </c>
      <c r="E27" s="57">
        <v>0.15</v>
      </c>
      <c r="F27" s="28">
        <f>IFERROR(SUMPRODUCT(((Nutzenanalyse!D27:H27*(1+E27))-Kostenanalyse!D30:H30),1/(1+D27)^{1,2,3,4,5})+Stammdaten!C26*((Nutzenanalyse!C27*(1+E27))-Kostenanalyse!C30),0)</f>
        <v>-66180.606638556041</v>
      </c>
      <c r="G27" s="28">
        <f>F27-D17</f>
        <v>56085.886743134994</v>
      </c>
      <c r="H27" s="60" t="s">
        <v>177</v>
      </c>
      <c r="I27" s="22"/>
    </row>
    <row r="28" spans="2:9" ht="19.5" customHeight="1" x14ac:dyDescent="0.25">
      <c r="B28" s="23" t="s">
        <v>178</v>
      </c>
      <c r="C28" s="37" t="s">
        <v>179</v>
      </c>
      <c r="D28" s="57">
        <v>0.1</v>
      </c>
      <c r="E28" s="57">
        <v>-0.15</v>
      </c>
      <c r="F28" s="25">
        <f>IFERROR(SUMPRODUCT(((Nutzenanalyse!D27:H27*(1+E28))-Kostenanalyse!D30:H30),1/(1+D28)^{1,2,3,4,5})+Stammdaten!C26*((Nutzenanalyse!C27*(1+E28))-Kostenanalyse!C30),0)</f>
        <v>-172416.78853282501</v>
      </c>
      <c r="G28" s="25">
        <f>F28-D17</f>
        <v>-50150.295151133978</v>
      </c>
      <c r="H28" s="61" t="s">
        <v>180</v>
      </c>
      <c r="I28" s="20"/>
    </row>
    <row r="29" spans="2:9" ht="19.5" customHeight="1" x14ac:dyDescent="0.25">
      <c r="B29" s="26" t="s">
        <v>181</v>
      </c>
      <c r="C29" s="36" t="s">
        <v>182</v>
      </c>
      <c r="D29" s="57">
        <v>0.12</v>
      </c>
      <c r="E29" s="57">
        <v>-0.25</v>
      </c>
      <c r="F29" s="28">
        <f>IFERROR(SUMPRODUCT(((Nutzenanalyse!D27:H27*(1+E29))-Kostenanalyse!D30:H30),1/(1+D29)^{1,2,3,4,5})+Stammdaten!C26*((Nutzenanalyse!C27*(1+E29))-Kostenanalyse!C30),0)</f>
        <v>-201609.84615494567</v>
      </c>
      <c r="G29" s="28">
        <f>F29-D17</f>
        <v>-79343.352773254635</v>
      </c>
      <c r="H29" s="62" t="s">
        <v>183</v>
      </c>
      <c r="I29" s="22"/>
    </row>
  </sheetData>
  <mergeCells count="5">
    <mergeCell ref="B2:I2"/>
    <mergeCell ref="B3:I3"/>
    <mergeCell ref="B5:I5"/>
    <mergeCell ref="B15:I15"/>
    <mergeCell ref="B24:I24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32"/>
  <sheetViews>
    <sheetView showGridLines="0"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R7" sqref="R7"/>
    </sheetView>
  </sheetViews>
  <sheetFormatPr baseColWidth="10" defaultColWidth="8.7109375" defaultRowHeight="15" x14ac:dyDescent="0.25"/>
  <cols>
    <col min="1" max="1" width="2" customWidth="1"/>
    <col min="2" max="2" width="28" customWidth="1"/>
    <col min="3" max="8" width="20" customWidth="1"/>
    <col min="9" max="9" width="2" customWidth="1"/>
  </cols>
  <sheetData>
    <row r="1" spans="2:8" ht="4.5" customHeight="1" x14ac:dyDescent="0.25"/>
    <row r="2" spans="2:8" ht="37.5" customHeight="1" x14ac:dyDescent="0.25">
      <c r="B2" s="81" t="s">
        <v>230</v>
      </c>
      <c r="C2" s="81"/>
      <c r="D2" s="81"/>
      <c r="E2" s="81"/>
      <c r="F2" s="81"/>
      <c r="G2" s="81"/>
      <c r="H2" s="81"/>
    </row>
    <row r="3" spans="2:8" ht="13.5" customHeight="1" x14ac:dyDescent="0.25">
      <c r="B3" s="7" t="s">
        <v>184</v>
      </c>
      <c r="C3" s="7"/>
      <c r="D3" s="7"/>
      <c r="E3" s="7"/>
      <c r="F3" s="7"/>
      <c r="G3" s="7"/>
      <c r="H3" s="7"/>
    </row>
    <row r="4" spans="2:8" ht="4.5" customHeight="1" x14ac:dyDescent="0.25"/>
    <row r="5" spans="2:8" ht="19.5" customHeight="1" x14ac:dyDescent="0.25">
      <c r="B5" s="6" t="s">
        <v>185</v>
      </c>
      <c r="C5" s="6"/>
      <c r="D5" s="6"/>
      <c r="E5" s="6"/>
      <c r="F5" s="6"/>
      <c r="G5" s="6"/>
      <c r="H5" s="6"/>
    </row>
    <row r="6" spans="2:8" ht="15.75" customHeight="1" x14ac:dyDescent="0.25">
      <c r="B6" s="63"/>
      <c r="C6" s="64" t="s">
        <v>147</v>
      </c>
      <c r="D6" s="65" t="s">
        <v>186</v>
      </c>
      <c r="E6" s="66" t="s">
        <v>187</v>
      </c>
      <c r="F6" s="67" t="s">
        <v>188</v>
      </c>
      <c r="G6" s="68" t="s">
        <v>189</v>
      </c>
      <c r="H6" s="65" t="s">
        <v>190</v>
      </c>
    </row>
    <row r="7" spans="2:8" ht="36" customHeight="1" x14ac:dyDescent="0.25">
      <c r="B7" s="63"/>
      <c r="C7" s="69">
        <f>Kapitalwertrechnung!D17</f>
        <v>-122266.49338169103</v>
      </c>
      <c r="D7" s="70">
        <f>Kapitalwertrechnung!D18</f>
        <v>-0.21255213822052585</v>
      </c>
      <c r="E7" s="71">
        <f>Kapitalwertrechnung!D19</f>
        <v>0.78744786177947412</v>
      </c>
      <c r="F7" s="72">
        <f>Kapitalwertrechnung!D20</f>
        <v>-103.93972403776326</v>
      </c>
      <c r="G7" s="73">
        <f>Kapitalwertrechnung!D21</f>
        <v>-0.3829636071961533</v>
      </c>
      <c r="H7" s="74">
        <f>Nutzenanalyse!E38</f>
        <v>7.25</v>
      </c>
    </row>
    <row r="9" spans="2:8" ht="4.5" customHeight="1" x14ac:dyDescent="0.25"/>
    <row r="10" spans="2:8" ht="19.5" customHeight="1" x14ac:dyDescent="0.25">
      <c r="B10" s="6" t="s">
        <v>191</v>
      </c>
      <c r="C10" s="6"/>
      <c r="D10" s="6"/>
      <c r="E10" s="6"/>
      <c r="F10" s="6"/>
      <c r="G10" s="6"/>
      <c r="H10" s="6"/>
    </row>
    <row r="11" spans="2:8" ht="36" customHeight="1" x14ac:dyDescent="0.25">
      <c r="B11" s="12" t="s">
        <v>192</v>
      </c>
      <c r="C11" s="12" t="s">
        <v>193</v>
      </c>
      <c r="D11" s="12" t="s">
        <v>194</v>
      </c>
      <c r="E11" s="12" t="s">
        <v>195</v>
      </c>
      <c r="F11" s="12" t="s">
        <v>196</v>
      </c>
    </row>
    <row r="12" spans="2:8" ht="19.5" customHeight="1" x14ac:dyDescent="0.25">
      <c r="B12" s="23" t="s">
        <v>197</v>
      </c>
      <c r="C12" s="34">
        <v>0.25</v>
      </c>
      <c r="D12" s="35">
        <v>5</v>
      </c>
      <c r="E12" s="35">
        <v>8</v>
      </c>
      <c r="F12" s="35">
        <v>7</v>
      </c>
      <c r="G12" s="20"/>
      <c r="H12" s="20"/>
    </row>
    <row r="13" spans="2:8" ht="19.5" customHeight="1" x14ac:dyDescent="0.25">
      <c r="B13" s="26" t="s">
        <v>198</v>
      </c>
      <c r="C13" s="34">
        <v>0.2</v>
      </c>
      <c r="D13" s="35">
        <v>5</v>
      </c>
      <c r="E13" s="35">
        <v>8</v>
      </c>
      <c r="F13" s="35">
        <v>7</v>
      </c>
      <c r="G13" s="22"/>
      <c r="H13" s="22"/>
    </row>
    <row r="14" spans="2:8" ht="19.5" customHeight="1" x14ac:dyDescent="0.25">
      <c r="B14" s="23" t="s">
        <v>199</v>
      </c>
      <c r="C14" s="34">
        <v>0.15</v>
      </c>
      <c r="D14" s="35">
        <v>6</v>
      </c>
      <c r="E14" s="35">
        <v>7</v>
      </c>
      <c r="F14" s="35">
        <v>8</v>
      </c>
      <c r="G14" s="20"/>
      <c r="H14" s="20"/>
    </row>
    <row r="15" spans="2:8" ht="19.5" customHeight="1" x14ac:dyDescent="0.25">
      <c r="B15" s="26" t="s">
        <v>200</v>
      </c>
      <c r="C15" s="34">
        <v>0.15</v>
      </c>
      <c r="D15" s="35">
        <v>8</v>
      </c>
      <c r="E15" s="35">
        <v>5</v>
      </c>
      <c r="F15" s="35">
        <v>7</v>
      </c>
      <c r="G15" s="22"/>
      <c r="H15" s="22"/>
    </row>
    <row r="16" spans="2:8" ht="19.5" customHeight="1" x14ac:dyDescent="0.25">
      <c r="B16" s="23" t="s">
        <v>201</v>
      </c>
      <c r="C16" s="34">
        <v>0.1</v>
      </c>
      <c r="D16" s="35">
        <v>6</v>
      </c>
      <c r="E16" s="35">
        <v>7</v>
      </c>
      <c r="F16" s="35">
        <v>8</v>
      </c>
      <c r="G16" s="20"/>
      <c r="H16" s="20"/>
    </row>
    <row r="17" spans="2:8" ht="19.5" customHeight="1" x14ac:dyDescent="0.25">
      <c r="B17" s="26" t="s">
        <v>202</v>
      </c>
      <c r="C17" s="34">
        <v>0.1</v>
      </c>
      <c r="D17" s="35">
        <v>5</v>
      </c>
      <c r="E17" s="35">
        <v>8</v>
      </c>
      <c r="F17" s="35">
        <v>8</v>
      </c>
      <c r="G17" s="22"/>
      <c r="H17" s="22"/>
    </row>
    <row r="18" spans="2:8" ht="19.5" customHeight="1" x14ac:dyDescent="0.25">
      <c r="B18" s="23" t="s">
        <v>203</v>
      </c>
      <c r="C18" s="34">
        <v>0.05</v>
      </c>
      <c r="D18" s="35">
        <v>8</v>
      </c>
      <c r="E18" s="35">
        <v>4</v>
      </c>
      <c r="F18" s="35">
        <v>7</v>
      </c>
      <c r="G18" s="20"/>
      <c r="H18" s="20"/>
    </row>
    <row r="19" spans="2:8" ht="21.75" customHeight="1" x14ac:dyDescent="0.25">
      <c r="B19" s="30" t="s">
        <v>204</v>
      </c>
      <c r="C19" s="38">
        <f>C12+C13+C14+C15+C16+C17+C18</f>
        <v>1</v>
      </c>
      <c r="D19" s="40">
        <f>C12*D12+C13*D13+C14*D14+C15*D15+C16*D16+C17*D17+C18*D18</f>
        <v>5.85</v>
      </c>
      <c r="E19" s="40">
        <f t="shared" ref="E19:F19" si="0">D12*E12+D13*E13+D14*E14+D15*E15+D16*E16+D17*E17+D18*E18</f>
        <v>276</v>
      </c>
      <c r="F19" s="40">
        <f t="shared" si="0"/>
        <v>351</v>
      </c>
      <c r="G19" s="39"/>
      <c r="H19" s="39"/>
    </row>
    <row r="20" spans="2:8" ht="21.75" customHeight="1" x14ac:dyDescent="0.25">
      <c r="B20" s="32" t="s">
        <v>205</v>
      </c>
      <c r="C20" s="75" t="s">
        <v>27</v>
      </c>
      <c r="D20" s="75" t="s">
        <v>27</v>
      </c>
      <c r="E20" s="76" t="s">
        <v>206</v>
      </c>
      <c r="F20" s="75" t="s">
        <v>27</v>
      </c>
      <c r="G20" s="42"/>
      <c r="H20" s="42"/>
    </row>
    <row r="22" spans="2:8" ht="19.5" customHeight="1" x14ac:dyDescent="0.25">
      <c r="B22" s="6" t="s">
        <v>207</v>
      </c>
      <c r="C22" s="6"/>
      <c r="D22" s="6"/>
      <c r="E22" s="6"/>
      <c r="F22" s="6"/>
      <c r="G22" s="6"/>
      <c r="H22" s="6"/>
    </row>
    <row r="23" spans="2:8" ht="90" customHeight="1" x14ac:dyDescent="0.25">
      <c r="B23" s="5" t="s">
        <v>208</v>
      </c>
      <c r="C23" s="5"/>
      <c r="D23" s="5"/>
      <c r="E23" s="5"/>
      <c r="F23" s="5"/>
      <c r="G23" s="5"/>
      <c r="H23" s="5"/>
    </row>
    <row r="25" spans="2:8" ht="19.5" customHeight="1" x14ac:dyDescent="0.25">
      <c r="B25" s="6" t="s">
        <v>209</v>
      </c>
      <c r="C25" s="6"/>
      <c r="D25" s="6"/>
      <c r="E25" s="6"/>
      <c r="F25" s="6"/>
      <c r="G25" s="6"/>
      <c r="H25" s="6"/>
    </row>
    <row r="26" spans="2:8" ht="36" customHeight="1" x14ac:dyDescent="0.25">
      <c r="B26" s="12" t="s">
        <v>210</v>
      </c>
      <c r="C26" s="12" t="s">
        <v>211</v>
      </c>
      <c r="D26" s="12" t="s">
        <v>212</v>
      </c>
      <c r="E26" s="12" t="s">
        <v>213</v>
      </c>
      <c r="F26" s="12" t="s">
        <v>214</v>
      </c>
      <c r="G26" s="12" t="s">
        <v>215</v>
      </c>
    </row>
    <row r="27" spans="2:8" ht="21.75" customHeight="1" x14ac:dyDescent="0.25">
      <c r="B27" s="26" t="s">
        <v>216</v>
      </c>
      <c r="C27" s="35">
        <v>3</v>
      </c>
      <c r="D27" s="35">
        <v>4</v>
      </c>
      <c r="E27" s="77">
        <f t="shared" ref="E27:E32" si="1">C27*D27</f>
        <v>12</v>
      </c>
      <c r="F27" s="36" t="s">
        <v>217</v>
      </c>
      <c r="G27" s="78" t="s">
        <v>218</v>
      </c>
      <c r="H27" s="22"/>
    </row>
    <row r="28" spans="2:8" ht="21.75" customHeight="1" x14ac:dyDescent="0.25">
      <c r="B28" s="23" t="s">
        <v>219</v>
      </c>
      <c r="C28" s="35">
        <v>3</v>
      </c>
      <c r="D28" s="35">
        <v>3</v>
      </c>
      <c r="E28" s="79">
        <f t="shared" si="1"/>
        <v>9</v>
      </c>
      <c r="F28" s="37" t="s">
        <v>220</v>
      </c>
      <c r="G28" s="80" t="s">
        <v>221</v>
      </c>
      <c r="H28" s="20"/>
    </row>
    <row r="29" spans="2:8" ht="21.75" customHeight="1" x14ac:dyDescent="0.25">
      <c r="B29" s="26" t="s">
        <v>222</v>
      </c>
      <c r="C29" s="35">
        <v>2</v>
      </c>
      <c r="D29" s="35">
        <v>4</v>
      </c>
      <c r="E29" s="77">
        <f t="shared" si="1"/>
        <v>8</v>
      </c>
      <c r="F29" s="36" t="s">
        <v>223</v>
      </c>
      <c r="G29" s="80" t="s">
        <v>221</v>
      </c>
      <c r="H29" s="22"/>
    </row>
    <row r="30" spans="2:8" ht="21.75" customHeight="1" x14ac:dyDescent="0.25">
      <c r="B30" s="23" t="s">
        <v>224</v>
      </c>
      <c r="C30" s="35">
        <v>2</v>
      </c>
      <c r="D30" s="35">
        <v>3</v>
      </c>
      <c r="E30" s="79">
        <f t="shared" si="1"/>
        <v>6</v>
      </c>
      <c r="F30" s="37" t="s">
        <v>225</v>
      </c>
      <c r="G30" s="80" t="s">
        <v>221</v>
      </c>
      <c r="H30" s="20"/>
    </row>
    <row r="31" spans="2:8" ht="21.75" customHeight="1" x14ac:dyDescent="0.25">
      <c r="B31" s="26" t="s">
        <v>226</v>
      </c>
      <c r="C31" s="35">
        <v>3</v>
      </c>
      <c r="D31" s="35">
        <v>3</v>
      </c>
      <c r="E31" s="77">
        <f t="shared" si="1"/>
        <v>9</v>
      </c>
      <c r="F31" s="36" t="s">
        <v>227</v>
      </c>
      <c r="G31" s="78" t="s">
        <v>218</v>
      </c>
      <c r="H31" s="22"/>
    </row>
    <row r="32" spans="2:8" ht="21.75" customHeight="1" x14ac:dyDescent="0.25">
      <c r="B32" s="23" t="s">
        <v>228</v>
      </c>
      <c r="C32" s="35">
        <v>2</v>
      </c>
      <c r="D32" s="35">
        <v>2</v>
      </c>
      <c r="E32" s="79">
        <f t="shared" si="1"/>
        <v>4</v>
      </c>
      <c r="F32" s="37" t="s">
        <v>229</v>
      </c>
      <c r="G32" s="80" t="s">
        <v>221</v>
      </c>
      <c r="H32" s="20"/>
    </row>
  </sheetData>
  <mergeCells count="7">
    <mergeCell ref="B23:H23"/>
    <mergeCell ref="B25:H25"/>
    <mergeCell ref="B2:H2"/>
    <mergeCell ref="B3:H3"/>
    <mergeCell ref="B5:H5"/>
    <mergeCell ref="B10:H10"/>
    <mergeCell ref="B22:H22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Stammdaten</vt:lpstr>
      <vt:lpstr>Kostenanalyse</vt:lpstr>
      <vt:lpstr>Nutzenanalyse</vt:lpstr>
      <vt:lpstr>Kapitalwertrechnung</vt:lpstr>
      <vt:lpstr>Ergebnisse &amp; Entscheidung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0</cp:revision>
  <dcterms:created xsi:type="dcterms:W3CDTF">2026-06-17T04:53:54Z</dcterms:created>
  <dcterms:modified xsi:type="dcterms:W3CDTF">2026-06-17T06:29:00Z</dcterms:modified>
  <dc:language>en-US</dc:language>
</cp:coreProperties>
</file>