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903F547-BDF4-4448-B41E-401122C2EF6C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Übersicht" sheetId="1" r:id="rId1"/>
    <sheet name="Annahmen" sheetId="2" r:id="rId2"/>
    <sheet name="Kosten &amp; Nutzen" sheetId="3" r:id="rId3"/>
    <sheet name="Cashflow &amp; Kennzahle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0" i="4" l="1"/>
  <c r="C50" i="4"/>
  <c r="D49" i="4"/>
  <c r="C49" i="4"/>
  <c r="D48" i="4"/>
  <c r="C48" i="4"/>
  <c r="H26" i="4"/>
  <c r="G26" i="4"/>
  <c r="F26" i="4"/>
  <c r="E26" i="4"/>
  <c r="D26" i="4"/>
  <c r="C26" i="4"/>
  <c r="F21" i="4"/>
  <c r="E21" i="4"/>
  <c r="D21" i="4"/>
  <c r="C21" i="4"/>
  <c r="I21" i="4" s="1"/>
  <c r="H20" i="4"/>
  <c r="G20" i="4"/>
  <c r="F20" i="4"/>
  <c r="D19" i="4"/>
  <c r="G18" i="4"/>
  <c r="F18" i="4"/>
  <c r="E18" i="4"/>
  <c r="D18" i="4"/>
  <c r="C18" i="4"/>
  <c r="I18" i="4" s="1"/>
  <c r="H17" i="4"/>
  <c r="G17" i="4"/>
  <c r="H12" i="4"/>
  <c r="C12" i="4"/>
  <c r="H11" i="4"/>
  <c r="G11" i="4"/>
  <c r="F11" i="4"/>
  <c r="D10" i="4"/>
  <c r="C10" i="4"/>
  <c r="I10" i="4" s="1"/>
  <c r="H7" i="4"/>
  <c r="G7" i="4"/>
  <c r="G14" i="4" s="1"/>
  <c r="F7" i="4"/>
  <c r="F14" i="4" s="1"/>
  <c r="E7" i="4"/>
  <c r="E14" i="4" s="1"/>
  <c r="D7" i="4"/>
  <c r="C7" i="4"/>
  <c r="C14" i="4" s="1"/>
  <c r="H5" i="4"/>
  <c r="G5" i="4"/>
  <c r="F5" i="4"/>
  <c r="E5" i="4"/>
  <c r="D5" i="4"/>
  <c r="C5" i="4"/>
  <c r="O28" i="3"/>
  <c r="H22" i="4" s="1"/>
  <c r="N28" i="3"/>
  <c r="G22" i="4" s="1"/>
  <c r="M28" i="3"/>
  <c r="F22" i="4" s="1"/>
  <c r="L28" i="3"/>
  <c r="E22" i="4" s="1"/>
  <c r="K28" i="3"/>
  <c r="D22" i="4" s="1"/>
  <c r="J28" i="3"/>
  <c r="C22" i="4" s="1"/>
  <c r="I22" i="4" s="1"/>
  <c r="O27" i="3"/>
  <c r="H21" i="4" s="1"/>
  <c r="N27" i="3"/>
  <c r="G21" i="4" s="1"/>
  <c r="M27" i="3"/>
  <c r="L27" i="3"/>
  <c r="K27" i="3"/>
  <c r="J27" i="3"/>
  <c r="O26" i="3"/>
  <c r="N26" i="3"/>
  <c r="M26" i="3"/>
  <c r="L26" i="3"/>
  <c r="E20" i="4" s="1"/>
  <c r="K26" i="3"/>
  <c r="D20" i="4" s="1"/>
  <c r="J26" i="3"/>
  <c r="C20" i="4" s="1"/>
  <c r="I20" i="4" s="1"/>
  <c r="O25" i="3"/>
  <c r="N25" i="3"/>
  <c r="M25" i="3"/>
  <c r="L25" i="3"/>
  <c r="K25" i="3"/>
  <c r="J25" i="3"/>
  <c r="O24" i="3"/>
  <c r="H19" i="4" s="1"/>
  <c r="N24" i="3"/>
  <c r="G19" i="4" s="1"/>
  <c r="M24" i="3"/>
  <c r="F19" i="4" s="1"/>
  <c r="L24" i="3"/>
  <c r="E19" i="4" s="1"/>
  <c r="K24" i="3"/>
  <c r="J24" i="3"/>
  <c r="C19" i="4" s="1"/>
  <c r="I19" i="4" s="1"/>
  <c r="O23" i="3"/>
  <c r="N23" i="3"/>
  <c r="M23" i="3"/>
  <c r="L23" i="3"/>
  <c r="K23" i="3"/>
  <c r="J23" i="3"/>
  <c r="O22" i="3"/>
  <c r="H18" i="4" s="1"/>
  <c r="N22" i="3"/>
  <c r="M22" i="3"/>
  <c r="L22" i="3"/>
  <c r="K22" i="3"/>
  <c r="J22" i="3"/>
  <c r="O21" i="3"/>
  <c r="O29" i="3" s="1"/>
  <c r="N21" i="3"/>
  <c r="N29" i="3" s="1"/>
  <c r="M21" i="3"/>
  <c r="F17" i="4" s="1"/>
  <c r="L21" i="3"/>
  <c r="E17" i="4" s="1"/>
  <c r="K21" i="3"/>
  <c r="D17" i="4" s="1"/>
  <c r="D23" i="4" s="1"/>
  <c r="J21" i="3"/>
  <c r="C17" i="4" s="1"/>
  <c r="O20" i="3"/>
  <c r="N20" i="3"/>
  <c r="M20" i="3"/>
  <c r="L20" i="3"/>
  <c r="K20" i="3"/>
  <c r="J20" i="3"/>
  <c r="O16" i="3"/>
  <c r="H13" i="4" s="1"/>
  <c r="N16" i="3"/>
  <c r="G13" i="4" s="1"/>
  <c r="M16" i="3"/>
  <c r="F13" i="4" s="1"/>
  <c r="L16" i="3"/>
  <c r="E13" i="4" s="1"/>
  <c r="K16" i="3"/>
  <c r="D13" i="4" s="1"/>
  <c r="J16" i="3"/>
  <c r="C13" i="4" s="1"/>
  <c r="O15" i="3"/>
  <c r="N15" i="3"/>
  <c r="M15" i="3"/>
  <c r="L15" i="3"/>
  <c r="K15" i="3"/>
  <c r="J15" i="3"/>
  <c r="O14" i="3"/>
  <c r="N14" i="3"/>
  <c r="G12" i="4" s="1"/>
  <c r="M14" i="3"/>
  <c r="F12" i="4" s="1"/>
  <c r="L14" i="3"/>
  <c r="E12" i="4" s="1"/>
  <c r="K14" i="3"/>
  <c r="D12" i="4" s="1"/>
  <c r="I12" i="4" s="1"/>
  <c r="J14" i="3"/>
  <c r="O13" i="3"/>
  <c r="N13" i="3"/>
  <c r="M13" i="3"/>
  <c r="L13" i="3"/>
  <c r="E11" i="4" s="1"/>
  <c r="K13" i="3"/>
  <c r="D11" i="4" s="1"/>
  <c r="J13" i="3"/>
  <c r="C11" i="4" s="1"/>
  <c r="I11" i="4" s="1"/>
  <c r="O12" i="3"/>
  <c r="H10" i="4" s="1"/>
  <c r="N12" i="3"/>
  <c r="G10" i="4" s="1"/>
  <c r="M12" i="3"/>
  <c r="F10" i="4" s="1"/>
  <c r="L12" i="3"/>
  <c r="E10" i="4" s="1"/>
  <c r="K12" i="3"/>
  <c r="J12" i="3"/>
  <c r="O11" i="3"/>
  <c r="H9" i="4" s="1"/>
  <c r="N11" i="3"/>
  <c r="G9" i="4" s="1"/>
  <c r="M11" i="3"/>
  <c r="F9" i="4" s="1"/>
  <c r="L11" i="3"/>
  <c r="E9" i="4" s="1"/>
  <c r="K11" i="3"/>
  <c r="D9" i="4" s="1"/>
  <c r="J11" i="3"/>
  <c r="C9" i="4" s="1"/>
  <c r="I9" i="4" s="1"/>
  <c r="O10" i="3"/>
  <c r="N10" i="3"/>
  <c r="M10" i="3"/>
  <c r="L10" i="3"/>
  <c r="K10" i="3"/>
  <c r="J10" i="3"/>
  <c r="O9" i="3"/>
  <c r="H8" i="4" s="1"/>
  <c r="N9" i="3"/>
  <c r="G8" i="4" s="1"/>
  <c r="M9" i="3"/>
  <c r="F8" i="4" s="1"/>
  <c r="L9" i="3"/>
  <c r="E8" i="4" s="1"/>
  <c r="K9" i="3"/>
  <c r="D8" i="4" s="1"/>
  <c r="J9" i="3"/>
  <c r="C8" i="4" s="1"/>
  <c r="O8" i="3"/>
  <c r="N8" i="3"/>
  <c r="M8" i="3"/>
  <c r="L8" i="3"/>
  <c r="K8" i="3"/>
  <c r="J8" i="3"/>
  <c r="O7" i="3"/>
  <c r="O17" i="3" s="1"/>
  <c r="N7" i="3"/>
  <c r="N17" i="3" s="1"/>
  <c r="M7" i="3"/>
  <c r="M17" i="3" s="1"/>
  <c r="L7" i="3"/>
  <c r="L17" i="3" s="1"/>
  <c r="K7" i="3"/>
  <c r="K17" i="3" s="1"/>
  <c r="J7" i="3"/>
  <c r="J17" i="3" s="1"/>
  <c r="O6" i="3"/>
  <c r="N6" i="3"/>
  <c r="M6" i="3"/>
  <c r="L6" i="3"/>
  <c r="K6" i="3"/>
  <c r="J6" i="3"/>
  <c r="F12" i="2"/>
  <c r="G8" i="1" s="1"/>
  <c r="E33" i="1"/>
  <c r="C33" i="1"/>
  <c r="E32" i="1"/>
  <c r="C32" i="1"/>
  <c r="E31" i="1"/>
  <c r="C31" i="1"/>
  <c r="H22" i="1"/>
  <c r="G22" i="1"/>
  <c r="F22" i="1"/>
  <c r="E22" i="1"/>
  <c r="D22" i="1"/>
  <c r="C22" i="1"/>
  <c r="G9" i="1"/>
  <c r="C9" i="1"/>
  <c r="C8" i="1"/>
  <c r="G7" i="1"/>
  <c r="C7" i="1"/>
  <c r="G6" i="1"/>
  <c r="C6" i="1"/>
  <c r="C23" i="1" l="1"/>
  <c r="C27" i="4"/>
  <c r="D14" i="4"/>
  <c r="E23" i="1"/>
  <c r="E27" i="4"/>
  <c r="G23" i="1"/>
  <c r="G27" i="4"/>
  <c r="I8" i="4"/>
  <c r="G23" i="4"/>
  <c r="F23" i="4"/>
  <c r="F23" i="1"/>
  <c r="F27" i="4"/>
  <c r="H14" i="4"/>
  <c r="C23" i="4"/>
  <c r="I17" i="4"/>
  <c r="D24" i="1"/>
  <c r="D28" i="4"/>
  <c r="D25" i="4"/>
  <c r="E23" i="4"/>
  <c r="I13" i="4"/>
  <c r="H23" i="4"/>
  <c r="I7" i="4"/>
  <c r="J29" i="3"/>
  <c r="K29" i="3"/>
  <c r="L29" i="3"/>
  <c r="M29" i="3"/>
  <c r="D29" i="4" l="1"/>
  <c r="D26" i="1" s="1"/>
  <c r="D25" i="1"/>
  <c r="C24" i="1"/>
  <c r="C28" i="4"/>
  <c r="I23" i="4"/>
  <c r="C25" i="4"/>
  <c r="F24" i="1"/>
  <c r="F28" i="4"/>
  <c r="F25" i="4"/>
  <c r="G24" i="1"/>
  <c r="G28" i="4"/>
  <c r="G25" i="4"/>
  <c r="E24" i="1"/>
  <c r="E28" i="4"/>
  <c r="E25" i="4"/>
  <c r="H27" i="4"/>
  <c r="H23" i="1"/>
  <c r="D27" i="4"/>
  <c r="I27" i="4" s="1"/>
  <c r="D23" i="1"/>
  <c r="I23" i="1" s="1"/>
  <c r="I14" i="4"/>
  <c r="H24" i="1"/>
  <c r="H28" i="4"/>
  <c r="H25" i="4"/>
  <c r="E50" i="4" l="1"/>
  <c r="E42" i="4"/>
  <c r="D16" i="1" s="1"/>
  <c r="E49" i="4"/>
  <c r="E48" i="4"/>
  <c r="G29" i="4"/>
  <c r="G26" i="1" s="1"/>
  <c r="G25" i="1"/>
  <c r="H29" i="4"/>
  <c r="H26" i="1" s="1"/>
  <c r="H25" i="1"/>
  <c r="E29" i="4"/>
  <c r="E26" i="1" s="1"/>
  <c r="E25" i="1"/>
  <c r="F29" i="4"/>
  <c r="F26" i="1" s="1"/>
  <c r="F25" i="1"/>
  <c r="C30" i="4"/>
  <c r="E37" i="4"/>
  <c r="D13" i="1" s="1"/>
  <c r="I25" i="4"/>
  <c r="C29" i="4"/>
  <c r="C25" i="1"/>
  <c r="I25" i="1" s="1"/>
  <c r="I28" i="4"/>
  <c r="I24" i="1"/>
  <c r="E38" i="4" l="1"/>
  <c r="F13" i="1" s="1"/>
  <c r="E43" i="4"/>
  <c r="F16" i="1" s="1"/>
  <c r="F50" i="4"/>
  <c r="F48" i="4"/>
  <c r="F49" i="4"/>
  <c r="C26" i="1"/>
  <c r="I26" i="1" s="1"/>
  <c r="C31" i="4"/>
  <c r="I29" i="4"/>
  <c r="E40" i="4"/>
  <c r="H16" i="1" s="1"/>
  <c r="D30" i="4"/>
  <c r="E30" i="4" s="1"/>
  <c r="F30" i="4" s="1"/>
  <c r="G30" i="4" s="1"/>
  <c r="H30" i="4" s="1"/>
  <c r="E39" i="4" l="1"/>
  <c r="B16" i="1" s="1"/>
  <c r="E36" i="4"/>
  <c r="C27" i="1"/>
  <c r="D31" i="4"/>
  <c r="H49" i="4"/>
  <c r="H32" i="1" s="1"/>
  <c r="G49" i="4"/>
  <c r="H48" i="4"/>
  <c r="H31" i="1" s="1"/>
  <c r="G48" i="4"/>
  <c r="H50" i="4"/>
  <c r="H33" i="1" s="1"/>
  <c r="G50" i="4"/>
  <c r="I50" i="4" l="1"/>
  <c r="I33" i="1" s="1"/>
  <c r="G33" i="1"/>
  <c r="D27" i="1"/>
  <c r="E31" i="4"/>
  <c r="B13" i="1"/>
  <c r="I48" i="4"/>
  <c r="I31" i="1" s="1"/>
  <c r="G31" i="1"/>
  <c r="G32" i="1"/>
  <c r="I49" i="4"/>
  <c r="I32" i="1" s="1"/>
  <c r="E27" i="1" l="1"/>
  <c r="F31" i="4"/>
  <c r="G31" i="4" l="1"/>
  <c r="F27" i="1"/>
  <c r="G27" i="1" l="1"/>
  <c r="H31" i="4"/>
  <c r="H27" i="1" s="1"/>
  <c r="I27" i="1" s="1"/>
  <c r="E41" i="4"/>
  <c r="H13" i="1" l="1"/>
  <c r="B19" i="1"/>
</calcChain>
</file>

<file path=xl/sharedStrings.xml><?xml version="1.0" encoding="utf-8"?>
<sst xmlns="http://schemas.openxmlformats.org/spreadsheetml/2006/main" count="249" uniqueCount="179">
  <si>
    <t>Strukturierte Bewertung einer Investitionsentscheidung mit Cashflow-, Kennzahlen- und Sensitivitätsanalyse</t>
  </si>
  <si>
    <t>1. Projektübersicht</t>
  </si>
  <si>
    <t>Projektname</t>
  </si>
  <si>
    <t>Diskontsatz</t>
  </si>
  <si>
    <t>Verantwortlich</t>
  </si>
  <si>
    <t>Laufzeit (Jahre)</t>
  </si>
  <si>
    <t>Abteilung</t>
  </si>
  <si>
    <t>Zeitraum</t>
  </si>
  <si>
    <t>Erstellungsdatum</t>
  </si>
  <si>
    <t>Inflation (informativ)</t>
  </si>
  <si>
    <t>2. Kernkennzahlen</t>
  </si>
  <si>
    <t>Kapitalwert (NPV)</t>
  </si>
  <si>
    <t>Interner Zinsfuß (IRR)</t>
  </si>
  <si>
    <t>Kosten-Nutzen-Verhältnis</t>
  </si>
  <si>
    <t>Amortisation (dynamisch)</t>
  </si>
  <si>
    <t>Return on Investment (ROI)</t>
  </si>
  <si>
    <t>Σ Kosten (Barwert)</t>
  </si>
  <si>
    <t>Σ Nutzen (Barwert)</t>
  </si>
  <si>
    <t>Amortisation (statisch)</t>
  </si>
  <si>
    <t>3. Investitionsempfehlung</t>
  </si>
  <si>
    <t>4. Jährlicher Cashflow</t>
  </si>
  <si>
    <t>Position</t>
  </si>
  <si>
    <t>Σ Gesamt</t>
  </si>
  <si>
    <t>Kosten gesamt</t>
  </si>
  <si>
    <t>Nutzen gesamt</t>
  </si>
  <si>
    <t>Netto-Cashflow</t>
  </si>
  <si>
    <t>Barwert Netto-Cashflow</t>
  </si>
  <si>
    <t>Kumulierter Barwert</t>
  </si>
  <si>
    <t>5. Sensitivitätsanalyse — NPV nach Szenarien</t>
  </si>
  <si>
    <t>Szenario</t>
  </si>
  <si>
    <t>Kostenfaktor</t>
  </si>
  <si>
    <t>Nutzenfaktor</t>
  </si>
  <si>
    <t>BCR</t>
  </si>
  <si>
    <t>Bewertung</t>
  </si>
  <si>
    <t>Best Case</t>
  </si>
  <si>
    <t>Realistisch</t>
  </si>
  <si>
    <t>Worst Case</t>
  </si>
  <si>
    <t>Anpassung: Tragen Sie Projektparameter im Tabellenblatt »Annahmen« ein. Erfassen Sie Positionen unter »Kosten &amp; Nutzen«. Die Berechnungen aktualisieren sich automatisch. Detailauswertung siehe »Cashflow &amp; Kennzahlen«.</t>
  </si>
  <si>
    <t>PROJEKTANNAHMEN &amp; PARAMETER</t>
  </si>
  <si>
    <t>Grundlegende Eingaben für die Kosten-Nutzen-Analyse — alle blauen Felder können angepasst werden</t>
  </si>
  <si>
    <t>1. Projektstammdaten</t>
  </si>
  <si>
    <t>Investitionsvorhaben Beispiel 2026</t>
  </si>
  <si>
    <t>Projektverantwortlich</t>
  </si>
  <si>
    <t>Anna Hofmann</t>
  </si>
  <si>
    <t>Abteilung / Bereich</t>
  </si>
  <si>
    <t>Strategie &amp; Controlling</t>
  </si>
  <si>
    <t>15.01.2026</t>
  </si>
  <si>
    <t>Projektbeginn (Jahr 0)</t>
  </si>
  <si>
    <t>Projektlaufzeit (Jahre, ohne Jahr 0)</t>
  </si>
  <si>
    <t>Endjahr</t>
  </si>
  <si>
    <t>2. Finanzparameter &amp; Diskontierung</t>
  </si>
  <si>
    <t>Kalkulationszinssatz (Diskontsatz) p.a.</t>
  </si>
  <si>
    <t>Inflationsrate (informativ)</t>
  </si>
  <si>
    <t>Steuersatz (informativ, optional)</t>
  </si>
  <si>
    <t>Währung</t>
  </si>
  <si>
    <t>EUR (€)</t>
  </si>
  <si>
    <t>3. Sensitivitätsanalyse — Szenarien</t>
  </si>
  <si>
    <t>Erläuterung</t>
  </si>
  <si>
    <t>Optimistische Annahme: Kosten -10%, Nutzen +15%</t>
  </si>
  <si>
    <t>Basisfall: Werte aus der Detailerfassung ohne Anpassung</t>
  </si>
  <si>
    <t>Pessimistische Annahme: Kosten +20%, Nutzen -25%</t>
  </si>
  <si>
    <t>4. Entscheidungsregeln</t>
  </si>
  <si>
    <t>Schwellwert BCR — empfohlen</t>
  </si>
  <si>
    <t>Schwellwert BCR — bedingt</t>
  </si>
  <si>
    <t>Schwellwert NPV — empfohlen (€)</t>
  </si>
  <si>
    <t>Maximale Amortisationszeit (Jahre)</t>
  </si>
  <si>
    <t>5. Legende &amp; Hinweise</t>
  </si>
  <si>
    <t>Eingabezellen</t>
  </si>
  <si>
    <t>Gelber Hintergrund, blauer Text — frei anpassbar</t>
  </si>
  <si>
    <t>Formelzellen</t>
  </si>
  <si>
    <t>Weißer Hintergrund, schwarzer Text — automatisch berechnet</t>
  </si>
  <si>
    <t>Querverweise</t>
  </si>
  <si>
    <t>Grüner Text — Verknüpfung zu anderem Tabellenblatt</t>
  </si>
  <si>
    <t>Summen / Ergebnisse</t>
  </si>
  <si>
    <t>Blauer/grüner Hintergrund — aggregierte Werte</t>
  </si>
  <si>
    <t>DETAILERFASSUNG — KOSTEN &amp; NUTZEN</t>
  </si>
  <si>
    <t>Erfassen Sie sämtliche Kosten- und Nutzenpositionen. Die Spalten »Jahr 0«–»Jahr 5« berechnen sich automatisch aus Basisbetrag, Beginn-/Endjahr und Steigerung p.a.</t>
  </si>
  <si>
    <t>KOSTEN — Mittelabflüsse</t>
  </si>
  <si>
    <t>Nr.</t>
  </si>
  <si>
    <t>Kategorie</t>
  </si>
  <si>
    <t>Bezeichnung</t>
  </si>
  <si>
    <t>Typ</t>
  </si>
  <si>
    <t>Jahr Beginn</t>
  </si>
  <si>
    <t>Jahr Ende</t>
  </si>
  <si>
    <t>Basisbetrag (€)</t>
  </si>
  <si>
    <t>Steigerung % p.a.</t>
  </si>
  <si>
    <t>K01</t>
  </si>
  <si>
    <t>Investition</t>
  </si>
  <si>
    <t>Hardware / Anschaffung Anlagen</t>
  </si>
  <si>
    <t>Einmalig</t>
  </si>
  <si>
    <t>K02</t>
  </si>
  <si>
    <t>Softwarelizenz (Erstbeschaffung)</t>
  </si>
  <si>
    <t>K03</t>
  </si>
  <si>
    <t>Implementierung</t>
  </si>
  <si>
    <t>Externe Beratung &amp; Customizing</t>
  </si>
  <si>
    <t>K04</t>
  </si>
  <si>
    <t>Migration &amp; Datenübernahme</t>
  </si>
  <si>
    <t>K05</t>
  </si>
  <si>
    <t>Schulung</t>
  </si>
  <si>
    <t>Initiale Mitarbeiterschulungen</t>
  </si>
  <si>
    <t>K06</t>
  </si>
  <si>
    <t>Wartung</t>
  </si>
  <si>
    <t>Wartung &amp; technischer Support</t>
  </si>
  <si>
    <t>Wiederkehrend</t>
  </si>
  <si>
    <t>K07</t>
  </si>
  <si>
    <t>Lizenzen</t>
  </si>
  <si>
    <t>Jährliche Softwarelizenzen</t>
  </si>
  <si>
    <t>K08</t>
  </si>
  <si>
    <t>Personal</t>
  </si>
  <si>
    <t>Interner IT-Aufwand (Anteil)</t>
  </si>
  <si>
    <t>K09</t>
  </si>
  <si>
    <t>Auffrischungs- und Folgeschulungen</t>
  </si>
  <si>
    <t>K10</t>
  </si>
  <si>
    <t>Sonstige</t>
  </si>
  <si>
    <t>Sonstige laufende Betriebskosten</t>
  </si>
  <si>
    <t>ZWISCHENSUMME KOSTEN</t>
  </si>
  <si>
    <t>NUTZEN — Mittelzuflüsse / Einsparungen</t>
  </si>
  <si>
    <t>N01</t>
  </si>
  <si>
    <t>Kosteneinsparung</t>
  </si>
  <si>
    <t>Personaleinsparungen (FTE-Reduktion)</t>
  </si>
  <si>
    <t>N02</t>
  </si>
  <si>
    <t>Effizienzgewinn</t>
  </si>
  <si>
    <t>Prozessautomatisierung / Zeiteinsparung</t>
  </si>
  <si>
    <t>N03</t>
  </si>
  <si>
    <t>Reduktion Fehler- und Nacharbeitskosten</t>
  </si>
  <si>
    <t>N04</t>
  </si>
  <si>
    <t>Umsatzsteigerung</t>
  </si>
  <si>
    <t>Neukundenumsätze durch neue Funktionen</t>
  </si>
  <si>
    <t>N05</t>
  </si>
  <si>
    <t>Wegfall abgelöster Drittsysteme</t>
  </si>
  <si>
    <t>N06</t>
  </si>
  <si>
    <t>Qualitätssteigerung</t>
  </si>
  <si>
    <t>Verbesserte Datenqualität / Reporting</t>
  </si>
  <si>
    <t>N07</t>
  </si>
  <si>
    <t>Risikoreduktion</t>
  </si>
  <si>
    <t>Compliance- und Sicherheitsverbesserung</t>
  </si>
  <si>
    <t>N08</t>
  </si>
  <si>
    <t>Erlös aus Verkauf abgelöster Anlagen</t>
  </si>
  <si>
    <t>ZWISCHENSUMME NUTZEN</t>
  </si>
  <si>
    <t>Hinweis: Für »Einmalig« Positionen tragen Sie Jahr Beginn = Jahr Ende ein (z. B. beide 0 für Investitionen). Bei »Wiederkehrend« kann ein Steigerungssatz für Inflation/Preisentwicklung pro Jahr angegeben werden.</t>
  </si>
  <si>
    <t>CASHFLOW-RECHNUNG &amp; KENNZAHLEN</t>
  </si>
  <si>
    <t>Jährliche Aggregation, Barwertrechnung und Investitions­kennzahlen (Kapitalwert, Interner Zinsfuß, Amortisation, Kosten-Nutzen-Verhältnis, ROI)</t>
  </si>
  <si>
    <t>Gesamt</t>
  </si>
  <si>
    <t>KOSTEN (nach Kategorie)</t>
  </si>
  <si>
    <t>∑ Kosten gesamt</t>
  </si>
  <si>
    <t>NUTZEN (nach Kategorie)</t>
  </si>
  <si>
    <t>∑ Nutzen gesamt</t>
  </si>
  <si>
    <t>Netto-Cashflow (Nutzen − Kosten)</t>
  </si>
  <si>
    <t>Diskontfaktor [1/(1+i)^t]</t>
  </si>
  <si>
    <t>Barwert Kosten</t>
  </si>
  <si>
    <t>Barwert Nutzen</t>
  </si>
  <si>
    <t>Kumulierter Cashflow (nominal)</t>
  </si>
  <si>
    <t>INVESTITIONSKENNZAHLEN</t>
  </si>
  <si>
    <t>Kennzahl</t>
  </si>
  <si>
    <t>Formel</t>
  </si>
  <si>
    <t>Wert</t>
  </si>
  <si>
    <t>= ∑ Barwert Netto-Cashflow</t>
  </si>
  <si>
    <t>Summe aller diskontierten Netto-Cashflows. Wert &gt; 0 = wertschaffend.</t>
  </si>
  <si>
    <t>= IRR(CF₀ … CFₙ)</t>
  </si>
  <si>
    <t>Verzinsung, bei der der Kapitalwert null wird. Vergleich mit Diskontsatz.</t>
  </si>
  <si>
    <t>Kosten-Nutzen-Verhältnis (BCR)</t>
  </si>
  <si>
    <t>= Σ Barwert Nutzen / Σ Barwert Kosten</t>
  </si>
  <si>
    <t>BCR &gt; 1 = vorteilhaft; BCR &lt; 1 = unrentabel.</t>
  </si>
  <si>
    <t>= NPV / Σ Barwert Kosten</t>
  </si>
  <si>
    <t>Rentabilität auf Basis der diskontierten Kosten.</t>
  </si>
  <si>
    <t>Statische Amortisationszeit</t>
  </si>
  <si>
    <t>= Jahre bis kumulierter CF ≥ 0</t>
  </si>
  <si>
    <t>Jahre, bis die kumulierten Rückflüsse die Anfangsinvestition decken.</t>
  </si>
  <si>
    <t>Dynamische Amortisationszeit</t>
  </si>
  <si>
    <t>= Jahre bis kumulierter Barwert ≥ 0</t>
  </si>
  <si>
    <t>Wie statisch, jedoch auf Basis diskontierter Cashflows.</t>
  </si>
  <si>
    <t>Σ Investitions- und Kosten-Barwert</t>
  </si>
  <si>
    <t>= ∑ Barwert Kosten</t>
  </si>
  <si>
    <t>Diskontierte Gesamtkosten über die Projektlaufzeit.</t>
  </si>
  <si>
    <t>Σ Nutzen-Barwert</t>
  </si>
  <si>
    <t>= ∑ Barwert Nutzen</t>
  </si>
  <si>
    <t>Diskontierte Gesamtnutzen über die Projektlaufzeit.</t>
  </si>
  <si>
    <t>SENSITIVITÄTSANALYSE</t>
  </si>
  <si>
    <t>KOSTEN-NUTZEN-ANALYSE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</si>
</sst>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;[Red]\(0.0%\);\-"/>
    <numFmt numFmtId="165" formatCode="#,##0;[Red]\(#,##0\);\-"/>
    <numFmt numFmtId="166" formatCode="#,##0&quot; €&quot;;[Red]\(#,##0&quot; €)&quot;;\-"/>
    <numFmt numFmtId="167" formatCode="0.00\x"/>
    <numFmt numFmtId="168" formatCode="0.00&quot; Jahre&quot;"/>
    <numFmt numFmtId="169" formatCode="#,##0.00;[Red]\(#,##0.00\);\-"/>
    <numFmt numFmtId="170" formatCode="#,##0.00&quot; €&quot;;[Red]\(#,##0.00&quot; €)&quot;;\-"/>
    <numFmt numFmtId="171" formatCode="0.00%;[Red]\(0.00%\);\-"/>
    <numFmt numFmtId="172" formatCode="0.0000"/>
  </numFmts>
  <fonts count="19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595959"/>
      <name val="Arial"/>
      <charset val="1"/>
    </font>
    <font>
      <b/>
      <sz val="10"/>
      <color rgb="FF1F3864"/>
      <name val="Arial"/>
      <charset val="1"/>
    </font>
    <font>
      <b/>
      <sz val="10"/>
      <color rgb="FF000000"/>
      <name val="Arial"/>
      <charset val="1"/>
    </font>
    <font>
      <sz val="10"/>
      <color rgb="FF006100"/>
      <name val="Arial"/>
      <charset val="1"/>
    </font>
    <font>
      <b/>
      <sz val="10"/>
      <color rgb="FFFFFFFF"/>
      <name val="Arial"/>
      <charset val="1"/>
    </font>
    <font>
      <b/>
      <sz val="18"/>
      <color rgb="FF375623"/>
      <name val="Arial"/>
      <charset val="1"/>
    </font>
    <font>
      <b/>
      <sz val="14"/>
      <color rgb="FF1F3864"/>
      <name val="Arial"/>
      <charset val="1"/>
    </font>
    <font>
      <sz val="10"/>
      <color rgb="FF000000"/>
      <name val="Arial"/>
      <charset val="1"/>
    </font>
    <font>
      <b/>
      <sz val="10"/>
      <color rgb="FF375623"/>
      <name val="Arial"/>
      <charset val="1"/>
    </font>
    <font>
      <i/>
      <sz val="9"/>
      <color rgb="FF595959"/>
      <name val="Arial"/>
      <charset val="1"/>
    </font>
    <font>
      <b/>
      <sz val="14"/>
      <color rgb="FFFFFFFF"/>
      <name val="Arial"/>
      <charset val="1"/>
    </font>
    <font>
      <sz val="10"/>
      <color rgb="FF0000FF"/>
      <name val="Arial"/>
      <charset val="1"/>
    </font>
    <font>
      <b/>
      <sz val="12"/>
      <color rgb="FF9C0006"/>
      <name val="Arial"/>
      <charset val="1"/>
    </font>
    <font>
      <b/>
      <sz val="12"/>
      <color rgb="FF375623"/>
      <name val="Arial"/>
      <charset val="1"/>
    </font>
    <font>
      <b/>
      <sz val="11"/>
      <color rgb="FF9C0006"/>
      <name val="Arial"/>
      <charset val="1"/>
    </font>
    <font>
      <b/>
      <sz val="11"/>
      <color rgb="FF375623"/>
      <name val="Arial"/>
      <charset val="1"/>
    </font>
    <font>
      <b/>
      <sz val="12"/>
      <color rgb="FFFFFFFF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9E1F2"/>
        <bgColor rgb="FFE2EFDA"/>
      </patternFill>
    </fill>
    <fill>
      <patternFill patternType="solid">
        <fgColor rgb="FFC6EFCE"/>
        <bgColor rgb="FFE2EFDA"/>
      </patternFill>
    </fill>
    <fill>
      <patternFill patternType="solid">
        <fgColor rgb="FFFFE699"/>
        <bgColor rgb="FFFFF2CC"/>
      </patternFill>
    </fill>
    <fill>
      <patternFill patternType="solid">
        <fgColor rgb="FFBDD7E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theme="3" tint="-0.499984740745262"/>
        <bgColor rgb="FF333399"/>
      </patternFill>
    </fill>
  </fills>
  <borders count="3">
    <border>
      <left/>
      <right/>
      <top/>
      <bottom/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8" fontId="7" fillId="4" borderId="1" xfId="0" applyNumberFormat="1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indent="1"/>
    </xf>
    <xf numFmtId="166" fontId="5" fillId="0" borderId="2" xfId="0" applyNumberFormat="1" applyFont="1" applyBorder="1" applyAlignment="1">
      <alignment horizontal="right" vertical="center"/>
    </xf>
    <xf numFmtId="166" fontId="3" fillId="6" borderId="2" xfId="0" applyNumberFormat="1" applyFont="1" applyFill="1" applyBorder="1" applyAlignment="1">
      <alignment horizontal="right" vertical="center"/>
    </xf>
    <xf numFmtId="166" fontId="3" fillId="7" borderId="2" xfId="0" applyNumberFormat="1" applyFont="1" applyFill="1" applyBorder="1" applyAlignment="1">
      <alignment horizontal="right" vertical="center"/>
    </xf>
    <xf numFmtId="166" fontId="10" fillId="7" borderId="2" xfId="0" applyNumberFormat="1" applyFont="1" applyFill="1" applyBorder="1" applyAlignment="1">
      <alignment horizontal="right" vertical="center"/>
    </xf>
    <xf numFmtId="167" fontId="10" fillId="7" borderId="2" xfId="0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center" vertical="center"/>
    </xf>
    <xf numFmtId="1" fontId="13" fillId="8" borderId="2" xfId="0" applyNumberFormat="1" applyFont="1" applyFill="1" applyBorder="1" applyAlignment="1">
      <alignment horizontal="right" vertical="center"/>
    </xf>
    <xf numFmtId="164" fontId="13" fillId="8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center" indent="1"/>
    </xf>
    <xf numFmtId="0" fontId="13" fillId="8" borderId="2" xfId="0" applyFont="1" applyFill="1" applyBorder="1" applyAlignment="1">
      <alignment horizontal="center" vertical="center"/>
    </xf>
    <xf numFmtId="170" fontId="13" fillId="8" borderId="2" xfId="0" applyNumberFormat="1" applyFont="1" applyFill="1" applyBorder="1" applyAlignment="1">
      <alignment horizontal="right" vertical="center"/>
    </xf>
    <xf numFmtId="171" fontId="13" fillId="8" borderId="2" xfId="0" applyNumberFormat="1" applyFont="1" applyFill="1" applyBorder="1" applyAlignment="1">
      <alignment horizontal="right" vertical="center"/>
    </xf>
    <xf numFmtId="170" fontId="9" fillId="0" borderId="2" xfId="0" applyNumberFormat="1" applyFont="1" applyBorder="1" applyAlignment="1">
      <alignment horizontal="right" vertical="center"/>
    </xf>
    <xf numFmtId="170" fontId="3" fillId="6" borderId="2" xfId="0" applyNumberFormat="1" applyFont="1" applyFill="1" applyBorder="1" applyAlignment="1">
      <alignment horizontal="right" vertical="center"/>
    </xf>
    <xf numFmtId="170" fontId="3" fillId="7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indent="2"/>
    </xf>
    <xf numFmtId="170" fontId="5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indent="1"/>
    </xf>
    <xf numFmtId="0" fontId="3" fillId="7" borderId="2" xfId="0" applyFont="1" applyFill="1" applyBorder="1" applyAlignment="1">
      <alignment horizontal="left" vertical="center" indent="1"/>
    </xf>
    <xf numFmtId="172" fontId="9" fillId="0" borderId="2" xfId="0" applyNumberFormat="1" applyFont="1" applyBorder="1" applyAlignment="1">
      <alignment horizontal="right" vertical="center"/>
    </xf>
    <xf numFmtId="0" fontId="0" fillId="0" borderId="2" xfId="0" applyBorder="1"/>
    <xf numFmtId="170" fontId="10" fillId="7" borderId="2" xfId="0" applyNumberFormat="1" applyFont="1" applyFill="1" applyBorder="1" applyAlignment="1">
      <alignment horizontal="right" vertical="center"/>
    </xf>
    <xf numFmtId="171" fontId="10" fillId="7" borderId="2" xfId="0" applyNumberFormat="1" applyFont="1" applyFill="1" applyBorder="1" applyAlignment="1">
      <alignment horizontal="right" vertical="center"/>
    </xf>
    <xf numFmtId="164" fontId="10" fillId="7" borderId="2" xfId="0" applyNumberFormat="1" applyFont="1" applyFill="1" applyBorder="1" applyAlignment="1">
      <alignment horizontal="right" vertical="center"/>
    </xf>
    <xf numFmtId="169" fontId="10" fillId="7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13" fillId="8" borderId="2" xfId="0" applyFont="1" applyFill="1" applyBorder="1" applyAlignment="1">
      <alignment horizontal="left" vertical="center"/>
    </xf>
    <xf numFmtId="1" fontId="13" fillId="8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164" fontId="13" fillId="8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7" fontId="13" fillId="8" borderId="2" xfId="0" applyNumberFormat="1" applyFont="1" applyFill="1" applyBorder="1" applyAlignment="1">
      <alignment horizontal="right" vertical="center"/>
    </xf>
    <xf numFmtId="166" fontId="13" fillId="8" borderId="2" xfId="0" applyNumberFormat="1" applyFont="1" applyFill="1" applyBorder="1" applyAlignment="1">
      <alignment horizontal="right" vertical="center"/>
    </xf>
    <xf numFmtId="169" fontId="13" fillId="8" borderId="2" xfId="0" applyNumberFormat="1" applyFont="1" applyFill="1" applyBorder="1" applyAlignment="1">
      <alignment horizontal="right" vertical="center"/>
    </xf>
    <xf numFmtId="0" fontId="14" fillId="9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right" vertical="center"/>
    </xf>
    <xf numFmtId="0" fontId="15" fillId="7" borderId="1" xfId="0" applyFont="1" applyFill="1" applyBorder="1" applyAlignment="1">
      <alignment horizontal="left" vertical="center" indent="1"/>
    </xf>
    <xf numFmtId="0" fontId="3" fillId="7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indent="1"/>
    </xf>
    <xf numFmtId="0" fontId="17" fillId="7" borderId="1" xfId="0" applyFont="1" applyFill="1" applyBorder="1" applyAlignment="1">
      <alignment horizontal="left" vertical="center" indent="1"/>
    </xf>
    <xf numFmtId="0" fontId="18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 wrapText="1"/>
    </xf>
    <xf numFmtId="1" fontId="6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C6EFCE"/>
      <rgbColor rgb="FFFFE6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5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8" sqref="K8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4" width="17" customWidth="1"/>
    <col min="5" max="8" width="14" customWidth="1"/>
    <col min="9" max="9" width="17" customWidth="1"/>
  </cols>
  <sheetData>
    <row r="2" spans="2:9" ht="37.5" customHeight="1" x14ac:dyDescent="0.25">
      <c r="B2" s="68" t="s">
        <v>178</v>
      </c>
      <c r="C2" s="68"/>
      <c r="D2" s="68"/>
      <c r="E2" s="68"/>
      <c r="F2" s="68"/>
      <c r="G2" s="68"/>
      <c r="H2" s="68"/>
      <c r="I2" s="68"/>
    </row>
    <row r="3" spans="2:9" ht="21.75" customHeight="1" x14ac:dyDescent="0.25">
      <c r="B3" s="12" t="s">
        <v>0</v>
      </c>
      <c r="C3" s="12"/>
      <c r="D3" s="12"/>
      <c r="E3" s="12"/>
      <c r="F3" s="12"/>
      <c r="G3" s="12"/>
      <c r="H3" s="12"/>
      <c r="I3" s="12"/>
    </row>
    <row r="5" spans="2:9" ht="21.75" customHeight="1" x14ac:dyDescent="0.25">
      <c r="B5" s="11" t="s">
        <v>1</v>
      </c>
      <c r="C5" s="11"/>
      <c r="D5" s="11"/>
      <c r="E5" s="11"/>
      <c r="F5" s="11"/>
      <c r="G5" s="11"/>
      <c r="H5" s="11"/>
      <c r="I5" s="11"/>
    </row>
    <row r="6" spans="2:9" ht="21.75" customHeight="1" x14ac:dyDescent="0.25">
      <c r="B6" s="13" t="s">
        <v>2</v>
      </c>
      <c r="C6" s="10" t="str">
        <f>Annahmen!$F$6</f>
        <v>Investitionsvorhaben Beispiel 2026</v>
      </c>
      <c r="D6" s="10"/>
      <c r="F6" s="13" t="s">
        <v>3</v>
      </c>
      <c r="G6" s="9">
        <f>Annahmen!$F$15</f>
        <v>0.06</v>
      </c>
      <c r="H6" s="9"/>
      <c r="I6" s="9"/>
    </row>
    <row r="7" spans="2:9" ht="21.75" customHeight="1" x14ac:dyDescent="0.25">
      <c r="B7" s="13" t="s">
        <v>4</v>
      </c>
      <c r="C7" s="10" t="str">
        <f>Annahmen!$F$7</f>
        <v>Anna Hofmann</v>
      </c>
      <c r="D7" s="10"/>
      <c r="F7" s="13" t="s">
        <v>5</v>
      </c>
      <c r="G7" s="8">
        <f>Annahmen!$F$11</f>
        <v>5</v>
      </c>
      <c r="H7" s="8"/>
      <c r="I7" s="8"/>
    </row>
    <row r="8" spans="2:9" ht="21.75" customHeight="1" x14ac:dyDescent="0.25">
      <c r="B8" s="13" t="s">
        <v>6</v>
      </c>
      <c r="C8" s="10" t="str">
        <f>Annahmen!$F$8</f>
        <v>Strategie &amp; Controlling</v>
      </c>
      <c r="D8" s="10"/>
      <c r="F8" s="13" t="s">
        <v>7</v>
      </c>
      <c r="G8" s="10" t="str">
        <f>Annahmen!$F$10&amp;" – "&amp;Annahmen!$F$12</f>
        <v>2026 – 2031</v>
      </c>
      <c r="H8" s="10"/>
      <c r="I8" s="10"/>
    </row>
    <row r="9" spans="2:9" ht="21.75" customHeight="1" x14ac:dyDescent="0.25">
      <c r="B9" s="13" t="s">
        <v>8</v>
      </c>
      <c r="C9" s="10" t="str">
        <f>Annahmen!$F$9</f>
        <v>15.01.2026</v>
      </c>
      <c r="D9" s="10"/>
      <c r="F9" s="13" t="s">
        <v>9</v>
      </c>
      <c r="G9" s="9">
        <f>Annahmen!$F$16</f>
        <v>2.5000000000000001E-2</v>
      </c>
      <c r="H9" s="9"/>
      <c r="I9" s="9"/>
    </row>
    <row r="11" spans="2:9" ht="21.75" customHeight="1" x14ac:dyDescent="0.25">
      <c r="B11" s="11" t="s">
        <v>10</v>
      </c>
      <c r="C11" s="11"/>
      <c r="D11" s="11"/>
      <c r="E11" s="11"/>
      <c r="F11" s="11"/>
      <c r="G11" s="11"/>
      <c r="H11" s="11"/>
      <c r="I11" s="11"/>
    </row>
    <row r="12" spans="2:9" ht="21.75" customHeight="1" x14ac:dyDescent="0.25">
      <c r="B12" s="69" t="s">
        <v>11</v>
      </c>
      <c r="C12" s="69"/>
      <c r="D12" s="69" t="s">
        <v>12</v>
      </c>
      <c r="E12" s="69"/>
      <c r="F12" s="69" t="s">
        <v>13</v>
      </c>
      <c r="G12" s="69"/>
      <c r="H12" s="69" t="s">
        <v>14</v>
      </c>
      <c r="I12" s="69"/>
    </row>
    <row r="13" spans="2:9" ht="39.75" customHeight="1" x14ac:dyDescent="0.25">
      <c r="B13" s="7">
        <f>'Cashflow &amp; Kennzahlen'!$E$36</f>
        <v>178296.85127137712</v>
      </c>
      <c r="C13" s="7"/>
      <c r="D13" s="6">
        <f>'Cashflow &amp; Kennzahlen'!$E$37</f>
        <v>0.62408687096630233</v>
      </c>
      <c r="E13" s="6"/>
      <c r="F13" s="5">
        <f>'Cashflow &amp; Kennzahlen'!$E$38</f>
        <v>1.7629552045970527</v>
      </c>
      <c r="G13" s="5"/>
      <c r="H13" s="4">
        <f>'Cashflow &amp; Kennzahlen'!$E$41</f>
        <v>2.6881832512949204</v>
      </c>
      <c r="I13" s="4"/>
    </row>
    <row r="15" spans="2:9" ht="21.75" customHeight="1" x14ac:dyDescent="0.25">
      <c r="B15" s="69" t="s">
        <v>15</v>
      </c>
      <c r="C15" s="69"/>
      <c r="D15" s="69" t="s">
        <v>16</v>
      </c>
      <c r="E15" s="69"/>
      <c r="F15" s="69" t="s">
        <v>17</v>
      </c>
      <c r="G15" s="69"/>
      <c r="H15" s="69" t="s">
        <v>18</v>
      </c>
      <c r="I15" s="69"/>
    </row>
    <row r="16" spans="2:9" ht="39.75" customHeight="1" x14ac:dyDescent="0.25">
      <c r="B16" s="6">
        <f>'Cashflow &amp; Kennzahlen'!$E$39</f>
        <v>0.76295520459705291</v>
      </c>
      <c r="C16" s="6"/>
      <c r="D16" s="3">
        <f>'Cashflow &amp; Kennzahlen'!$E$42</f>
        <v>233692.42413850865</v>
      </c>
      <c r="E16" s="3"/>
      <c r="F16" s="7">
        <f>'Cashflow &amp; Kennzahlen'!$E$43</f>
        <v>411989.27540988574</v>
      </c>
      <c r="G16" s="7"/>
      <c r="H16" s="4">
        <f>'Cashflow &amp; Kennzahlen'!$E$40</f>
        <v>2.566225911269826</v>
      </c>
      <c r="I16" s="4"/>
    </row>
    <row r="18" spans="2:9" ht="21.75" customHeight="1" x14ac:dyDescent="0.25">
      <c r="B18" s="11" t="s">
        <v>19</v>
      </c>
      <c r="C18" s="11"/>
      <c r="D18" s="11"/>
      <c r="E18" s="11"/>
      <c r="F18" s="11"/>
      <c r="G18" s="11"/>
      <c r="H18" s="11"/>
      <c r="I18" s="11"/>
    </row>
    <row r="19" spans="2:9" ht="36" customHeight="1" x14ac:dyDescent="0.25">
      <c r="B19" s="2" t="str">
        <f>IF('Cashflow &amp; Kennzahlen'!$E$36&lt;=Annahmen!$F$29,"⛔  INVESTITION NICHT EMPFEHLENSWERT",IF(AND('Cashflow &amp; Kennzahlen'!$E$38&gt;=Annahmen!$F$27,'Cashflow &amp; Kennzahlen'!$E$41&lt;=Annahmen!$F$30),"✅  INVESTITION EMPFEHLENSWERT",IF('Cashflow &amp; Kennzahlen'!$E$38&gt;=Annahmen!$F$28,"⚠️  BEDINGT EMPFEHLENSWERT — DETAILPRÜFUNG ERFORDERLICH","⛔  INVESTITION NICHT EMPFEHLENSWERT")))</f>
        <v>✅  INVESTITION EMPFEHLENSWERT</v>
      </c>
      <c r="C19" s="2"/>
      <c r="D19" s="2"/>
      <c r="E19" s="2"/>
      <c r="F19" s="2"/>
      <c r="G19" s="2"/>
      <c r="H19" s="2"/>
      <c r="I19" s="2"/>
    </row>
    <row r="21" spans="2:9" ht="21.75" customHeight="1" x14ac:dyDescent="0.25">
      <c r="B21" s="11" t="s">
        <v>20</v>
      </c>
      <c r="C21" s="11"/>
      <c r="D21" s="11"/>
      <c r="E21" s="11"/>
      <c r="F21" s="11"/>
      <c r="G21" s="11"/>
      <c r="H21" s="11"/>
      <c r="I21" s="11"/>
    </row>
    <row r="22" spans="2:9" ht="25.5" customHeight="1" x14ac:dyDescent="0.25">
      <c r="B22" s="70" t="s">
        <v>21</v>
      </c>
      <c r="C22" s="71">
        <f>Annahmen!$F$10+0</f>
        <v>2026</v>
      </c>
      <c r="D22" s="71">
        <f>Annahmen!$F$10+1</f>
        <v>2027</v>
      </c>
      <c r="E22" s="71">
        <f>Annahmen!$F$10+2</f>
        <v>2028</v>
      </c>
      <c r="F22" s="71">
        <f>Annahmen!$F$10+3</f>
        <v>2029</v>
      </c>
      <c r="G22" s="71">
        <f>Annahmen!$F$10+4</f>
        <v>2030</v>
      </c>
      <c r="H22" s="71">
        <f>Annahmen!$F$10+5</f>
        <v>2031</v>
      </c>
      <c r="I22" s="72" t="s">
        <v>22</v>
      </c>
    </row>
    <row r="23" spans="2:9" ht="19.5" customHeight="1" x14ac:dyDescent="0.25">
      <c r="B23" s="17" t="s">
        <v>23</v>
      </c>
      <c r="C23" s="18">
        <f>'Cashflow &amp; Kennzahlen'!C14</f>
        <v>90000</v>
      </c>
      <c r="D23" s="18">
        <f>'Cashflow &amp; Kennzahlen'!D14</f>
        <v>30700</v>
      </c>
      <c r="E23" s="18">
        <f>'Cashflow &amp; Kennzahlen'!E14</f>
        <v>33934</v>
      </c>
      <c r="F23" s="18">
        <f>'Cashflow &amp; Kennzahlen'!F14</f>
        <v>34735.979999999996</v>
      </c>
      <c r="G23" s="18">
        <f>'Cashflow &amp; Kennzahlen'!G14</f>
        <v>35557.391099999993</v>
      </c>
      <c r="H23" s="18">
        <f>'Cashflow &amp; Kennzahlen'!H14</f>
        <v>36398.715979499997</v>
      </c>
      <c r="I23" s="19">
        <f>SUM(C23:H23)</f>
        <v>261326.08707949999</v>
      </c>
    </row>
    <row r="24" spans="2:9" ht="19.5" customHeight="1" x14ac:dyDescent="0.25">
      <c r="B24" s="17" t="s">
        <v>24</v>
      </c>
      <c r="C24" s="18">
        <f>'Cashflow &amp; Kennzahlen'!C23</f>
        <v>4000</v>
      </c>
      <c r="D24" s="18">
        <f>'Cashflow &amp; Kennzahlen'!D23</f>
        <v>81500</v>
      </c>
      <c r="E24" s="18">
        <f>'Cashflow &amp; Kennzahlen'!E23</f>
        <v>96100</v>
      </c>
      <c r="F24" s="18">
        <f>'Cashflow &amp; Kennzahlen'!F23</f>
        <v>99632.2</v>
      </c>
      <c r="G24" s="18">
        <f>'Cashflow &amp; Kennzahlen'!G23</f>
        <v>103319.005</v>
      </c>
      <c r="H24" s="18">
        <f>'Cashflow &amp; Kennzahlen'!H23</f>
        <v>107168.28867999998</v>
      </c>
      <c r="I24" s="19">
        <f>SUM(C24:H24)</f>
        <v>491719.49368000001</v>
      </c>
    </row>
    <row r="25" spans="2:9" ht="19.5" customHeight="1" x14ac:dyDescent="0.25">
      <c r="B25" s="13" t="s">
        <v>25</v>
      </c>
      <c r="C25" s="19">
        <f>'Cashflow &amp; Kennzahlen'!C25</f>
        <v>-86000</v>
      </c>
      <c r="D25" s="19">
        <f>'Cashflow &amp; Kennzahlen'!D25</f>
        <v>50800</v>
      </c>
      <c r="E25" s="19">
        <f>'Cashflow &amp; Kennzahlen'!E25</f>
        <v>62166</v>
      </c>
      <c r="F25" s="19">
        <f>'Cashflow &amp; Kennzahlen'!F25</f>
        <v>64896.22</v>
      </c>
      <c r="G25" s="19">
        <f>'Cashflow &amp; Kennzahlen'!G25</f>
        <v>67761.613900000011</v>
      </c>
      <c r="H25" s="19">
        <f>'Cashflow &amp; Kennzahlen'!H25</f>
        <v>70769.572700499994</v>
      </c>
      <c r="I25" s="19">
        <f>SUM(C25:H25)</f>
        <v>230393.40660050002</v>
      </c>
    </row>
    <row r="26" spans="2:9" ht="19.5" customHeight="1" x14ac:dyDescent="0.25">
      <c r="B26" s="13" t="s">
        <v>26</v>
      </c>
      <c r="C26" s="19">
        <f>'Cashflow &amp; Kennzahlen'!C29</f>
        <v>-86000</v>
      </c>
      <c r="D26" s="19">
        <f>'Cashflow &amp; Kennzahlen'!D29</f>
        <v>47924.528301886785</v>
      </c>
      <c r="E26" s="19">
        <f>'Cashflow &amp; Kennzahlen'!E29</f>
        <v>55327.518689925237</v>
      </c>
      <c r="F26" s="19">
        <f>'Cashflow &amp; Kennzahlen'!F29</f>
        <v>54488.117707906509</v>
      </c>
      <c r="G26" s="19">
        <f>'Cashflow &amp; Kennzahlen'!G29</f>
        <v>53673.544980971375</v>
      </c>
      <c r="H26" s="19">
        <f>'Cashflow &amp; Kennzahlen'!H29</f>
        <v>52883.141590687206</v>
      </c>
      <c r="I26" s="19">
        <f>SUM(C26:H26)</f>
        <v>178296.85127137712</v>
      </c>
    </row>
    <row r="27" spans="2:9" ht="19.5" customHeight="1" x14ac:dyDescent="0.25">
      <c r="B27" s="13" t="s">
        <v>27</v>
      </c>
      <c r="C27" s="19">
        <f>'Cashflow &amp; Kennzahlen'!C31</f>
        <v>-86000</v>
      </c>
      <c r="D27" s="19">
        <f>'Cashflow &amp; Kennzahlen'!D31</f>
        <v>-38075.471698113215</v>
      </c>
      <c r="E27" s="19">
        <f>'Cashflow &amp; Kennzahlen'!E31</f>
        <v>17252.046991812022</v>
      </c>
      <c r="F27" s="19">
        <f>'Cashflow &amp; Kennzahlen'!F31</f>
        <v>71740.164699718531</v>
      </c>
      <c r="G27" s="19">
        <f>'Cashflow &amp; Kennzahlen'!G31</f>
        <v>125413.70968068991</v>
      </c>
      <c r="H27" s="19">
        <f>'Cashflow &amp; Kennzahlen'!H31</f>
        <v>178296.85127137712</v>
      </c>
      <c r="I27" s="20">
        <f>H27</f>
        <v>178296.85127137712</v>
      </c>
    </row>
    <row r="29" spans="2:9" ht="21.75" customHeight="1" x14ac:dyDescent="0.25">
      <c r="B29" s="11" t="s">
        <v>28</v>
      </c>
      <c r="C29" s="11"/>
      <c r="D29" s="11"/>
      <c r="E29" s="11"/>
      <c r="F29" s="11"/>
      <c r="G29" s="11"/>
      <c r="H29" s="11"/>
      <c r="I29" s="11"/>
    </row>
    <row r="30" spans="2:9" ht="27.75" customHeight="1" x14ac:dyDescent="0.25">
      <c r="B30" s="70" t="s">
        <v>29</v>
      </c>
      <c r="C30" s="73" t="s">
        <v>30</v>
      </c>
      <c r="D30" s="73"/>
      <c r="E30" s="73" t="s">
        <v>31</v>
      </c>
      <c r="F30" s="73"/>
      <c r="G30" s="72" t="s">
        <v>11</v>
      </c>
      <c r="H30" s="72" t="s">
        <v>32</v>
      </c>
      <c r="I30" s="72" t="s">
        <v>33</v>
      </c>
    </row>
    <row r="31" spans="2:9" ht="21.75" customHeight="1" x14ac:dyDescent="0.25">
      <c r="B31" s="13" t="s">
        <v>34</v>
      </c>
      <c r="C31" s="47">
        <f>Annahmen!$C$22</f>
        <v>0.9</v>
      </c>
      <c r="D31" s="47"/>
      <c r="E31" s="47">
        <f>Annahmen!$D$22</f>
        <v>1.1499999999999999</v>
      </c>
      <c r="F31" s="47"/>
      <c r="G31" s="21">
        <f>'Cashflow &amp; Kennzahlen'!$G$48</f>
        <v>263464.48499671079</v>
      </c>
      <c r="H31" s="22">
        <f>'Cashflow &amp; Kennzahlen'!$H$48</f>
        <v>2.2526649836517891</v>
      </c>
      <c r="I31" s="23" t="str">
        <f>'Cashflow &amp; Kennzahlen'!$I$48</f>
        <v>empfehlenswert</v>
      </c>
    </row>
    <row r="32" spans="2:9" ht="21.75" customHeight="1" x14ac:dyDescent="0.25">
      <c r="B32" s="13" t="s">
        <v>35</v>
      </c>
      <c r="C32" s="47">
        <f>Annahmen!$C$23</f>
        <v>1</v>
      </c>
      <c r="D32" s="47"/>
      <c r="E32" s="47">
        <f>Annahmen!$D$23</f>
        <v>1</v>
      </c>
      <c r="F32" s="47"/>
      <c r="G32" s="21">
        <f>'Cashflow &amp; Kennzahlen'!$G$49</f>
        <v>178296.85127137709</v>
      </c>
      <c r="H32" s="22">
        <f>'Cashflow &amp; Kennzahlen'!$H$49</f>
        <v>1.7629552045970527</v>
      </c>
      <c r="I32" s="23" t="str">
        <f>'Cashflow &amp; Kennzahlen'!$I$49</f>
        <v>empfehlenswert</v>
      </c>
    </row>
    <row r="33" spans="2:9" ht="21.75" customHeight="1" x14ac:dyDescent="0.25">
      <c r="B33" s="13" t="s">
        <v>36</v>
      </c>
      <c r="C33" s="47">
        <f>Annahmen!$C$24</f>
        <v>1.2</v>
      </c>
      <c r="D33" s="47"/>
      <c r="E33" s="47">
        <f>Annahmen!$D$24</f>
        <v>0.75</v>
      </c>
      <c r="F33" s="47"/>
      <c r="G33" s="21">
        <f>'Cashflow &amp; Kennzahlen'!$G$50</f>
        <v>28561.04759120394</v>
      </c>
      <c r="H33" s="22">
        <f>'Cashflow &amp; Kennzahlen'!$H$50</f>
        <v>1.101847002873158</v>
      </c>
      <c r="I33" s="23" t="str">
        <f>'Cashflow &amp; Kennzahlen'!$I$50</f>
        <v>bedingt prüfen</v>
      </c>
    </row>
    <row r="35" spans="2:9" ht="30" customHeight="1" x14ac:dyDescent="0.25">
      <c r="B35" s="48" t="s">
        <v>37</v>
      </c>
      <c r="C35" s="48"/>
      <c r="D35" s="48"/>
      <c r="E35" s="48"/>
      <c r="F35" s="48"/>
      <c r="G35" s="48"/>
      <c r="H35" s="48"/>
      <c r="I35" s="48"/>
    </row>
  </sheetData>
  <mergeCells count="41">
    <mergeCell ref="B35:I35"/>
    <mergeCell ref="C31:D31"/>
    <mergeCell ref="E31:F31"/>
    <mergeCell ref="C32:D32"/>
    <mergeCell ref="E32:F32"/>
    <mergeCell ref="C33:D33"/>
    <mergeCell ref="E33:F33"/>
    <mergeCell ref="B19:I19"/>
    <mergeCell ref="B21:I21"/>
    <mergeCell ref="B29:I29"/>
    <mergeCell ref="C30:D30"/>
    <mergeCell ref="E30:F30"/>
    <mergeCell ref="B16:C16"/>
    <mergeCell ref="D16:E16"/>
    <mergeCell ref="F16:G16"/>
    <mergeCell ref="H16:I16"/>
    <mergeCell ref="B18:I18"/>
    <mergeCell ref="B13:C13"/>
    <mergeCell ref="D13:E13"/>
    <mergeCell ref="F13:G13"/>
    <mergeCell ref="H13:I13"/>
    <mergeCell ref="B15:C15"/>
    <mergeCell ref="D15:E15"/>
    <mergeCell ref="F15:G15"/>
    <mergeCell ref="H15:I15"/>
    <mergeCell ref="B11:I11"/>
    <mergeCell ref="B12:C12"/>
    <mergeCell ref="D12:E12"/>
    <mergeCell ref="F12:G12"/>
    <mergeCell ref="H12:I12"/>
    <mergeCell ref="C7:D7"/>
    <mergeCell ref="G7:I7"/>
    <mergeCell ref="C8:D8"/>
    <mergeCell ref="G8:I8"/>
    <mergeCell ref="C9:D9"/>
    <mergeCell ref="G9:I9"/>
    <mergeCell ref="B2:I2"/>
    <mergeCell ref="B3:I3"/>
    <mergeCell ref="B5:I5"/>
    <mergeCell ref="C6:D6"/>
    <mergeCell ref="G6:I6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22" customWidth="1"/>
    <col min="3" max="5" width="16" customWidth="1"/>
    <col min="6" max="7" width="18" customWidth="1"/>
  </cols>
  <sheetData>
    <row r="2" spans="2:7" ht="30" customHeight="1" x14ac:dyDescent="0.25">
      <c r="B2" s="49" t="s">
        <v>38</v>
      </c>
      <c r="C2" s="49"/>
      <c r="D2" s="49"/>
      <c r="E2" s="49"/>
      <c r="F2" s="49"/>
      <c r="G2" s="49"/>
    </row>
    <row r="3" spans="2:7" ht="21.75" customHeight="1" x14ac:dyDescent="0.25">
      <c r="B3" s="12" t="s">
        <v>39</v>
      </c>
      <c r="C3" s="12"/>
      <c r="D3" s="12"/>
      <c r="E3" s="12"/>
      <c r="F3" s="12"/>
      <c r="G3" s="12"/>
    </row>
    <row r="5" spans="2:7" ht="21.75" customHeight="1" x14ac:dyDescent="0.25">
      <c r="B5" s="11" t="s">
        <v>40</v>
      </c>
      <c r="C5" s="11"/>
      <c r="D5" s="11"/>
      <c r="E5" s="11"/>
      <c r="F5" s="11"/>
      <c r="G5" s="11"/>
    </row>
    <row r="6" spans="2:7" ht="19.5" customHeight="1" x14ac:dyDescent="0.25">
      <c r="B6" s="50" t="s">
        <v>2</v>
      </c>
      <c r="C6" s="50"/>
      <c r="D6" s="50"/>
      <c r="E6" s="50"/>
      <c r="F6" s="51" t="s">
        <v>41</v>
      </c>
      <c r="G6" s="51"/>
    </row>
    <row r="7" spans="2:7" ht="19.5" customHeight="1" x14ac:dyDescent="0.25">
      <c r="B7" s="50" t="s">
        <v>42</v>
      </c>
      <c r="C7" s="50"/>
      <c r="D7" s="50"/>
      <c r="E7" s="50"/>
      <c r="F7" s="51" t="s">
        <v>43</v>
      </c>
      <c r="G7" s="51"/>
    </row>
    <row r="8" spans="2:7" ht="19.5" customHeight="1" x14ac:dyDescent="0.25">
      <c r="B8" s="50" t="s">
        <v>44</v>
      </c>
      <c r="C8" s="50"/>
      <c r="D8" s="50"/>
      <c r="E8" s="50"/>
      <c r="F8" s="51" t="s">
        <v>45</v>
      </c>
      <c r="G8" s="51"/>
    </row>
    <row r="9" spans="2:7" ht="19.5" customHeight="1" x14ac:dyDescent="0.25">
      <c r="B9" s="50" t="s">
        <v>8</v>
      </c>
      <c r="C9" s="50"/>
      <c r="D9" s="50"/>
      <c r="E9" s="50"/>
      <c r="F9" s="51" t="s">
        <v>46</v>
      </c>
      <c r="G9" s="51"/>
    </row>
    <row r="10" spans="2:7" ht="19.5" customHeight="1" x14ac:dyDescent="0.25">
      <c r="B10" s="50" t="s">
        <v>47</v>
      </c>
      <c r="C10" s="50"/>
      <c r="D10" s="50"/>
      <c r="E10" s="50"/>
      <c r="F10" s="52">
        <v>2026</v>
      </c>
      <c r="G10" s="52"/>
    </row>
    <row r="11" spans="2:7" ht="19.5" customHeight="1" x14ac:dyDescent="0.25">
      <c r="B11" s="50" t="s">
        <v>48</v>
      </c>
      <c r="C11" s="50"/>
      <c r="D11" s="50"/>
      <c r="E11" s="50"/>
      <c r="F11" s="52">
        <v>5</v>
      </c>
      <c r="G11" s="52"/>
    </row>
    <row r="12" spans="2:7" ht="19.5" customHeight="1" x14ac:dyDescent="0.25">
      <c r="B12" s="50" t="s">
        <v>49</v>
      </c>
      <c r="C12" s="50"/>
      <c r="D12" s="50"/>
      <c r="E12" s="50"/>
      <c r="F12" s="53">
        <f>F10+F11</f>
        <v>2031</v>
      </c>
      <c r="G12" s="53"/>
    </row>
    <row r="14" spans="2:7" ht="21.75" customHeight="1" x14ac:dyDescent="0.25">
      <c r="B14" s="11" t="s">
        <v>50</v>
      </c>
      <c r="C14" s="11"/>
      <c r="D14" s="11"/>
      <c r="E14" s="11"/>
      <c r="F14" s="11"/>
      <c r="G14" s="11"/>
    </row>
    <row r="15" spans="2:7" ht="19.5" customHeight="1" x14ac:dyDescent="0.25">
      <c r="B15" s="50" t="s">
        <v>51</v>
      </c>
      <c r="C15" s="50"/>
      <c r="D15" s="50"/>
      <c r="E15" s="50"/>
      <c r="F15" s="54">
        <v>0.06</v>
      </c>
      <c r="G15" s="54"/>
    </row>
    <row r="16" spans="2:7" ht="19.5" customHeight="1" x14ac:dyDescent="0.25">
      <c r="B16" s="50" t="s">
        <v>52</v>
      </c>
      <c r="C16" s="50"/>
      <c r="D16" s="50"/>
      <c r="E16" s="50"/>
      <c r="F16" s="54">
        <v>2.5000000000000001E-2</v>
      </c>
      <c r="G16" s="54"/>
    </row>
    <row r="17" spans="2:7" ht="19.5" customHeight="1" x14ac:dyDescent="0.25">
      <c r="B17" s="50" t="s">
        <v>53</v>
      </c>
      <c r="C17" s="50"/>
      <c r="D17" s="50"/>
      <c r="E17" s="50"/>
      <c r="F17" s="54">
        <v>0.3</v>
      </c>
      <c r="G17" s="54"/>
    </row>
    <row r="18" spans="2:7" ht="19.5" customHeight="1" x14ac:dyDescent="0.25">
      <c r="B18" s="50" t="s">
        <v>54</v>
      </c>
      <c r="C18" s="50"/>
      <c r="D18" s="50"/>
      <c r="E18" s="50"/>
      <c r="F18" s="51" t="s">
        <v>55</v>
      </c>
      <c r="G18" s="51"/>
    </row>
    <row r="20" spans="2:7" ht="21.75" customHeight="1" x14ac:dyDescent="0.25">
      <c r="B20" s="11" t="s">
        <v>56</v>
      </c>
      <c r="C20" s="11"/>
      <c r="D20" s="11"/>
      <c r="E20" s="11"/>
      <c r="F20" s="11"/>
      <c r="G20" s="11"/>
    </row>
    <row r="21" spans="2:7" ht="27.75" customHeight="1" x14ac:dyDescent="0.25">
      <c r="B21" s="16" t="s">
        <v>29</v>
      </c>
      <c r="C21" s="16" t="s">
        <v>30</v>
      </c>
      <c r="D21" s="16" t="s">
        <v>31</v>
      </c>
      <c r="E21" s="1" t="s">
        <v>57</v>
      </c>
      <c r="F21" s="1"/>
      <c r="G21" s="1"/>
    </row>
    <row r="22" spans="2:7" ht="19.5" customHeight="1" x14ac:dyDescent="0.25">
      <c r="B22" s="13" t="s">
        <v>34</v>
      </c>
      <c r="C22" s="25">
        <v>0.9</v>
      </c>
      <c r="D22" s="25">
        <v>1.1499999999999999</v>
      </c>
      <c r="E22" s="55" t="s">
        <v>58</v>
      </c>
      <c r="F22" s="55"/>
      <c r="G22" s="55"/>
    </row>
    <row r="23" spans="2:7" ht="19.5" customHeight="1" x14ac:dyDescent="0.25">
      <c r="B23" s="13" t="s">
        <v>35</v>
      </c>
      <c r="C23" s="25">
        <v>1</v>
      </c>
      <c r="D23" s="25">
        <v>1</v>
      </c>
      <c r="E23" s="55" t="s">
        <v>59</v>
      </c>
      <c r="F23" s="55"/>
      <c r="G23" s="55"/>
    </row>
    <row r="24" spans="2:7" ht="19.5" customHeight="1" x14ac:dyDescent="0.25">
      <c r="B24" s="13" t="s">
        <v>36</v>
      </c>
      <c r="C24" s="25">
        <v>1.2</v>
      </c>
      <c r="D24" s="25">
        <v>0.75</v>
      </c>
      <c r="E24" s="55" t="s">
        <v>60</v>
      </c>
      <c r="F24" s="55"/>
      <c r="G24" s="55"/>
    </row>
    <row r="26" spans="2:7" ht="21.75" customHeight="1" x14ac:dyDescent="0.25">
      <c r="B26" s="11" t="s">
        <v>61</v>
      </c>
      <c r="C26" s="11"/>
      <c r="D26" s="11"/>
      <c r="E26" s="11"/>
      <c r="F26" s="11"/>
      <c r="G26" s="11"/>
    </row>
    <row r="27" spans="2:7" ht="19.5" customHeight="1" x14ac:dyDescent="0.25">
      <c r="B27" s="50" t="s">
        <v>62</v>
      </c>
      <c r="C27" s="50"/>
      <c r="D27" s="50"/>
      <c r="E27" s="50"/>
      <c r="F27" s="56">
        <v>1.2</v>
      </c>
      <c r="G27" s="56"/>
    </row>
    <row r="28" spans="2:7" ht="19.5" customHeight="1" x14ac:dyDescent="0.25">
      <c r="B28" s="50" t="s">
        <v>63</v>
      </c>
      <c r="C28" s="50"/>
      <c r="D28" s="50"/>
      <c r="E28" s="50"/>
      <c r="F28" s="56">
        <v>1</v>
      </c>
      <c r="G28" s="56"/>
    </row>
    <row r="29" spans="2:7" ht="19.5" customHeight="1" x14ac:dyDescent="0.25">
      <c r="B29" s="50" t="s">
        <v>64</v>
      </c>
      <c r="C29" s="50"/>
      <c r="D29" s="50"/>
      <c r="E29" s="50"/>
      <c r="F29" s="57">
        <v>0</v>
      </c>
      <c r="G29" s="57"/>
    </row>
    <row r="30" spans="2:7" ht="19.5" customHeight="1" x14ac:dyDescent="0.25">
      <c r="B30" s="50" t="s">
        <v>65</v>
      </c>
      <c r="C30" s="50"/>
      <c r="D30" s="50"/>
      <c r="E30" s="50"/>
      <c r="F30" s="58">
        <v>4</v>
      </c>
      <c r="G30" s="58"/>
    </row>
    <row r="33" spans="2:7" ht="21.75" customHeight="1" x14ac:dyDescent="0.25">
      <c r="B33" s="11" t="s">
        <v>66</v>
      </c>
      <c r="C33" s="11"/>
      <c r="D33" s="11"/>
      <c r="E33" s="11"/>
      <c r="F33" s="11"/>
      <c r="G33" s="11"/>
    </row>
    <row r="34" spans="2:7" ht="19.5" customHeight="1" x14ac:dyDescent="0.25">
      <c r="B34" s="13" t="s">
        <v>67</v>
      </c>
      <c r="C34" s="55" t="s">
        <v>68</v>
      </c>
      <c r="D34" s="55"/>
      <c r="E34" s="55"/>
      <c r="F34" s="55"/>
      <c r="G34" s="55"/>
    </row>
    <row r="35" spans="2:7" ht="19.5" customHeight="1" x14ac:dyDescent="0.25">
      <c r="B35" s="13" t="s">
        <v>69</v>
      </c>
      <c r="C35" s="55" t="s">
        <v>70</v>
      </c>
      <c r="D35" s="55"/>
      <c r="E35" s="55"/>
      <c r="F35" s="55"/>
      <c r="G35" s="55"/>
    </row>
    <row r="36" spans="2:7" ht="19.5" customHeight="1" x14ac:dyDescent="0.25">
      <c r="B36" s="13" t="s">
        <v>71</v>
      </c>
      <c r="C36" s="55" t="s">
        <v>72</v>
      </c>
      <c r="D36" s="55"/>
      <c r="E36" s="55"/>
      <c r="F36" s="55"/>
      <c r="G36" s="55"/>
    </row>
    <row r="37" spans="2:7" ht="19.5" customHeight="1" x14ac:dyDescent="0.25">
      <c r="B37" s="13" t="s">
        <v>73</v>
      </c>
      <c r="C37" s="55" t="s">
        <v>74</v>
      </c>
      <c r="D37" s="55"/>
      <c r="E37" s="55"/>
      <c r="F37" s="55"/>
      <c r="G37" s="55"/>
    </row>
  </sheetData>
  <mergeCells count="45">
    <mergeCell ref="C36:G36"/>
    <mergeCell ref="C37:G37"/>
    <mergeCell ref="B30:E30"/>
    <mergeCell ref="F30:G30"/>
    <mergeCell ref="B33:G33"/>
    <mergeCell ref="C34:G34"/>
    <mergeCell ref="C35:G35"/>
    <mergeCell ref="B27:E27"/>
    <mergeCell ref="F27:G27"/>
    <mergeCell ref="B28:E28"/>
    <mergeCell ref="F28:G28"/>
    <mergeCell ref="B29:E29"/>
    <mergeCell ref="F29:G29"/>
    <mergeCell ref="E21:G21"/>
    <mergeCell ref="E22:G22"/>
    <mergeCell ref="E23:G23"/>
    <mergeCell ref="E24:G24"/>
    <mergeCell ref="B26:G26"/>
    <mergeCell ref="B17:E17"/>
    <mergeCell ref="F17:G17"/>
    <mergeCell ref="B18:E18"/>
    <mergeCell ref="F18:G18"/>
    <mergeCell ref="B20:G20"/>
    <mergeCell ref="B14:G14"/>
    <mergeCell ref="B15:E15"/>
    <mergeCell ref="F15:G15"/>
    <mergeCell ref="B16:E16"/>
    <mergeCell ref="F16:G16"/>
    <mergeCell ref="B10:E10"/>
    <mergeCell ref="F10:G10"/>
    <mergeCell ref="B11:E11"/>
    <mergeCell ref="F11:G11"/>
    <mergeCell ref="B12:E12"/>
    <mergeCell ref="F12:G12"/>
    <mergeCell ref="B7:E7"/>
    <mergeCell ref="F7:G7"/>
    <mergeCell ref="B8:E8"/>
    <mergeCell ref="F8:G8"/>
    <mergeCell ref="B9:E9"/>
    <mergeCell ref="F9:G9"/>
    <mergeCell ref="B2:G2"/>
    <mergeCell ref="B3:G3"/>
    <mergeCell ref="B5:G5"/>
    <mergeCell ref="B6:E6"/>
    <mergeCell ref="F6:G6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1"/>
  <sheetViews>
    <sheetView showGridLines="0" zoomScaleNormal="100" workbookViewId="0">
      <pane xSplit="9" ySplit="6" topLeftCell="J7" activePane="bottomRight" state="frozen"/>
      <selection pane="topRight" activeCell="J1" sqref="J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7" customWidth="1"/>
    <col min="3" max="3" width="18" customWidth="1"/>
    <col min="4" max="4" width="36" customWidth="1"/>
    <col min="5" max="5" width="14" customWidth="1"/>
    <col min="6" max="7" width="11" customWidth="1"/>
    <col min="8" max="8" width="14" customWidth="1"/>
    <col min="9" max="9" width="11" customWidth="1"/>
    <col min="10" max="15" width="13" customWidth="1"/>
  </cols>
  <sheetData>
    <row r="2" spans="2:15" ht="30" customHeight="1" x14ac:dyDescent="0.25">
      <c r="B2" s="49" t="s">
        <v>75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2:15" ht="21.75" customHeight="1" x14ac:dyDescent="0.25">
      <c r="B3" s="12" t="s">
        <v>76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5" spans="2:15" ht="25.5" customHeight="1" x14ac:dyDescent="0.25">
      <c r="B5" s="59" t="s">
        <v>77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31.5" customHeight="1" x14ac:dyDescent="0.25">
      <c r="B6" s="16" t="s">
        <v>78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83</v>
      </c>
      <c r="H6" s="16" t="s">
        <v>84</v>
      </c>
      <c r="I6" s="16" t="s">
        <v>85</v>
      </c>
      <c r="J6" s="15">
        <f>Annahmen!$F$10+0</f>
        <v>2026</v>
      </c>
      <c r="K6" s="15">
        <f>Annahmen!$F$10+1</f>
        <v>2027</v>
      </c>
      <c r="L6" s="15">
        <f>Annahmen!$F$10+2</f>
        <v>2028</v>
      </c>
      <c r="M6" s="15">
        <f>Annahmen!$F$10+3</f>
        <v>2029</v>
      </c>
      <c r="N6" s="15">
        <f>Annahmen!$F$10+4</f>
        <v>2030</v>
      </c>
      <c r="O6" s="15">
        <f>Annahmen!$F$10+5</f>
        <v>2031</v>
      </c>
    </row>
    <row r="7" spans="2:15" ht="19.5" customHeight="1" x14ac:dyDescent="0.25">
      <c r="B7" s="26" t="s">
        <v>86</v>
      </c>
      <c r="C7" s="27" t="s">
        <v>87</v>
      </c>
      <c r="D7" s="27" t="s">
        <v>88</v>
      </c>
      <c r="E7" s="28" t="s">
        <v>89</v>
      </c>
      <c r="F7" s="24">
        <v>0</v>
      </c>
      <c r="G7" s="24">
        <v>0</v>
      </c>
      <c r="H7" s="29">
        <v>45000</v>
      </c>
      <c r="I7" s="30">
        <v>0</v>
      </c>
      <c r="J7" s="31">
        <f t="shared" ref="J7:J16" si="0">IF(AND(0&gt;=$F7,0&lt;=$G7),$H7*(1+$I7)^(0-$F7),0)</f>
        <v>45000</v>
      </c>
      <c r="K7" s="31">
        <f t="shared" ref="K7:K16" si="1">IF(AND(1&gt;=$F7,1&lt;=$G7),$H7*(1+$I7)^(1-$F7),0)</f>
        <v>0</v>
      </c>
      <c r="L7" s="31">
        <f t="shared" ref="L7:L16" si="2">IF(AND(2&gt;=$F7,2&lt;=$G7),$H7*(1+$I7)^(2-$F7),0)</f>
        <v>0</v>
      </c>
      <c r="M7" s="31">
        <f t="shared" ref="M7:M16" si="3">IF(AND(3&gt;=$F7,3&lt;=$G7),$H7*(1+$I7)^(3-$F7),0)</f>
        <v>0</v>
      </c>
      <c r="N7" s="31">
        <f t="shared" ref="N7:N16" si="4">IF(AND(4&gt;=$F7,4&lt;=$G7),$H7*(1+$I7)^(4-$F7),0)</f>
        <v>0</v>
      </c>
      <c r="O7" s="31">
        <f t="shared" ref="O7:O16" si="5">IF(AND(5&gt;=$F7,5&lt;=$G7),$H7*(1+$I7)^(5-$F7),0)</f>
        <v>0</v>
      </c>
    </row>
    <row r="8" spans="2:15" ht="19.5" customHeight="1" x14ac:dyDescent="0.25">
      <c r="B8" s="26" t="s">
        <v>90</v>
      </c>
      <c r="C8" s="27" t="s">
        <v>87</v>
      </c>
      <c r="D8" s="27" t="s">
        <v>91</v>
      </c>
      <c r="E8" s="28" t="s">
        <v>89</v>
      </c>
      <c r="F8" s="24">
        <v>0</v>
      </c>
      <c r="G8" s="24">
        <v>0</v>
      </c>
      <c r="H8" s="29">
        <v>18000</v>
      </c>
      <c r="I8" s="30">
        <v>0</v>
      </c>
      <c r="J8" s="31">
        <f t="shared" si="0"/>
        <v>18000</v>
      </c>
      <c r="K8" s="31">
        <f t="shared" si="1"/>
        <v>0</v>
      </c>
      <c r="L8" s="31">
        <f t="shared" si="2"/>
        <v>0</v>
      </c>
      <c r="M8" s="31">
        <f t="shared" si="3"/>
        <v>0</v>
      </c>
      <c r="N8" s="31">
        <f t="shared" si="4"/>
        <v>0</v>
      </c>
      <c r="O8" s="31">
        <f t="shared" si="5"/>
        <v>0</v>
      </c>
    </row>
    <row r="9" spans="2:15" ht="19.5" customHeight="1" x14ac:dyDescent="0.25">
      <c r="B9" s="26" t="s">
        <v>92</v>
      </c>
      <c r="C9" s="27" t="s">
        <v>93</v>
      </c>
      <c r="D9" s="27" t="s">
        <v>94</v>
      </c>
      <c r="E9" s="28" t="s">
        <v>89</v>
      </c>
      <c r="F9" s="24">
        <v>0</v>
      </c>
      <c r="G9" s="24">
        <v>0</v>
      </c>
      <c r="H9" s="29">
        <v>12500</v>
      </c>
      <c r="I9" s="30">
        <v>0</v>
      </c>
      <c r="J9" s="31">
        <f t="shared" si="0"/>
        <v>12500</v>
      </c>
      <c r="K9" s="31">
        <f t="shared" si="1"/>
        <v>0</v>
      </c>
      <c r="L9" s="31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</row>
    <row r="10" spans="2:15" ht="19.5" customHeight="1" x14ac:dyDescent="0.25">
      <c r="B10" s="26" t="s">
        <v>95</v>
      </c>
      <c r="C10" s="27" t="s">
        <v>93</v>
      </c>
      <c r="D10" s="27" t="s">
        <v>96</v>
      </c>
      <c r="E10" s="28" t="s">
        <v>89</v>
      </c>
      <c r="F10" s="24">
        <v>0</v>
      </c>
      <c r="G10" s="24">
        <v>0</v>
      </c>
      <c r="H10" s="29">
        <v>8000</v>
      </c>
      <c r="I10" s="30">
        <v>0</v>
      </c>
      <c r="J10" s="31">
        <f t="shared" si="0"/>
        <v>8000</v>
      </c>
      <c r="K10" s="31">
        <f t="shared" si="1"/>
        <v>0</v>
      </c>
      <c r="L10" s="31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</row>
    <row r="11" spans="2:15" ht="19.5" customHeight="1" x14ac:dyDescent="0.25">
      <c r="B11" s="26" t="s">
        <v>97</v>
      </c>
      <c r="C11" s="27" t="s">
        <v>98</v>
      </c>
      <c r="D11" s="27" t="s">
        <v>99</v>
      </c>
      <c r="E11" s="28" t="s">
        <v>89</v>
      </c>
      <c r="F11" s="24">
        <v>0</v>
      </c>
      <c r="G11" s="24">
        <v>0</v>
      </c>
      <c r="H11" s="29">
        <v>6500</v>
      </c>
      <c r="I11" s="30">
        <v>0</v>
      </c>
      <c r="J11" s="31">
        <f t="shared" si="0"/>
        <v>6500</v>
      </c>
      <c r="K11" s="31">
        <f t="shared" si="1"/>
        <v>0</v>
      </c>
      <c r="L11" s="31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</row>
    <row r="12" spans="2:15" ht="19.5" customHeight="1" x14ac:dyDescent="0.25">
      <c r="B12" s="26" t="s">
        <v>100</v>
      </c>
      <c r="C12" s="27" t="s">
        <v>101</v>
      </c>
      <c r="D12" s="27" t="s">
        <v>102</v>
      </c>
      <c r="E12" s="28" t="s">
        <v>103</v>
      </c>
      <c r="F12" s="24">
        <v>1</v>
      </c>
      <c r="G12" s="24">
        <v>5</v>
      </c>
      <c r="H12" s="29">
        <v>9500</v>
      </c>
      <c r="I12" s="30">
        <v>0.02</v>
      </c>
      <c r="J12" s="31">
        <f t="shared" si="0"/>
        <v>0</v>
      </c>
      <c r="K12" s="31">
        <f t="shared" si="1"/>
        <v>9500</v>
      </c>
      <c r="L12" s="31">
        <f t="shared" si="2"/>
        <v>9690</v>
      </c>
      <c r="M12" s="31">
        <f t="shared" si="3"/>
        <v>9883.7999999999993</v>
      </c>
      <c r="N12" s="31">
        <f t="shared" si="4"/>
        <v>10081.475999999999</v>
      </c>
      <c r="O12" s="31">
        <f t="shared" si="5"/>
        <v>10283.105519999999</v>
      </c>
    </row>
    <row r="13" spans="2:15" ht="19.5" customHeight="1" x14ac:dyDescent="0.25">
      <c r="B13" s="26" t="s">
        <v>104</v>
      </c>
      <c r="C13" s="27" t="s">
        <v>105</v>
      </c>
      <c r="D13" s="27" t="s">
        <v>106</v>
      </c>
      <c r="E13" s="28" t="s">
        <v>103</v>
      </c>
      <c r="F13" s="24">
        <v>1</v>
      </c>
      <c r="G13" s="24">
        <v>5</v>
      </c>
      <c r="H13" s="29">
        <v>6000</v>
      </c>
      <c r="I13" s="30">
        <v>0.03</v>
      </c>
      <c r="J13" s="31">
        <f t="shared" si="0"/>
        <v>0</v>
      </c>
      <c r="K13" s="31">
        <f t="shared" si="1"/>
        <v>6000</v>
      </c>
      <c r="L13" s="31">
        <f t="shared" si="2"/>
        <v>6180</v>
      </c>
      <c r="M13" s="31">
        <f t="shared" si="3"/>
        <v>6365.4</v>
      </c>
      <c r="N13" s="31">
        <f t="shared" si="4"/>
        <v>6556.3620000000001</v>
      </c>
      <c r="O13" s="31">
        <f t="shared" si="5"/>
        <v>6753.0528599999998</v>
      </c>
    </row>
    <row r="14" spans="2:15" ht="19.5" customHeight="1" x14ac:dyDescent="0.25">
      <c r="B14" s="26" t="s">
        <v>107</v>
      </c>
      <c r="C14" s="27" t="s">
        <v>108</v>
      </c>
      <c r="D14" s="27" t="s">
        <v>109</v>
      </c>
      <c r="E14" s="28" t="s">
        <v>103</v>
      </c>
      <c r="F14" s="24">
        <v>1</v>
      </c>
      <c r="G14" s="24">
        <v>5</v>
      </c>
      <c r="H14" s="29">
        <v>12000</v>
      </c>
      <c r="I14" s="30">
        <v>2.5000000000000001E-2</v>
      </c>
      <c r="J14" s="31">
        <f t="shared" si="0"/>
        <v>0</v>
      </c>
      <c r="K14" s="31">
        <f t="shared" si="1"/>
        <v>12000</v>
      </c>
      <c r="L14" s="31">
        <f t="shared" si="2"/>
        <v>12299.999999999998</v>
      </c>
      <c r="M14" s="31">
        <f t="shared" si="3"/>
        <v>12607.499999999998</v>
      </c>
      <c r="N14" s="31">
        <f t="shared" si="4"/>
        <v>12922.687499999998</v>
      </c>
      <c r="O14" s="31">
        <f t="shared" si="5"/>
        <v>13245.754687499997</v>
      </c>
    </row>
    <row r="15" spans="2:15" ht="19.5" customHeight="1" x14ac:dyDescent="0.25">
      <c r="B15" s="26" t="s">
        <v>110</v>
      </c>
      <c r="C15" s="27" t="s">
        <v>98</v>
      </c>
      <c r="D15" s="27" t="s">
        <v>111</v>
      </c>
      <c r="E15" s="28" t="s">
        <v>103</v>
      </c>
      <c r="F15" s="24">
        <v>2</v>
      </c>
      <c r="G15" s="24">
        <v>5</v>
      </c>
      <c r="H15" s="29">
        <v>2500</v>
      </c>
      <c r="I15" s="30">
        <v>0.02</v>
      </c>
      <c r="J15" s="31">
        <f t="shared" si="0"/>
        <v>0</v>
      </c>
      <c r="K15" s="31">
        <f t="shared" si="1"/>
        <v>0</v>
      </c>
      <c r="L15" s="31">
        <f t="shared" si="2"/>
        <v>2500</v>
      </c>
      <c r="M15" s="31">
        <f t="shared" si="3"/>
        <v>2550</v>
      </c>
      <c r="N15" s="31">
        <f t="shared" si="4"/>
        <v>2601</v>
      </c>
      <c r="O15" s="31">
        <f t="shared" si="5"/>
        <v>2653.02</v>
      </c>
    </row>
    <row r="16" spans="2:15" ht="19.5" customHeight="1" x14ac:dyDescent="0.25">
      <c r="B16" s="26" t="s">
        <v>112</v>
      </c>
      <c r="C16" s="27" t="s">
        <v>113</v>
      </c>
      <c r="D16" s="27" t="s">
        <v>114</v>
      </c>
      <c r="E16" s="28" t="s">
        <v>103</v>
      </c>
      <c r="F16" s="24">
        <v>1</v>
      </c>
      <c r="G16" s="24">
        <v>5</v>
      </c>
      <c r="H16" s="29">
        <v>3200</v>
      </c>
      <c r="I16" s="30">
        <v>0.02</v>
      </c>
      <c r="J16" s="31">
        <f t="shared" si="0"/>
        <v>0</v>
      </c>
      <c r="K16" s="31">
        <f t="shared" si="1"/>
        <v>3200</v>
      </c>
      <c r="L16" s="31">
        <f t="shared" si="2"/>
        <v>3264</v>
      </c>
      <c r="M16" s="31">
        <f t="shared" si="3"/>
        <v>3329.2799999999997</v>
      </c>
      <c r="N16" s="31">
        <f t="shared" si="4"/>
        <v>3395.8655999999996</v>
      </c>
      <c r="O16" s="31">
        <f t="shared" si="5"/>
        <v>3463.7829120000001</v>
      </c>
    </row>
    <row r="17" spans="2:15" ht="24" customHeight="1" x14ac:dyDescent="0.25">
      <c r="B17" s="60" t="s">
        <v>115</v>
      </c>
      <c r="C17" s="60"/>
      <c r="D17" s="60"/>
      <c r="E17" s="60"/>
      <c r="F17" s="60"/>
      <c r="G17" s="60"/>
      <c r="H17" s="60"/>
      <c r="I17" s="60"/>
      <c r="J17" s="32">
        <f t="shared" ref="J17:O17" si="6">SUM(J7:J16)</f>
        <v>90000</v>
      </c>
      <c r="K17" s="32">
        <f t="shared" si="6"/>
        <v>30700</v>
      </c>
      <c r="L17" s="32">
        <f t="shared" si="6"/>
        <v>33934</v>
      </c>
      <c r="M17" s="32">
        <f t="shared" si="6"/>
        <v>34735.979999999996</v>
      </c>
      <c r="N17" s="32">
        <f t="shared" si="6"/>
        <v>35557.391099999993</v>
      </c>
      <c r="O17" s="32">
        <f t="shared" si="6"/>
        <v>36398.715979499997</v>
      </c>
    </row>
    <row r="19" spans="2:15" ht="25.5" customHeight="1" x14ac:dyDescent="0.25">
      <c r="B19" s="61" t="s">
        <v>116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2:15" ht="31.5" customHeight="1" x14ac:dyDescent="0.25">
      <c r="B20" s="16" t="s">
        <v>78</v>
      </c>
      <c r="C20" s="16" t="s">
        <v>79</v>
      </c>
      <c r="D20" s="16" t="s">
        <v>80</v>
      </c>
      <c r="E20" s="16" t="s">
        <v>81</v>
      </c>
      <c r="F20" s="16" t="s">
        <v>82</v>
      </c>
      <c r="G20" s="16" t="s">
        <v>83</v>
      </c>
      <c r="H20" s="16" t="s">
        <v>84</v>
      </c>
      <c r="I20" s="16" t="s">
        <v>85</v>
      </c>
      <c r="J20" s="15">
        <f>Annahmen!$F$10+0</f>
        <v>2026</v>
      </c>
      <c r="K20" s="15">
        <f>Annahmen!$F$10+1</f>
        <v>2027</v>
      </c>
      <c r="L20" s="15">
        <f>Annahmen!$F$10+2</f>
        <v>2028</v>
      </c>
      <c r="M20" s="15">
        <f>Annahmen!$F$10+3</f>
        <v>2029</v>
      </c>
      <c r="N20" s="15">
        <f>Annahmen!$F$10+4</f>
        <v>2030</v>
      </c>
      <c r="O20" s="15">
        <f>Annahmen!$F$10+5</f>
        <v>2031</v>
      </c>
    </row>
    <row r="21" spans="2:15" ht="19.5" customHeight="1" x14ac:dyDescent="0.25">
      <c r="B21" s="26" t="s">
        <v>117</v>
      </c>
      <c r="C21" s="27" t="s">
        <v>118</v>
      </c>
      <c r="D21" s="27" t="s">
        <v>119</v>
      </c>
      <c r="E21" s="28" t="s">
        <v>103</v>
      </c>
      <c r="F21" s="24">
        <v>1</v>
      </c>
      <c r="G21" s="24">
        <v>5</v>
      </c>
      <c r="H21" s="29">
        <v>38000</v>
      </c>
      <c r="I21" s="30">
        <v>0.03</v>
      </c>
      <c r="J21" s="31">
        <f t="shared" ref="J21:J28" si="7">IF(AND(0&gt;=$F21,0&lt;=$G21),$H21*(1+$I21)^(0-$F21),0)</f>
        <v>0</v>
      </c>
      <c r="K21" s="31">
        <f t="shared" ref="K21:K28" si="8">IF(AND(1&gt;=$F21,1&lt;=$G21),$H21*(1+$I21)^(1-$F21),0)</f>
        <v>38000</v>
      </c>
      <c r="L21" s="31">
        <f t="shared" ref="L21:L28" si="9">IF(AND(2&gt;=$F21,2&lt;=$G21),$H21*(1+$I21)^(2-$F21),0)</f>
        <v>39140</v>
      </c>
      <c r="M21" s="31">
        <f t="shared" ref="M21:M28" si="10">IF(AND(3&gt;=$F21,3&lt;=$G21),$H21*(1+$I21)^(3-$F21),0)</f>
        <v>40314.199999999997</v>
      </c>
      <c r="N21" s="31">
        <f t="shared" ref="N21:N28" si="11">IF(AND(4&gt;=$F21,4&lt;=$G21),$H21*(1+$I21)^(4-$F21),0)</f>
        <v>41523.625999999997</v>
      </c>
      <c r="O21" s="31">
        <f t="shared" ref="O21:O28" si="12">IF(AND(5&gt;=$F21,5&lt;=$G21),$H21*(1+$I21)^(5-$F21),0)</f>
        <v>42769.334779999997</v>
      </c>
    </row>
    <row r="22" spans="2:15" ht="19.5" customHeight="1" x14ac:dyDescent="0.25">
      <c r="B22" s="26" t="s">
        <v>120</v>
      </c>
      <c r="C22" s="27" t="s">
        <v>121</v>
      </c>
      <c r="D22" s="27" t="s">
        <v>122</v>
      </c>
      <c r="E22" s="28" t="s">
        <v>103</v>
      </c>
      <c r="F22" s="24">
        <v>1</v>
      </c>
      <c r="G22" s="24">
        <v>5</v>
      </c>
      <c r="H22" s="29">
        <v>18500</v>
      </c>
      <c r="I22" s="30">
        <v>0.05</v>
      </c>
      <c r="J22" s="31">
        <f t="shared" si="7"/>
        <v>0</v>
      </c>
      <c r="K22" s="31">
        <f t="shared" si="8"/>
        <v>18500</v>
      </c>
      <c r="L22" s="31">
        <f t="shared" si="9"/>
        <v>19425</v>
      </c>
      <c r="M22" s="31">
        <f t="shared" si="10"/>
        <v>20396.25</v>
      </c>
      <c r="N22" s="31">
        <f t="shared" si="11"/>
        <v>21416.062500000004</v>
      </c>
      <c r="O22" s="31">
        <f t="shared" si="12"/>
        <v>22486.865624999999</v>
      </c>
    </row>
    <row r="23" spans="2:15" ht="19.5" customHeight="1" x14ac:dyDescent="0.25">
      <c r="B23" s="26" t="s">
        <v>123</v>
      </c>
      <c r="C23" s="27" t="s">
        <v>118</v>
      </c>
      <c r="D23" s="27" t="s">
        <v>124</v>
      </c>
      <c r="E23" s="28" t="s">
        <v>103</v>
      </c>
      <c r="F23" s="24">
        <v>1</v>
      </c>
      <c r="G23" s="24">
        <v>5</v>
      </c>
      <c r="H23" s="29">
        <v>9500</v>
      </c>
      <c r="I23" s="30">
        <v>0.02</v>
      </c>
      <c r="J23" s="31">
        <f t="shared" si="7"/>
        <v>0</v>
      </c>
      <c r="K23" s="31">
        <f t="shared" si="8"/>
        <v>9500</v>
      </c>
      <c r="L23" s="31">
        <f t="shared" si="9"/>
        <v>9690</v>
      </c>
      <c r="M23" s="31">
        <f t="shared" si="10"/>
        <v>9883.7999999999993</v>
      </c>
      <c r="N23" s="31">
        <f t="shared" si="11"/>
        <v>10081.475999999999</v>
      </c>
      <c r="O23" s="31">
        <f t="shared" si="12"/>
        <v>10283.105519999999</v>
      </c>
    </row>
    <row r="24" spans="2:15" ht="19.5" customHeight="1" x14ac:dyDescent="0.25">
      <c r="B24" s="26" t="s">
        <v>125</v>
      </c>
      <c r="C24" s="27" t="s">
        <v>126</v>
      </c>
      <c r="D24" s="27" t="s">
        <v>127</v>
      </c>
      <c r="E24" s="28" t="s">
        <v>103</v>
      </c>
      <c r="F24" s="24">
        <v>2</v>
      </c>
      <c r="G24" s="24">
        <v>5</v>
      </c>
      <c r="H24" s="29">
        <v>12000</v>
      </c>
      <c r="I24" s="30">
        <v>7.0000000000000007E-2</v>
      </c>
      <c r="J24" s="31">
        <f t="shared" si="7"/>
        <v>0</v>
      </c>
      <c r="K24" s="31">
        <f t="shared" si="8"/>
        <v>0</v>
      </c>
      <c r="L24" s="31">
        <f t="shared" si="9"/>
        <v>12000</v>
      </c>
      <c r="M24" s="31">
        <f t="shared" si="10"/>
        <v>12840</v>
      </c>
      <c r="N24" s="31">
        <f t="shared" si="11"/>
        <v>13738.800000000001</v>
      </c>
      <c r="O24" s="31">
        <f t="shared" si="12"/>
        <v>14700.516000000001</v>
      </c>
    </row>
    <row r="25" spans="2:15" ht="19.5" customHeight="1" x14ac:dyDescent="0.25">
      <c r="B25" s="26" t="s">
        <v>128</v>
      </c>
      <c r="C25" s="27" t="s">
        <v>118</v>
      </c>
      <c r="D25" s="27" t="s">
        <v>129</v>
      </c>
      <c r="E25" s="28" t="s">
        <v>103</v>
      </c>
      <c r="F25" s="24">
        <v>1</v>
      </c>
      <c r="G25" s="24">
        <v>5</v>
      </c>
      <c r="H25" s="29">
        <v>7500</v>
      </c>
      <c r="I25" s="30">
        <v>0.02</v>
      </c>
      <c r="J25" s="31">
        <f t="shared" si="7"/>
        <v>0</v>
      </c>
      <c r="K25" s="31">
        <f t="shared" si="8"/>
        <v>7500</v>
      </c>
      <c r="L25" s="31">
        <f t="shared" si="9"/>
        <v>7650</v>
      </c>
      <c r="M25" s="31">
        <f t="shared" si="10"/>
        <v>7803</v>
      </c>
      <c r="N25" s="31">
        <f t="shared" si="11"/>
        <v>7959.0599999999995</v>
      </c>
      <c r="O25" s="31">
        <f t="shared" si="12"/>
        <v>8118.2411999999995</v>
      </c>
    </row>
    <row r="26" spans="2:15" ht="19.5" customHeight="1" x14ac:dyDescent="0.25">
      <c r="B26" s="26" t="s">
        <v>130</v>
      </c>
      <c r="C26" s="27" t="s">
        <v>131</v>
      </c>
      <c r="D26" s="27" t="s">
        <v>132</v>
      </c>
      <c r="E26" s="28" t="s">
        <v>103</v>
      </c>
      <c r="F26" s="24">
        <v>1</v>
      </c>
      <c r="G26" s="24">
        <v>5</v>
      </c>
      <c r="H26" s="29">
        <v>4500</v>
      </c>
      <c r="I26" s="30">
        <v>0.02</v>
      </c>
      <c r="J26" s="31">
        <f t="shared" si="7"/>
        <v>0</v>
      </c>
      <c r="K26" s="31">
        <f t="shared" si="8"/>
        <v>4500</v>
      </c>
      <c r="L26" s="31">
        <f t="shared" si="9"/>
        <v>4590</v>
      </c>
      <c r="M26" s="31">
        <f t="shared" si="10"/>
        <v>4681.8</v>
      </c>
      <c r="N26" s="31">
        <f t="shared" si="11"/>
        <v>4775.4359999999997</v>
      </c>
      <c r="O26" s="31">
        <f t="shared" si="12"/>
        <v>4870.9447199999995</v>
      </c>
    </row>
    <row r="27" spans="2:15" ht="19.5" customHeight="1" x14ac:dyDescent="0.25">
      <c r="B27" s="26" t="s">
        <v>133</v>
      </c>
      <c r="C27" s="27" t="s">
        <v>134</v>
      </c>
      <c r="D27" s="27" t="s">
        <v>135</v>
      </c>
      <c r="E27" s="28" t="s">
        <v>103</v>
      </c>
      <c r="F27" s="24">
        <v>1</v>
      </c>
      <c r="G27" s="24">
        <v>5</v>
      </c>
      <c r="H27" s="29">
        <v>3500</v>
      </c>
      <c r="I27" s="30">
        <v>0.03</v>
      </c>
      <c r="J27" s="31">
        <f t="shared" si="7"/>
        <v>0</v>
      </c>
      <c r="K27" s="31">
        <f t="shared" si="8"/>
        <v>3500</v>
      </c>
      <c r="L27" s="31">
        <f t="shared" si="9"/>
        <v>3605</v>
      </c>
      <c r="M27" s="31">
        <f t="shared" si="10"/>
        <v>3713.1499999999996</v>
      </c>
      <c r="N27" s="31">
        <f t="shared" si="11"/>
        <v>3824.5445</v>
      </c>
      <c r="O27" s="31">
        <f t="shared" si="12"/>
        <v>3939.2808349999996</v>
      </c>
    </row>
    <row r="28" spans="2:15" ht="19.5" customHeight="1" x14ac:dyDescent="0.25">
      <c r="B28" s="26" t="s">
        <v>136</v>
      </c>
      <c r="C28" s="27" t="s">
        <v>113</v>
      </c>
      <c r="D28" s="27" t="s">
        <v>137</v>
      </c>
      <c r="E28" s="28" t="s">
        <v>89</v>
      </c>
      <c r="F28" s="24">
        <v>0</v>
      </c>
      <c r="G28" s="24">
        <v>0</v>
      </c>
      <c r="H28" s="29">
        <v>4000</v>
      </c>
      <c r="I28" s="30">
        <v>0</v>
      </c>
      <c r="J28" s="31">
        <f t="shared" si="7"/>
        <v>4000</v>
      </c>
      <c r="K28" s="31">
        <f t="shared" si="8"/>
        <v>0</v>
      </c>
      <c r="L28" s="31">
        <f t="shared" si="9"/>
        <v>0</v>
      </c>
      <c r="M28" s="31">
        <f t="shared" si="10"/>
        <v>0</v>
      </c>
      <c r="N28" s="31">
        <f t="shared" si="11"/>
        <v>0</v>
      </c>
      <c r="O28" s="31">
        <f t="shared" si="12"/>
        <v>0</v>
      </c>
    </row>
    <row r="29" spans="2:15" ht="24" customHeight="1" x14ac:dyDescent="0.25">
      <c r="B29" s="62" t="s">
        <v>138</v>
      </c>
      <c r="C29" s="62"/>
      <c r="D29" s="62"/>
      <c r="E29" s="62"/>
      <c r="F29" s="62"/>
      <c r="G29" s="62"/>
      <c r="H29" s="62"/>
      <c r="I29" s="62"/>
      <c r="J29" s="33">
        <f t="shared" ref="J29:O29" si="13">SUM(J21:J28)</f>
        <v>4000</v>
      </c>
      <c r="K29" s="33">
        <f t="shared" si="13"/>
        <v>81500</v>
      </c>
      <c r="L29" s="33">
        <f t="shared" si="13"/>
        <v>96100</v>
      </c>
      <c r="M29" s="33">
        <f t="shared" si="13"/>
        <v>99632.2</v>
      </c>
      <c r="N29" s="33">
        <f t="shared" si="13"/>
        <v>103319.005</v>
      </c>
      <c r="O29" s="33">
        <f t="shared" si="13"/>
        <v>107168.28868</v>
      </c>
    </row>
    <row r="31" spans="2:15" ht="30" customHeight="1" x14ac:dyDescent="0.25">
      <c r="B31" s="63" t="s">
        <v>139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</sheetData>
  <mergeCells count="7">
    <mergeCell ref="B29:I29"/>
    <mergeCell ref="B31:O31"/>
    <mergeCell ref="B2:N2"/>
    <mergeCell ref="B3:N3"/>
    <mergeCell ref="B5:O5"/>
    <mergeCell ref="B17:I17"/>
    <mergeCell ref="B19:O19"/>
  </mergeCells>
  <dataValidations count="3">
    <dataValidation type="list" allowBlank="1" sqref="E7:E16 E21:E28" xr:uid="{00000000-0002-0000-0200-000000000000}">
      <formula1>"Einmalig,Wiederkehrend"</formula1>
      <formula2>0</formula2>
    </dataValidation>
    <dataValidation type="list" allowBlank="1" sqref="C7:C16" xr:uid="{00000000-0002-0000-0200-000001000000}">
      <formula1>"Investition,Implementierung,Schulung,Wartung,Lizenzen,Personal,Sonstige"</formula1>
      <formula2>0</formula2>
    </dataValidation>
    <dataValidation type="list" allowBlank="1" sqref="C21:C28" xr:uid="{00000000-0002-0000-0200-000002000000}">
      <formula1>"Kosteneinsparung,Effizienzgewinn,Umsatzsteigerung,Qualitätssteigerung,Risikoreduktion,Sonstige"</formula1>
      <formula2>0</formula2>
    </dataValidation>
  </dataValidation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50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6" customWidth="1"/>
    <col min="3" max="8" width="15" customWidth="1"/>
    <col min="9" max="9" width="18" customWidth="1"/>
  </cols>
  <sheetData>
    <row r="2" spans="2:9" ht="30" customHeight="1" x14ac:dyDescent="0.25">
      <c r="B2" s="49" t="s">
        <v>140</v>
      </c>
      <c r="C2" s="49"/>
      <c r="D2" s="49"/>
      <c r="E2" s="49"/>
      <c r="F2" s="49"/>
      <c r="G2" s="49"/>
      <c r="H2" s="49"/>
      <c r="I2" s="49"/>
    </row>
    <row r="3" spans="2:9" ht="21.75" customHeight="1" x14ac:dyDescent="0.25">
      <c r="B3" s="12" t="s">
        <v>141</v>
      </c>
      <c r="C3" s="12"/>
      <c r="D3" s="12"/>
      <c r="E3" s="12"/>
      <c r="F3" s="12"/>
      <c r="G3" s="12"/>
      <c r="H3" s="12"/>
      <c r="I3" s="12"/>
    </row>
    <row r="5" spans="2:9" ht="25.5" customHeight="1" x14ac:dyDescent="0.25">
      <c r="B5" s="14" t="s">
        <v>21</v>
      </c>
      <c r="C5" s="15">
        <f>Annahmen!$F$10+0</f>
        <v>2026</v>
      </c>
      <c r="D5" s="15">
        <f>Annahmen!$F$10+1</f>
        <v>2027</v>
      </c>
      <c r="E5" s="15">
        <f>Annahmen!$F$10+2</f>
        <v>2028</v>
      </c>
      <c r="F5" s="15">
        <f>Annahmen!$F$10+3</f>
        <v>2029</v>
      </c>
      <c r="G5" s="15">
        <f>Annahmen!$F$10+4</f>
        <v>2030</v>
      </c>
      <c r="H5" s="15">
        <f>Annahmen!$F$10+5</f>
        <v>2031</v>
      </c>
      <c r="I5" s="16" t="s">
        <v>142</v>
      </c>
    </row>
    <row r="6" spans="2:9" ht="21.75" customHeight="1" x14ac:dyDescent="0.25">
      <c r="B6" s="64" t="s">
        <v>143</v>
      </c>
      <c r="C6" s="64"/>
      <c r="D6" s="64"/>
      <c r="E6" s="64"/>
      <c r="F6" s="64"/>
      <c r="G6" s="64"/>
      <c r="H6" s="64"/>
      <c r="I6" s="64"/>
    </row>
    <row r="7" spans="2:9" ht="18.75" customHeight="1" x14ac:dyDescent="0.25">
      <c r="B7" s="34" t="s">
        <v>87</v>
      </c>
      <c r="C7" s="35">
        <f>SUMIF('Kosten &amp; Nutzen'!$C$7:$C$16,$B7,'Kosten &amp; Nutzen'!$J$7:$J$16)</f>
        <v>63000</v>
      </c>
      <c r="D7" s="35">
        <f>SUMIF('Kosten &amp; Nutzen'!$C$7:$C$16,$B7,'Kosten &amp; Nutzen'!$K$7:$K$16)</f>
        <v>0</v>
      </c>
      <c r="E7" s="35">
        <f>SUMIF('Kosten &amp; Nutzen'!$C$7:$C$16,$B7,'Kosten &amp; Nutzen'!$L$7:$L$16)</f>
        <v>0</v>
      </c>
      <c r="F7" s="35">
        <f>SUMIF('Kosten &amp; Nutzen'!$C$7:$C$16,$B7,'Kosten &amp; Nutzen'!$M$7:$M$16)</f>
        <v>0</v>
      </c>
      <c r="G7" s="35">
        <f>SUMIF('Kosten &amp; Nutzen'!$C$7:$C$16,$B7,'Kosten &amp; Nutzen'!$N$7:$N$16)</f>
        <v>0</v>
      </c>
      <c r="H7" s="35">
        <f>SUMIF('Kosten &amp; Nutzen'!$C$7:$C$16,$B7,'Kosten &amp; Nutzen'!$O$7:$O$16)</f>
        <v>0</v>
      </c>
      <c r="I7" s="36">
        <f t="shared" ref="I7:I14" si="0">SUM(C7:H7)</f>
        <v>63000</v>
      </c>
    </row>
    <row r="8" spans="2:9" ht="18.75" customHeight="1" x14ac:dyDescent="0.25">
      <c r="B8" s="34" t="s">
        <v>93</v>
      </c>
      <c r="C8" s="35">
        <f>SUMIF('Kosten &amp; Nutzen'!$C$7:$C$16,$B8,'Kosten &amp; Nutzen'!$J$7:$J$16)</f>
        <v>20500</v>
      </c>
      <c r="D8" s="35">
        <f>SUMIF('Kosten &amp; Nutzen'!$C$7:$C$16,$B8,'Kosten &amp; Nutzen'!$K$7:$K$16)</f>
        <v>0</v>
      </c>
      <c r="E8" s="35">
        <f>SUMIF('Kosten &amp; Nutzen'!$C$7:$C$16,$B8,'Kosten &amp; Nutzen'!$L$7:$L$16)</f>
        <v>0</v>
      </c>
      <c r="F8" s="35">
        <f>SUMIF('Kosten &amp; Nutzen'!$C$7:$C$16,$B8,'Kosten &amp; Nutzen'!$M$7:$M$16)</f>
        <v>0</v>
      </c>
      <c r="G8" s="35">
        <f>SUMIF('Kosten &amp; Nutzen'!$C$7:$C$16,$B8,'Kosten &amp; Nutzen'!$N$7:$N$16)</f>
        <v>0</v>
      </c>
      <c r="H8" s="35">
        <f>SUMIF('Kosten &amp; Nutzen'!$C$7:$C$16,$B8,'Kosten &amp; Nutzen'!$O$7:$O$16)</f>
        <v>0</v>
      </c>
      <c r="I8" s="36">
        <f t="shared" si="0"/>
        <v>20500</v>
      </c>
    </row>
    <row r="9" spans="2:9" ht="18.75" customHeight="1" x14ac:dyDescent="0.25">
      <c r="B9" s="34" t="s">
        <v>98</v>
      </c>
      <c r="C9" s="35">
        <f>SUMIF('Kosten &amp; Nutzen'!$C$7:$C$16,$B9,'Kosten &amp; Nutzen'!$J$7:$J$16)</f>
        <v>6500</v>
      </c>
      <c r="D9" s="35">
        <f>SUMIF('Kosten &amp; Nutzen'!$C$7:$C$16,$B9,'Kosten &amp; Nutzen'!$K$7:$K$16)</f>
        <v>0</v>
      </c>
      <c r="E9" s="35">
        <f>SUMIF('Kosten &amp; Nutzen'!$C$7:$C$16,$B9,'Kosten &amp; Nutzen'!$L$7:$L$16)</f>
        <v>2500</v>
      </c>
      <c r="F9" s="35">
        <f>SUMIF('Kosten &amp; Nutzen'!$C$7:$C$16,$B9,'Kosten &amp; Nutzen'!$M$7:$M$16)</f>
        <v>2550</v>
      </c>
      <c r="G9" s="35">
        <f>SUMIF('Kosten &amp; Nutzen'!$C$7:$C$16,$B9,'Kosten &amp; Nutzen'!$N$7:$N$16)</f>
        <v>2601</v>
      </c>
      <c r="H9" s="35">
        <f>SUMIF('Kosten &amp; Nutzen'!$C$7:$C$16,$B9,'Kosten &amp; Nutzen'!$O$7:$O$16)</f>
        <v>2653.02</v>
      </c>
      <c r="I9" s="36">
        <f t="shared" si="0"/>
        <v>16804.02</v>
      </c>
    </row>
    <row r="10" spans="2:9" ht="18.75" customHeight="1" x14ac:dyDescent="0.25">
      <c r="B10" s="34" t="s">
        <v>101</v>
      </c>
      <c r="C10" s="35">
        <f>SUMIF('Kosten &amp; Nutzen'!$C$7:$C$16,$B10,'Kosten &amp; Nutzen'!$J$7:$J$16)</f>
        <v>0</v>
      </c>
      <c r="D10" s="35">
        <f>SUMIF('Kosten &amp; Nutzen'!$C$7:$C$16,$B10,'Kosten &amp; Nutzen'!$K$7:$K$16)</f>
        <v>9500</v>
      </c>
      <c r="E10" s="35">
        <f>SUMIF('Kosten &amp; Nutzen'!$C$7:$C$16,$B10,'Kosten &amp; Nutzen'!$L$7:$L$16)</f>
        <v>9690</v>
      </c>
      <c r="F10" s="35">
        <f>SUMIF('Kosten &amp; Nutzen'!$C$7:$C$16,$B10,'Kosten &amp; Nutzen'!$M$7:$M$16)</f>
        <v>9883.7999999999993</v>
      </c>
      <c r="G10" s="35">
        <f>SUMIF('Kosten &amp; Nutzen'!$C$7:$C$16,$B10,'Kosten &amp; Nutzen'!$N$7:$N$16)</f>
        <v>10081.475999999999</v>
      </c>
      <c r="H10" s="35">
        <f>SUMIF('Kosten &amp; Nutzen'!$C$7:$C$16,$B10,'Kosten &amp; Nutzen'!$O$7:$O$16)</f>
        <v>10283.105519999999</v>
      </c>
      <c r="I10" s="36">
        <f t="shared" si="0"/>
        <v>49438.381519999995</v>
      </c>
    </row>
    <row r="11" spans="2:9" ht="18.75" customHeight="1" x14ac:dyDescent="0.25">
      <c r="B11" s="34" t="s">
        <v>105</v>
      </c>
      <c r="C11" s="35">
        <f>SUMIF('Kosten &amp; Nutzen'!$C$7:$C$16,$B11,'Kosten &amp; Nutzen'!$J$7:$J$16)</f>
        <v>0</v>
      </c>
      <c r="D11" s="35">
        <f>SUMIF('Kosten &amp; Nutzen'!$C$7:$C$16,$B11,'Kosten &amp; Nutzen'!$K$7:$K$16)</f>
        <v>6000</v>
      </c>
      <c r="E11" s="35">
        <f>SUMIF('Kosten &amp; Nutzen'!$C$7:$C$16,$B11,'Kosten &amp; Nutzen'!$L$7:$L$16)</f>
        <v>6180</v>
      </c>
      <c r="F11" s="35">
        <f>SUMIF('Kosten &amp; Nutzen'!$C$7:$C$16,$B11,'Kosten &amp; Nutzen'!$M$7:$M$16)</f>
        <v>6365.4</v>
      </c>
      <c r="G11" s="35">
        <f>SUMIF('Kosten &amp; Nutzen'!$C$7:$C$16,$B11,'Kosten &amp; Nutzen'!$N$7:$N$16)</f>
        <v>6556.3620000000001</v>
      </c>
      <c r="H11" s="35">
        <f>SUMIF('Kosten &amp; Nutzen'!$C$7:$C$16,$B11,'Kosten &amp; Nutzen'!$O$7:$O$16)</f>
        <v>6753.0528599999998</v>
      </c>
      <c r="I11" s="36">
        <f t="shared" si="0"/>
        <v>31854.814860000002</v>
      </c>
    </row>
    <row r="12" spans="2:9" ht="18.75" customHeight="1" x14ac:dyDescent="0.25">
      <c r="B12" s="34" t="s">
        <v>108</v>
      </c>
      <c r="C12" s="35">
        <f>SUMIF('Kosten &amp; Nutzen'!$C$7:$C$16,$B12,'Kosten &amp; Nutzen'!$J$7:$J$16)</f>
        <v>0</v>
      </c>
      <c r="D12" s="35">
        <f>SUMIF('Kosten &amp; Nutzen'!$C$7:$C$16,$B12,'Kosten &amp; Nutzen'!$K$7:$K$16)</f>
        <v>12000</v>
      </c>
      <c r="E12" s="35">
        <f>SUMIF('Kosten &amp; Nutzen'!$C$7:$C$16,$B12,'Kosten &amp; Nutzen'!$L$7:$L$16)</f>
        <v>12299.999999999998</v>
      </c>
      <c r="F12" s="35">
        <f>SUMIF('Kosten &amp; Nutzen'!$C$7:$C$16,$B12,'Kosten &amp; Nutzen'!$M$7:$M$16)</f>
        <v>12607.499999999998</v>
      </c>
      <c r="G12" s="35">
        <f>SUMIF('Kosten &amp; Nutzen'!$C$7:$C$16,$B12,'Kosten &amp; Nutzen'!$N$7:$N$16)</f>
        <v>12922.687499999998</v>
      </c>
      <c r="H12" s="35">
        <f>SUMIF('Kosten &amp; Nutzen'!$C$7:$C$16,$B12,'Kosten &amp; Nutzen'!$O$7:$O$16)</f>
        <v>13245.754687499997</v>
      </c>
      <c r="I12" s="36">
        <f t="shared" si="0"/>
        <v>63075.942187499997</v>
      </c>
    </row>
    <row r="13" spans="2:9" ht="18.75" customHeight="1" x14ac:dyDescent="0.25">
      <c r="B13" s="34" t="s">
        <v>113</v>
      </c>
      <c r="C13" s="35">
        <f>SUMIF('Kosten &amp; Nutzen'!$C$7:$C$16,$B13,'Kosten &amp; Nutzen'!$J$7:$J$16)</f>
        <v>0</v>
      </c>
      <c r="D13" s="35">
        <f>SUMIF('Kosten &amp; Nutzen'!$C$7:$C$16,$B13,'Kosten &amp; Nutzen'!$K$7:$K$16)</f>
        <v>3200</v>
      </c>
      <c r="E13" s="35">
        <f>SUMIF('Kosten &amp; Nutzen'!$C$7:$C$16,$B13,'Kosten &amp; Nutzen'!$L$7:$L$16)</f>
        <v>3264</v>
      </c>
      <c r="F13" s="35">
        <f>SUMIF('Kosten &amp; Nutzen'!$C$7:$C$16,$B13,'Kosten &amp; Nutzen'!$M$7:$M$16)</f>
        <v>3329.2799999999997</v>
      </c>
      <c r="G13" s="35">
        <f>SUMIF('Kosten &amp; Nutzen'!$C$7:$C$16,$B13,'Kosten &amp; Nutzen'!$N$7:$N$16)</f>
        <v>3395.8655999999996</v>
      </c>
      <c r="H13" s="35">
        <f>SUMIF('Kosten &amp; Nutzen'!$C$7:$C$16,$B13,'Kosten &amp; Nutzen'!$O$7:$O$16)</f>
        <v>3463.7829120000001</v>
      </c>
      <c r="I13" s="36">
        <f t="shared" si="0"/>
        <v>16652.928511999999</v>
      </c>
    </row>
    <row r="14" spans="2:9" ht="21.75" customHeight="1" x14ac:dyDescent="0.25">
      <c r="B14" s="37" t="s">
        <v>144</v>
      </c>
      <c r="C14" s="32">
        <f t="shared" ref="C14:H14" si="1">SUM(C7:C13)</f>
        <v>90000</v>
      </c>
      <c r="D14" s="32">
        <f t="shared" si="1"/>
        <v>30700</v>
      </c>
      <c r="E14" s="32">
        <f t="shared" si="1"/>
        <v>33934</v>
      </c>
      <c r="F14" s="32">
        <f t="shared" si="1"/>
        <v>34735.979999999996</v>
      </c>
      <c r="G14" s="32">
        <f t="shared" si="1"/>
        <v>35557.391099999993</v>
      </c>
      <c r="H14" s="32">
        <f t="shared" si="1"/>
        <v>36398.715979499997</v>
      </c>
      <c r="I14" s="32">
        <f t="shared" si="0"/>
        <v>261326.08707949999</v>
      </c>
    </row>
    <row r="16" spans="2:9" ht="21.75" customHeight="1" x14ac:dyDescent="0.25">
      <c r="B16" s="65" t="s">
        <v>145</v>
      </c>
      <c r="C16" s="65"/>
      <c r="D16" s="65"/>
      <c r="E16" s="65"/>
      <c r="F16" s="65"/>
      <c r="G16" s="65"/>
      <c r="H16" s="65"/>
      <c r="I16" s="65"/>
    </row>
    <row r="17" spans="2:9" ht="18.75" customHeight="1" x14ac:dyDescent="0.25">
      <c r="B17" s="34" t="s">
        <v>118</v>
      </c>
      <c r="C17" s="35">
        <f>SUMIF('Kosten &amp; Nutzen'!$C$21:$C$28,$B17,'Kosten &amp; Nutzen'!$J$21:$J$28)</f>
        <v>0</v>
      </c>
      <c r="D17" s="35">
        <f>SUMIF('Kosten &amp; Nutzen'!$C$21:$C$28,$B17,'Kosten &amp; Nutzen'!$K$21:$K$28)</f>
        <v>55000</v>
      </c>
      <c r="E17" s="35">
        <f>SUMIF('Kosten &amp; Nutzen'!$C$21:$C$28,$B17,'Kosten &amp; Nutzen'!$L$21:$L$28)</f>
        <v>56480</v>
      </c>
      <c r="F17" s="35">
        <f>SUMIF('Kosten &amp; Nutzen'!$C$21:$C$28,$B17,'Kosten &amp; Nutzen'!$M$21:$M$28)</f>
        <v>58001</v>
      </c>
      <c r="G17" s="35">
        <f>SUMIF('Kosten &amp; Nutzen'!$C$21:$C$28,$B17,'Kosten &amp; Nutzen'!$N$21:$N$28)</f>
        <v>59564.161999999997</v>
      </c>
      <c r="H17" s="35">
        <f>SUMIF('Kosten &amp; Nutzen'!$C$21:$C$28,$B17,'Kosten &amp; Nutzen'!$O$21:$O$28)</f>
        <v>61170.681499999992</v>
      </c>
      <c r="I17" s="36">
        <f t="shared" ref="I17:I23" si="2">SUM(C17:H17)</f>
        <v>290215.84350000002</v>
      </c>
    </row>
    <row r="18" spans="2:9" ht="18.75" customHeight="1" x14ac:dyDescent="0.25">
      <c r="B18" s="34" t="s">
        <v>121</v>
      </c>
      <c r="C18" s="35">
        <f>SUMIF('Kosten &amp; Nutzen'!$C$21:$C$28,$B18,'Kosten &amp; Nutzen'!$J$21:$J$28)</f>
        <v>0</v>
      </c>
      <c r="D18" s="35">
        <f>SUMIF('Kosten &amp; Nutzen'!$C$21:$C$28,$B18,'Kosten &amp; Nutzen'!$K$21:$K$28)</f>
        <v>18500</v>
      </c>
      <c r="E18" s="35">
        <f>SUMIF('Kosten &amp; Nutzen'!$C$21:$C$28,$B18,'Kosten &amp; Nutzen'!$L$21:$L$28)</f>
        <v>19425</v>
      </c>
      <c r="F18" s="35">
        <f>SUMIF('Kosten &amp; Nutzen'!$C$21:$C$28,$B18,'Kosten &amp; Nutzen'!$M$21:$M$28)</f>
        <v>20396.25</v>
      </c>
      <c r="G18" s="35">
        <f>SUMIF('Kosten &amp; Nutzen'!$C$21:$C$28,$B18,'Kosten &amp; Nutzen'!$N$21:$N$28)</f>
        <v>21416.062500000004</v>
      </c>
      <c r="H18" s="35">
        <f>SUMIF('Kosten &amp; Nutzen'!$C$21:$C$28,$B18,'Kosten &amp; Nutzen'!$O$21:$O$28)</f>
        <v>22486.865624999999</v>
      </c>
      <c r="I18" s="36">
        <f t="shared" si="2"/>
        <v>102224.17812500001</v>
      </c>
    </row>
    <row r="19" spans="2:9" ht="18.75" customHeight="1" x14ac:dyDescent="0.25">
      <c r="B19" s="34" t="s">
        <v>126</v>
      </c>
      <c r="C19" s="35">
        <f>SUMIF('Kosten &amp; Nutzen'!$C$21:$C$28,$B19,'Kosten &amp; Nutzen'!$J$21:$J$28)</f>
        <v>0</v>
      </c>
      <c r="D19" s="35">
        <f>SUMIF('Kosten &amp; Nutzen'!$C$21:$C$28,$B19,'Kosten &amp; Nutzen'!$K$21:$K$28)</f>
        <v>0</v>
      </c>
      <c r="E19" s="35">
        <f>SUMIF('Kosten &amp; Nutzen'!$C$21:$C$28,$B19,'Kosten &amp; Nutzen'!$L$21:$L$28)</f>
        <v>12000</v>
      </c>
      <c r="F19" s="35">
        <f>SUMIF('Kosten &amp; Nutzen'!$C$21:$C$28,$B19,'Kosten &amp; Nutzen'!$M$21:$M$28)</f>
        <v>12840</v>
      </c>
      <c r="G19" s="35">
        <f>SUMIF('Kosten &amp; Nutzen'!$C$21:$C$28,$B19,'Kosten &amp; Nutzen'!$N$21:$N$28)</f>
        <v>13738.800000000001</v>
      </c>
      <c r="H19" s="35">
        <f>SUMIF('Kosten &amp; Nutzen'!$C$21:$C$28,$B19,'Kosten &amp; Nutzen'!$O$21:$O$28)</f>
        <v>14700.516000000001</v>
      </c>
      <c r="I19" s="36">
        <f t="shared" si="2"/>
        <v>53279.316000000006</v>
      </c>
    </row>
    <row r="20" spans="2:9" ht="18.75" customHeight="1" x14ac:dyDescent="0.25">
      <c r="B20" s="34" t="s">
        <v>131</v>
      </c>
      <c r="C20" s="35">
        <f>SUMIF('Kosten &amp; Nutzen'!$C$21:$C$28,$B20,'Kosten &amp; Nutzen'!$J$21:$J$28)</f>
        <v>0</v>
      </c>
      <c r="D20" s="35">
        <f>SUMIF('Kosten &amp; Nutzen'!$C$21:$C$28,$B20,'Kosten &amp; Nutzen'!$K$21:$K$28)</f>
        <v>4500</v>
      </c>
      <c r="E20" s="35">
        <f>SUMIF('Kosten &amp; Nutzen'!$C$21:$C$28,$B20,'Kosten &amp; Nutzen'!$L$21:$L$28)</f>
        <v>4590</v>
      </c>
      <c r="F20" s="35">
        <f>SUMIF('Kosten &amp; Nutzen'!$C$21:$C$28,$B20,'Kosten &amp; Nutzen'!$M$21:$M$28)</f>
        <v>4681.8</v>
      </c>
      <c r="G20" s="35">
        <f>SUMIF('Kosten &amp; Nutzen'!$C$21:$C$28,$B20,'Kosten &amp; Nutzen'!$N$21:$N$28)</f>
        <v>4775.4359999999997</v>
      </c>
      <c r="H20" s="35">
        <f>SUMIF('Kosten &amp; Nutzen'!$C$21:$C$28,$B20,'Kosten &amp; Nutzen'!$O$21:$O$28)</f>
        <v>4870.9447199999995</v>
      </c>
      <c r="I20" s="36">
        <f t="shared" si="2"/>
        <v>23418.180719999997</v>
      </c>
    </row>
    <row r="21" spans="2:9" ht="18.75" customHeight="1" x14ac:dyDescent="0.25">
      <c r="B21" s="34" t="s">
        <v>134</v>
      </c>
      <c r="C21" s="35">
        <f>SUMIF('Kosten &amp; Nutzen'!$C$21:$C$28,$B21,'Kosten &amp; Nutzen'!$J$21:$J$28)</f>
        <v>0</v>
      </c>
      <c r="D21" s="35">
        <f>SUMIF('Kosten &amp; Nutzen'!$C$21:$C$28,$B21,'Kosten &amp; Nutzen'!$K$21:$K$28)</f>
        <v>3500</v>
      </c>
      <c r="E21" s="35">
        <f>SUMIF('Kosten &amp; Nutzen'!$C$21:$C$28,$B21,'Kosten &amp; Nutzen'!$L$21:$L$28)</f>
        <v>3605</v>
      </c>
      <c r="F21" s="35">
        <f>SUMIF('Kosten &amp; Nutzen'!$C$21:$C$28,$B21,'Kosten &amp; Nutzen'!$M$21:$M$28)</f>
        <v>3713.1499999999996</v>
      </c>
      <c r="G21" s="35">
        <f>SUMIF('Kosten &amp; Nutzen'!$C$21:$C$28,$B21,'Kosten &amp; Nutzen'!$N$21:$N$28)</f>
        <v>3824.5445</v>
      </c>
      <c r="H21" s="35">
        <f>SUMIF('Kosten &amp; Nutzen'!$C$21:$C$28,$B21,'Kosten &amp; Nutzen'!$O$21:$O$28)</f>
        <v>3939.2808349999996</v>
      </c>
      <c r="I21" s="36">
        <f t="shared" si="2"/>
        <v>18581.975334999999</v>
      </c>
    </row>
    <row r="22" spans="2:9" ht="18.75" customHeight="1" x14ac:dyDescent="0.25">
      <c r="B22" s="34" t="s">
        <v>113</v>
      </c>
      <c r="C22" s="35">
        <f>SUMIF('Kosten &amp; Nutzen'!$C$21:$C$28,$B22,'Kosten &amp; Nutzen'!$J$21:$J$28)</f>
        <v>4000</v>
      </c>
      <c r="D22" s="35">
        <f>SUMIF('Kosten &amp; Nutzen'!$C$21:$C$28,$B22,'Kosten &amp; Nutzen'!$K$21:$K$28)</f>
        <v>0</v>
      </c>
      <c r="E22" s="35">
        <f>SUMIF('Kosten &amp; Nutzen'!$C$21:$C$28,$B22,'Kosten &amp; Nutzen'!$L$21:$L$28)</f>
        <v>0</v>
      </c>
      <c r="F22" s="35">
        <f>SUMIF('Kosten &amp; Nutzen'!$C$21:$C$28,$B22,'Kosten &amp; Nutzen'!$M$21:$M$28)</f>
        <v>0</v>
      </c>
      <c r="G22" s="35">
        <f>SUMIF('Kosten &amp; Nutzen'!$C$21:$C$28,$B22,'Kosten &amp; Nutzen'!$N$21:$N$28)</f>
        <v>0</v>
      </c>
      <c r="H22" s="35">
        <f>SUMIF('Kosten &amp; Nutzen'!$C$21:$C$28,$B22,'Kosten &amp; Nutzen'!$O$21:$O$28)</f>
        <v>0</v>
      </c>
      <c r="I22" s="36">
        <f t="shared" si="2"/>
        <v>4000</v>
      </c>
    </row>
    <row r="23" spans="2:9" ht="21.75" customHeight="1" x14ac:dyDescent="0.25">
      <c r="B23" s="38" t="s">
        <v>146</v>
      </c>
      <c r="C23" s="33">
        <f t="shared" ref="C23:H23" si="3">SUM(C17:C22)</f>
        <v>4000</v>
      </c>
      <c r="D23" s="33">
        <f t="shared" si="3"/>
        <v>81500</v>
      </c>
      <c r="E23" s="33">
        <f t="shared" si="3"/>
        <v>96100</v>
      </c>
      <c r="F23" s="33">
        <f t="shared" si="3"/>
        <v>99632.2</v>
      </c>
      <c r="G23" s="33">
        <f t="shared" si="3"/>
        <v>103319.005</v>
      </c>
      <c r="H23" s="33">
        <f t="shared" si="3"/>
        <v>107168.28867999998</v>
      </c>
      <c r="I23" s="33">
        <f t="shared" si="2"/>
        <v>491719.49368000001</v>
      </c>
    </row>
    <row r="25" spans="2:9" ht="21.75" customHeight="1" x14ac:dyDescent="0.25">
      <c r="B25" s="37" t="s">
        <v>147</v>
      </c>
      <c r="C25" s="32">
        <f t="shared" ref="C25:H25" si="4">C23-C14</f>
        <v>-86000</v>
      </c>
      <c r="D25" s="32">
        <f t="shared" si="4"/>
        <v>50800</v>
      </c>
      <c r="E25" s="32">
        <f t="shared" si="4"/>
        <v>62166</v>
      </c>
      <c r="F25" s="32">
        <f t="shared" si="4"/>
        <v>64896.22</v>
      </c>
      <c r="G25" s="32">
        <f t="shared" si="4"/>
        <v>67761.613900000011</v>
      </c>
      <c r="H25" s="32">
        <f t="shared" si="4"/>
        <v>70769.572700499994</v>
      </c>
      <c r="I25" s="32">
        <f>SUM(C25:H25)</f>
        <v>230393.40660050002</v>
      </c>
    </row>
    <row r="26" spans="2:9" ht="18.75" customHeight="1" x14ac:dyDescent="0.25">
      <c r="B26" s="17" t="s">
        <v>148</v>
      </c>
      <c r="C26" s="39">
        <f>1/(1+Annahmen!$F$15)^0</f>
        <v>1</v>
      </c>
      <c r="D26" s="39">
        <f>1/(1+Annahmen!$F$15)^1</f>
        <v>0.94339622641509424</v>
      </c>
      <c r="E26" s="39">
        <f>1/(1+Annahmen!$F$15)^2</f>
        <v>0.88999644001423983</v>
      </c>
      <c r="F26" s="39">
        <f>1/(1+Annahmen!$F$15)^3</f>
        <v>0.8396192830323016</v>
      </c>
      <c r="G26" s="39">
        <f>1/(1+Annahmen!$F$15)^4</f>
        <v>0.79209366323802044</v>
      </c>
      <c r="H26" s="39">
        <f>1/(1+Annahmen!$F$15)^5</f>
        <v>0.74725817286605689</v>
      </c>
      <c r="I26" s="40"/>
    </row>
    <row r="27" spans="2:9" ht="18.75" customHeight="1" x14ac:dyDescent="0.25">
      <c r="B27" s="17" t="s">
        <v>149</v>
      </c>
      <c r="C27" s="31">
        <f t="shared" ref="C27:H27" si="5">C14*C26</f>
        <v>90000</v>
      </c>
      <c r="D27" s="31">
        <f t="shared" si="5"/>
        <v>28962.264150943392</v>
      </c>
      <c r="E27" s="31">
        <f t="shared" si="5"/>
        <v>30201.139195443215</v>
      </c>
      <c r="F27" s="31">
        <f t="shared" si="5"/>
        <v>29164.998623024363</v>
      </c>
      <c r="G27" s="31">
        <f t="shared" si="5"/>
        <v>28164.784171585979</v>
      </c>
      <c r="H27" s="31">
        <f t="shared" si="5"/>
        <v>27199.237997511715</v>
      </c>
      <c r="I27" s="32">
        <f>SUM(C27:H27)</f>
        <v>233692.42413850865</v>
      </c>
    </row>
    <row r="28" spans="2:9" ht="18.75" customHeight="1" x14ac:dyDescent="0.25">
      <c r="B28" s="17" t="s">
        <v>150</v>
      </c>
      <c r="C28" s="31">
        <f t="shared" ref="C28:H28" si="6">C23*C26</f>
        <v>4000</v>
      </c>
      <c r="D28" s="31">
        <f t="shared" si="6"/>
        <v>76886.792452830181</v>
      </c>
      <c r="E28" s="31">
        <f t="shared" si="6"/>
        <v>85528.657885368448</v>
      </c>
      <c r="F28" s="31">
        <f t="shared" si="6"/>
        <v>83653.116330930876</v>
      </c>
      <c r="G28" s="31">
        <f t="shared" si="6"/>
        <v>81838.329152557359</v>
      </c>
      <c r="H28" s="31">
        <f t="shared" si="6"/>
        <v>80082.379588198921</v>
      </c>
      <c r="I28" s="32">
        <f>SUM(C28:H28)</f>
        <v>411989.27540988574</v>
      </c>
    </row>
    <row r="29" spans="2:9" ht="21.75" customHeight="1" x14ac:dyDescent="0.25">
      <c r="B29" s="38" t="s">
        <v>26</v>
      </c>
      <c r="C29" s="33">
        <f t="shared" ref="C29:H29" si="7">C25*C26</f>
        <v>-86000</v>
      </c>
      <c r="D29" s="33">
        <f t="shared" si="7"/>
        <v>47924.528301886785</v>
      </c>
      <c r="E29" s="33">
        <f t="shared" si="7"/>
        <v>55327.518689925237</v>
      </c>
      <c r="F29" s="33">
        <f t="shared" si="7"/>
        <v>54488.117707906509</v>
      </c>
      <c r="G29" s="33">
        <f t="shared" si="7"/>
        <v>53673.544980971375</v>
      </c>
      <c r="H29" s="33">
        <f t="shared" si="7"/>
        <v>52883.141590687206</v>
      </c>
      <c r="I29" s="33">
        <f>SUM(C29:H29)</f>
        <v>178296.85127137712</v>
      </c>
    </row>
    <row r="30" spans="2:9" ht="18.75" customHeight="1" x14ac:dyDescent="0.25">
      <c r="B30" s="17" t="s">
        <v>151</v>
      </c>
      <c r="C30" s="31">
        <f>C25</f>
        <v>-86000</v>
      </c>
      <c r="D30" s="31">
        <f>C30+D25</f>
        <v>-35200</v>
      </c>
      <c r="E30" s="31">
        <f>D30+E25</f>
        <v>26966</v>
      </c>
      <c r="F30" s="31">
        <f>E30+F25</f>
        <v>91862.22</v>
      </c>
      <c r="G30" s="31">
        <f>F30+G25</f>
        <v>159623.83390000003</v>
      </c>
      <c r="H30" s="31">
        <f>G30+H25</f>
        <v>230393.40660050002</v>
      </c>
      <c r="I30" s="40"/>
    </row>
    <row r="31" spans="2:9" ht="18.75" customHeight="1" x14ac:dyDescent="0.25">
      <c r="B31" s="17" t="s">
        <v>27</v>
      </c>
      <c r="C31" s="31">
        <f>C29</f>
        <v>-86000</v>
      </c>
      <c r="D31" s="31">
        <f>C31+D29</f>
        <v>-38075.471698113215</v>
      </c>
      <c r="E31" s="31">
        <f>D31+E29</f>
        <v>17252.046991812022</v>
      </c>
      <c r="F31" s="31">
        <f>E31+F29</f>
        <v>71740.164699718531</v>
      </c>
      <c r="G31" s="31">
        <f>F31+G29</f>
        <v>125413.70968068991</v>
      </c>
      <c r="H31" s="31">
        <f>G31+H29</f>
        <v>178296.85127137712</v>
      </c>
      <c r="I31" s="40"/>
    </row>
    <row r="34" spans="2:9" ht="25.5" customHeight="1" x14ac:dyDescent="0.25">
      <c r="B34" s="66" t="s">
        <v>152</v>
      </c>
      <c r="C34" s="66"/>
      <c r="D34" s="66"/>
      <c r="E34" s="66"/>
      <c r="F34" s="66"/>
      <c r="G34" s="66"/>
      <c r="H34" s="66"/>
      <c r="I34" s="66"/>
    </row>
    <row r="35" spans="2:9" ht="24" customHeight="1" x14ac:dyDescent="0.25">
      <c r="B35" s="14" t="s">
        <v>153</v>
      </c>
      <c r="C35" s="1" t="s">
        <v>154</v>
      </c>
      <c r="D35" s="1"/>
      <c r="E35" s="16" t="s">
        <v>155</v>
      </c>
      <c r="F35" s="67" t="s">
        <v>57</v>
      </c>
      <c r="G35" s="67"/>
      <c r="H35" s="67"/>
      <c r="I35" s="67"/>
    </row>
    <row r="36" spans="2:9" ht="21.75" customHeight="1" x14ac:dyDescent="0.25">
      <c r="B36" s="13" t="s">
        <v>11</v>
      </c>
      <c r="C36" s="63" t="s">
        <v>156</v>
      </c>
      <c r="D36" s="63"/>
      <c r="E36" s="41">
        <f>I29</f>
        <v>178296.85127137712</v>
      </c>
      <c r="F36" s="63" t="s">
        <v>157</v>
      </c>
      <c r="G36" s="63"/>
      <c r="H36" s="63"/>
      <c r="I36" s="63"/>
    </row>
    <row r="37" spans="2:9" ht="21.75" customHeight="1" x14ac:dyDescent="0.25">
      <c r="B37" s="13" t="s">
        <v>12</v>
      </c>
      <c r="C37" s="63" t="s">
        <v>158</v>
      </c>
      <c r="D37" s="63"/>
      <c r="E37" s="42">
        <f>IFERROR(IRR(C25:H25),0)</f>
        <v>0.62408687096630233</v>
      </c>
      <c r="F37" s="63" t="s">
        <v>159</v>
      </c>
      <c r="G37" s="63"/>
      <c r="H37" s="63"/>
      <c r="I37" s="63"/>
    </row>
    <row r="38" spans="2:9" ht="21.75" customHeight="1" x14ac:dyDescent="0.25">
      <c r="B38" s="13" t="s">
        <v>160</v>
      </c>
      <c r="C38" s="63" t="s">
        <v>161</v>
      </c>
      <c r="D38" s="63"/>
      <c r="E38" s="22">
        <f>IFERROR(I28/I27,0)</f>
        <v>1.7629552045970527</v>
      </c>
      <c r="F38" s="63" t="s">
        <v>162</v>
      </c>
      <c r="G38" s="63"/>
      <c r="H38" s="63"/>
      <c r="I38" s="63"/>
    </row>
    <row r="39" spans="2:9" ht="21.75" customHeight="1" x14ac:dyDescent="0.25">
      <c r="B39" s="13" t="s">
        <v>15</v>
      </c>
      <c r="C39" s="63" t="s">
        <v>163</v>
      </c>
      <c r="D39" s="63"/>
      <c r="E39" s="43">
        <f>IFERROR(I29/I27,0)</f>
        <v>0.76295520459705291</v>
      </c>
      <c r="F39" s="63" t="s">
        <v>164</v>
      </c>
      <c r="G39" s="63"/>
      <c r="H39" s="63"/>
      <c r="I39" s="63"/>
    </row>
    <row r="40" spans="2:9" ht="21.75" customHeight="1" x14ac:dyDescent="0.25">
      <c r="B40" s="13" t="s">
        <v>165</v>
      </c>
      <c r="C40" s="63" t="s">
        <v>166</v>
      </c>
      <c r="D40" s="63"/>
      <c r="E40" s="44">
        <f>IFERROR(IF(MAX(C30:H30)&lt;0,"-",COUNTIF(C30:H30,"&lt;0")+(-INDEX(C30:H30,COUNTIF(C30:H30,"&lt;0"))/INDEX(C25:H25,COUNTIF(C30:H30,"&lt;0")+1))),"-")</f>
        <v>2.566225911269826</v>
      </c>
      <c r="F40" s="63" t="s">
        <v>167</v>
      </c>
      <c r="G40" s="63"/>
      <c r="H40" s="63"/>
      <c r="I40" s="63"/>
    </row>
    <row r="41" spans="2:9" ht="21.75" customHeight="1" x14ac:dyDescent="0.25">
      <c r="B41" s="13" t="s">
        <v>168</v>
      </c>
      <c r="C41" s="63" t="s">
        <v>169</v>
      </c>
      <c r="D41" s="63"/>
      <c r="E41" s="44">
        <f>IFERROR(IF(MAX(C31:H31)&lt;0,"-",COUNTIF(C31:H31,"&lt;0")+(-INDEX(C31:H31,COUNTIF(C31:H31,"&lt;0"))/INDEX(C29:H29,COUNTIF(C31:H31,"&lt;0")+1))),"-")</f>
        <v>2.6881832512949204</v>
      </c>
      <c r="F41" s="63" t="s">
        <v>170</v>
      </c>
      <c r="G41" s="63"/>
      <c r="H41" s="63"/>
      <c r="I41" s="63"/>
    </row>
    <row r="42" spans="2:9" ht="21.75" customHeight="1" x14ac:dyDescent="0.25">
      <c r="B42" s="13" t="s">
        <v>171</v>
      </c>
      <c r="C42" s="63" t="s">
        <v>172</v>
      </c>
      <c r="D42" s="63"/>
      <c r="E42" s="41">
        <f>I27</f>
        <v>233692.42413850865</v>
      </c>
      <c r="F42" s="63" t="s">
        <v>173</v>
      </c>
      <c r="G42" s="63"/>
      <c r="H42" s="63"/>
      <c r="I42" s="63"/>
    </row>
    <row r="43" spans="2:9" ht="21.75" customHeight="1" x14ac:dyDescent="0.25">
      <c r="B43" s="13" t="s">
        <v>174</v>
      </c>
      <c r="C43" s="63" t="s">
        <v>175</v>
      </c>
      <c r="D43" s="63"/>
      <c r="E43" s="41">
        <f>I28</f>
        <v>411989.27540988574</v>
      </c>
      <c r="F43" s="63" t="s">
        <v>176</v>
      </c>
      <c r="G43" s="63"/>
      <c r="H43" s="63"/>
      <c r="I43" s="63"/>
    </row>
    <row r="46" spans="2:9" ht="25.5" customHeight="1" x14ac:dyDescent="0.25">
      <c r="B46" s="66" t="s">
        <v>177</v>
      </c>
      <c r="C46" s="66"/>
      <c r="D46" s="66"/>
      <c r="E46" s="66"/>
      <c r="F46" s="66"/>
      <c r="G46" s="66"/>
      <c r="H46" s="66"/>
      <c r="I46" s="66"/>
    </row>
    <row r="47" spans="2:9" ht="30" customHeight="1" x14ac:dyDescent="0.25">
      <c r="B47" s="16" t="s">
        <v>29</v>
      </c>
      <c r="C47" s="16" t="s">
        <v>30</v>
      </c>
      <c r="D47" s="16" t="s">
        <v>31</v>
      </c>
      <c r="E47" s="16" t="s">
        <v>16</v>
      </c>
      <c r="F47" s="16" t="s">
        <v>17</v>
      </c>
      <c r="G47" s="16" t="s">
        <v>11</v>
      </c>
      <c r="H47" s="16" t="s">
        <v>13</v>
      </c>
      <c r="I47" s="16" t="s">
        <v>33</v>
      </c>
    </row>
    <row r="48" spans="2:9" ht="21.75" customHeight="1" x14ac:dyDescent="0.25">
      <c r="B48" s="13" t="s">
        <v>34</v>
      </c>
      <c r="C48" s="45">
        <f>Annahmen!$C$22</f>
        <v>0.9</v>
      </c>
      <c r="D48" s="45">
        <f>Annahmen!$D$22</f>
        <v>1.1499999999999999</v>
      </c>
      <c r="E48" s="31">
        <f>I27*C48</f>
        <v>210323.1817246578</v>
      </c>
      <c r="F48" s="31">
        <f>I28*D48</f>
        <v>473787.66672136856</v>
      </c>
      <c r="G48" s="41">
        <f>F48-E48</f>
        <v>263464.48499671079</v>
      </c>
      <c r="H48" s="22">
        <f>IFERROR(F48/E48,0)</f>
        <v>2.2526649836517891</v>
      </c>
      <c r="I48" s="46" t="str">
        <f>IF(G48&lt;0,"unrentabel",IF(H48&gt;=Annahmen!$F$27,"empfehlenswert",IF(H48&gt;=Annahmen!$F$28,"bedingt prüfen","unrentabel")))</f>
        <v>empfehlenswert</v>
      </c>
    </row>
    <row r="49" spans="2:9" ht="21.75" customHeight="1" x14ac:dyDescent="0.25">
      <c r="B49" s="13" t="s">
        <v>35</v>
      </c>
      <c r="C49" s="45">
        <f>Annahmen!$C$23</f>
        <v>1</v>
      </c>
      <c r="D49" s="45">
        <f>Annahmen!$D$23</f>
        <v>1</v>
      </c>
      <c r="E49" s="31">
        <f>I27*C49</f>
        <v>233692.42413850865</v>
      </c>
      <c r="F49" s="31">
        <f>I28*D49</f>
        <v>411989.27540988574</v>
      </c>
      <c r="G49" s="41">
        <f>F49-E49</f>
        <v>178296.85127137709</v>
      </c>
      <c r="H49" s="22">
        <f>IFERROR(F49/E49,0)</f>
        <v>1.7629552045970527</v>
      </c>
      <c r="I49" s="46" t="str">
        <f>IF(G49&lt;0,"unrentabel",IF(H49&gt;=Annahmen!$F$27,"empfehlenswert",IF(H49&gt;=Annahmen!$F$28,"bedingt prüfen","unrentabel")))</f>
        <v>empfehlenswert</v>
      </c>
    </row>
    <row r="50" spans="2:9" ht="21.75" customHeight="1" x14ac:dyDescent="0.25">
      <c r="B50" s="13" t="s">
        <v>36</v>
      </c>
      <c r="C50" s="45">
        <f>Annahmen!$C$24</f>
        <v>1.2</v>
      </c>
      <c r="D50" s="45">
        <f>Annahmen!$D$24</f>
        <v>0.75</v>
      </c>
      <c r="E50" s="31">
        <f>I27*C50</f>
        <v>280430.90896621038</v>
      </c>
      <c r="F50" s="31">
        <f>I28*D50</f>
        <v>308991.95655741432</v>
      </c>
      <c r="G50" s="41">
        <f>F50-E50</f>
        <v>28561.04759120394</v>
      </c>
      <c r="H50" s="22">
        <f>IFERROR(F50/E50,0)</f>
        <v>1.101847002873158</v>
      </c>
      <c r="I50" s="46" t="str">
        <f>IF(G50&lt;0,"unrentabel",IF(H50&gt;=Annahmen!$F$27,"empfehlenswert",IF(H50&gt;=Annahmen!$F$28,"bedingt prüfen","unrentabel")))</f>
        <v>bedingt prüfen</v>
      </c>
    </row>
  </sheetData>
  <mergeCells count="24">
    <mergeCell ref="B46:I46"/>
    <mergeCell ref="C41:D41"/>
    <mergeCell ref="F41:I41"/>
    <mergeCell ref="C42:D42"/>
    <mergeCell ref="F42:I42"/>
    <mergeCell ref="C43:D43"/>
    <mergeCell ref="F43:I43"/>
    <mergeCell ref="C38:D38"/>
    <mergeCell ref="F38:I38"/>
    <mergeCell ref="C39:D39"/>
    <mergeCell ref="F39:I39"/>
    <mergeCell ref="C40:D40"/>
    <mergeCell ref="F40:I40"/>
    <mergeCell ref="C35:D35"/>
    <mergeCell ref="F35:I35"/>
    <mergeCell ref="C36:D36"/>
    <mergeCell ref="F36:I36"/>
    <mergeCell ref="C37:D37"/>
    <mergeCell ref="F37:I37"/>
    <mergeCell ref="B2:I2"/>
    <mergeCell ref="B3:I3"/>
    <mergeCell ref="B6:I6"/>
    <mergeCell ref="B16:I16"/>
    <mergeCell ref="B34:I34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Annahmen</vt:lpstr>
      <vt:lpstr>Kosten &amp; Nutzen</vt:lpstr>
      <vt:lpstr>Cashflow &amp; Kennzahlen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2026-06-17T04:59:23Z</dcterms:created>
  <dcterms:modified xsi:type="dcterms:W3CDTF">2026-06-17T06:29:30Z</dcterms:modified>
  <dc:language>en-US</dc:language>
</cp:coreProperties>
</file>