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sergi\Documents\SEO\SEO\AA_Webs\Excel Aleman\Generador\"/>
    </mc:Choice>
  </mc:AlternateContent>
  <xr:revisionPtr revIDLastSave="0" documentId="13_ncr:1_{99D82D65-C541-46B0-8F82-F5A3119C4787}" xr6:coauthVersionLast="47" xr6:coauthVersionMax="47" xr10:uidLastSave="{00000000-0000-0000-0000-000000000000}"/>
  <bookViews>
    <workbookView xWindow="1380" yWindow="1380" windowWidth="25500" windowHeight="13500" tabRatio="500" xr2:uid="{00000000-000D-0000-FFFF-FFFF00000000}"/>
  </bookViews>
  <sheets>
    <sheet name="Übersicht" sheetId="1" r:id="rId1"/>
    <sheet name="Kostenartenrechnung" sheetId="2" r:id="rId2"/>
    <sheet name="BAB" sheetId="3" r:id="rId3"/>
    <sheet name="Kostenträgerrechnung" sheetId="4" r:id="rId4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23" i="4" l="1"/>
  <c r="G23" i="4"/>
  <c r="F23" i="4"/>
  <c r="E23" i="4"/>
  <c r="I18" i="4"/>
  <c r="E35" i="3"/>
  <c r="L34" i="3"/>
  <c r="H34" i="3"/>
  <c r="E34" i="3"/>
  <c r="K30" i="3"/>
  <c r="J30" i="3"/>
  <c r="I30" i="3"/>
  <c r="H30" i="3"/>
  <c r="G30" i="3"/>
  <c r="L30" i="3" s="1"/>
  <c r="K29" i="3"/>
  <c r="J29" i="3"/>
  <c r="I29" i="3"/>
  <c r="K26" i="3"/>
  <c r="K31" i="3" s="1"/>
  <c r="J26" i="3"/>
  <c r="J31" i="3" s="1"/>
  <c r="I26" i="3"/>
  <c r="I31" i="3" s="1"/>
  <c r="H26" i="3"/>
  <c r="G26" i="3"/>
  <c r="G31" i="3" s="1"/>
  <c r="F26" i="3"/>
  <c r="H29" i="3" s="1"/>
  <c r="E25" i="3"/>
  <c r="L25" i="3" s="1"/>
  <c r="E24" i="3"/>
  <c r="L24" i="3" s="1"/>
  <c r="E23" i="3"/>
  <c r="L23" i="3" s="1"/>
  <c r="E22" i="3"/>
  <c r="L22" i="3" s="1"/>
  <c r="E21" i="3"/>
  <c r="L21" i="3" s="1"/>
  <c r="L20" i="3"/>
  <c r="E20" i="3"/>
  <c r="E19" i="3"/>
  <c r="L19" i="3" s="1"/>
  <c r="E18" i="3"/>
  <c r="L18" i="3" s="1"/>
  <c r="E17" i="3"/>
  <c r="L17" i="3" s="1"/>
  <c r="E16" i="3"/>
  <c r="L16" i="3" s="1"/>
  <c r="E15" i="3"/>
  <c r="L15" i="3" s="1"/>
  <c r="E14" i="3"/>
  <c r="L14" i="3" s="1"/>
  <c r="E13" i="3"/>
  <c r="L13" i="3" s="1"/>
  <c r="E12" i="3"/>
  <c r="L12" i="3" s="1"/>
  <c r="E11" i="3"/>
  <c r="E26" i="3" s="1"/>
  <c r="L10" i="3"/>
  <c r="E10" i="3"/>
  <c r="E9" i="3"/>
  <c r="L9" i="3" s="1"/>
  <c r="E8" i="3"/>
  <c r="L8" i="3" s="1"/>
  <c r="G30" i="2"/>
  <c r="J30" i="2" s="1"/>
  <c r="F30" i="2"/>
  <c r="G29" i="2"/>
  <c r="B18" i="1" s="1"/>
  <c r="F29" i="2"/>
  <c r="G27" i="2"/>
  <c r="J13" i="2" s="1"/>
  <c r="F27" i="2"/>
  <c r="I26" i="2"/>
  <c r="H26" i="2"/>
  <c r="I25" i="2"/>
  <c r="H25" i="2"/>
  <c r="I24" i="2"/>
  <c r="H24" i="2"/>
  <c r="I23" i="2"/>
  <c r="H23" i="2"/>
  <c r="I22" i="2"/>
  <c r="H22" i="2"/>
  <c r="I21" i="2"/>
  <c r="H21" i="2"/>
  <c r="I20" i="2"/>
  <c r="H20" i="2"/>
  <c r="I19" i="2"/>
  <c r="H19" i="2"/>
  <c r="I18" i="2"/>
  <c r="H18" i="2"/>
  <c r="I17" i="2"/>
  <c r="H17" i="2"/>
  <c r="I16" i="2"/>
  <c r="H16" i="2"/>
  <c r="I15" i="2"/>
  <c r="H15" i="2"/>
  <c r="I14" i="2"/>
  <c r="H14" i="2"/>
  <c r="H27" i="2" s="1"/>
  <c r="E15" i="1" s="1"/>
  <c r="I13" i="2"/>
  <c r="H13" i="2"/>
  <c r="I12" i="2"/>
  <c r="H12" i="2"/>
  <c r="I11" i="2"/>
  <c r="H11" i="2"/>
  <c r="I10" i="2"/>
  <c r="H10" i="2"/>
  <c r="I9" i="2"/>
  <c r="H9" i="2"/>
  <c r="I8" i="2"/>
  <c r="H8" i="2"/>
  <c r="I7" i="2"/>
  <c r="H7" i="2"/>
  <c r="E31" i="3" l="1"/>
  <c r="L26" i="3"/>
  <c r="H31" i="3"/>
  <c r="H38" i="3" s="1"/>
  <c r="J20" i="2"/>
  <c r="J7" i="2"/>
  <c r="J27" i="2" s="1"/>
  <c r="J14" i="2"/>
  <c r="I27" i="2"/>
  <c r="I35" i="3"/>
  <c r="L35" i="3" s="1"/>
  <c r="J21" i="2"/>
  <c r="I23" i="4"/>
  <c r="B21" i="1" s="1"/>
  <c r="J8" i="2"/>
  <c r="J24" i="2"/>
  <c r="J25" i="2"/>
  <c r="J15" i="2"/>
  <c r="H29" i="2"/>
  <c r="J9" i="2"/>
  <c r="I29" i="2"/>
  <c r="J16" i="2"/>
  <c r="J29" i="2"/>
  <c r="E18" i="1"/>
  <c r="I30" i="2"/>
  <c r="J12" i="2"/>
  <c r="J26" i="2"/>
  <c r="F29" i="3"/>
  <c r="L29" i="3" s="1"/>
  <c r="L11" i="3"/>
  <c r="J22" i="2"/>
  <c r="B15" i="1"/>
  <c r="J23" i="2"/>
  <c r="J10" i="2"/>
  <c r="J17" i="2"/>
  <c r="H30" i="2"/>
  <c r="F31" i="3"/>
  <c r="J11" i="2"/>
  <c r="J18" i="2"/>
  <c r="J19" i="2"/>
  <c r="B25" i="1" l="1"/>
  <c r="H8" i="4"/>
  <c r="H9" i="4" s="1"/>
  <c r="E8" i="4"/>
  <c r="E9" i="4" s="1"/>
  <c r="G8" i="4"/>
  <c r="G9" i="4" s="1"/>
  <c r="F8" i="4"/>
  <c r="F9" i="4" s="1"/>
  <c r="I38" i="3"/>
  <c r="K38" i="3"/>
  <c r="F25" i="1" s="1"/>
  <c r="J38" i="3"/>
  <c r="E25" i="1" s="1"/>
  <c r="L31" i="3"/>
  <c r="H11" i="4" l="1"/>
  <c r="F11" i="4"/>
  <c r="G11" i="4"/>
  <c r="C25" i="1"/>
  <c r="E11" i="4"/>
  <c r="E12" i="4"/>
  <c r="F12" i="4"/>
  <c r="G12" i="4"/>
  <c r="H12" i="4"/>
  <c r="H14" i="4" l="1"/>
  <c r="H13" i="4"/>
  <c r="H15" i="4" s="1"/>
  <c r="G13" i="4"/>
  <c r="G15" i="4" s="1"/>
  <c r="G14" i="4"/>
  <c r="F13" i="4"/>
  <c r="F14" i="4"/>
  <c r="F15" i="4" s="1"/>
  <c r="E14" i="4"/>
  <c r="E13" i="4"/>
  <c r="E15" i="4" s="1"/>
  <c r="E24" i="4" l="1"/>
  <c r="E20" i="4"/>
  <c r="E21" i="4" s="1"/>
  <c r="F20" i="4"/>
  <c r="F21" i="4" s="1"/>
  <c r="F24" i="4"/>
  <c r="F25" i="4" s="1"/>
  <c r="G20" i="4"/>
  <c r="G21" i="4" s="1"/>
  <c r="G24" i="4"/>
  <c r="G25" i="4" s="1"/>
  <c r="H24" i="4"/>
  <c r="H25" i="4" s="1"/>
  <c r="H20" i="4"/>
  <c r="H21" i="4" s="1"/>
  <c r="I24" i="4" l="1"/>
  <c r="E25" i="4"/>
  <c r="I25" i="4" s="1"/>
  <c r="E21" i="1" s="1"/>
</calcChain>
</file>

<file path=xl/sharedStrings.xml><?xml version="1.0" encoding="utf-8"?>
<sst xmlns="http://schemas.openxmlformats.org/spreadsheetml/2006/main" count="250" uniqueCount="201">
  <si>
    <t>Vollständige KLR – Kostenarten · Kostenstellen (BAB) · Kostenträger</t>
  </si>
  <si>
    <t>UNTERNEHMENS- UND PERIODENANGABEN</t>
  </si>
  <si>
    <t>Unternehmen</t>
  </si>
  <si>
    <t>Beispiel GmbH</t>
  </si>
  <si>
    <t>Verantwortlich (Controlling)</t>
  </si>
  <si>
    <t>Dr. Sabine Lange</t>
  </si>
  <si>
    <t>Rechtsform</t>
  </si>
  <si>
    <t>GmbH</t>
  </si>
  <si>
    <t>Geschäftsführung</t>
  </si>
  <si>
    <t>Thomas Wagner</t>
  </si>
  <si>
    <t>Branche</t>
  </si>
  <si>
    <t>Industriefertigung</t>
  </si>
  <si>
    <t>Standort</t>
  </si>
  <si>
    <t>Hamburg, Deutschland</t>
  </si>
  <si>
    <t>Geschäftsjahr</t>
  </si>
  <si>
    <t>01.01.2026 – 31.12.2026</t>
  </si>
  <si>
    <t>Währung</t>
  </si>
  <si>
    <t>EUR (€)</t>
  </si>
  <si>
    <t>Stand</t>
  </si>
  <si>
    <t>Berechnungsbasis</t>
  </si>
  <si>
    <t>Vollkostenrechnung / Ist 2026</t>
  </si>
  <si>
    <t>KENNZAHLEN-DASHBOARD 2026 (automatisch berechnet)</t>
  </si>
  <si>
    <t>GESAMTKOSTEN IST</t>
  </si>
  <si>
    <t>ABWEICHUNG PLAN/IST</t>
  </si>
  <si>
    <t>EINZELKOSTEN-ANTEIL</t>
  </si>
  <si>
    <t>GEMEINKOSTEN-ANTEIL</t>
  </si>
  <si>
    <t>UMSATZ 2026 (GESAMT)</t>
  </si>
  <si>
    <t>DECKUNGSBEITRAG GESAMT</t>
  </si>
  <si>
    <t>GEMEINKOSTEN-ZUSCHLAGSSÄTZE (aus BAB)</t>
  </si>
  <si>
    <t>MATERIAL-ZUSCHLAG</t>
  </si>
  <si>
    <t>FERTIGUNGS-ZUSCHLAG</t>
  </si>
  <si>
    <t>VERWALTUNGS-ZUSCHLAG</t>
  </si>
  <si>
    <t>VERTRIEBS-ZUSCHLAG</t>
  </si>
  <si>
    <t>INHALT DER VORLAGE</t>
  </si>
  <si>
    <t>1.</t>
  </si>
  <si>
    <t>Übersicht</t>
  </si>
  <si>
    <t>Stammdaten, KPI-Dashboard, Zuschlagssätze</t>
  </si>
  <si>
    <t>2.</t>
  </si>
  <si>
    <t>Kostenartenrechnung</t>
  </si>
  <si>
    <t>Erfassung aller Kostenarten (Einzel-/Gemeinkosten) mit Plan-Ist-Vergleich</t>
  </si>
  <si>
    <t>3.</t>
  </si>
  <si>
    <t>BAB</t>
  </si>
  <si>
    <t>Betriebsabrechnungsbogen – Verteilung auf Kostenstellen, Umlage, Zuschlagssätze</t>
  </si>
  <si>
    <t>4.</t>
  </si>
  <si>
    <t>Kostenträgerrechnung</t>
  </si>
  <si>
    <t>Stückkalkulation je Produkt, Deckungsbeitrag und Gesamterfolg</t>
  </si>
  <si>
    <t>2. KOSTENARTENRECHNUNG – Geschäftsjahr 2026</t>
  </si>
  <si>
    <t>Erfassung aller Kostenarten mit Plan- und Ist-Werten. Trennung in Einzel- und Gemeinkosten über Dropdown. Abweichung und Anteil am Gesamtkostenvolumen werden automatisch berechnet.</t>
  </si>
  <si>
    <t>Nr.</t>
  </si>
  <si>
    <t>Kostenart</t>
  </si>
  <si>
    <t>Typ</t>
  </si>
  <si>
    <t>Konto-Nr.</t>
  </si>
  <si>
    <t>Plan 2026</t>
  </si>
  <si>
    <t>Ist 2026</t>
  </si>
  <si>
    <t>Abweichung</t>
  </si>
  <si>
    <t>Abw. %</t>
  </si>
  <si>
    <t>% Gesamt</t>
  </si>
  <si>
    <t>Rohstoffe</t>
  </si>
  <si>
    <t>Einzelkosten</t>
  </si>
  <si>
    <t>5000</t>
  </si>
  <si>
    <t>Hilfsstoffe</t>
  </si>
  <si>
    <t>Gemeinkosten</t>
  </si>
  <si>
    <t>5100</t>
  </si>
  <si>
    <t>Betriebsstoffe</t>
  </si>
  <si>
    <t>5200</t>
  </si>
  <si>
    <t>Fremdleistungen</t>
  </si>
  <si>
    <t>5300</t>
  </si>
  <si>
    <t>Fertigungslöhne</t>
  </si>
  <si>
    <t>6100</t>
  </si>
  <si>
    <t>Hilfslöhne</t>
  </si>
  <si>
    <t>6200</t>
  </si>
  <si>
    <t>Gehälter Verwaltung</t>
  </si>
  <si>
    <t>6300</t>
  </si>
  <si>
    <t>Gehälter Vertrieb</t>
  </si>
  <si>
    <t>6310</t>
  </si>
  <si>
    <t>Sozialabgaben &amp; Arbeitgeberant.</t>
  </si>
  <si>
    <t>6400</t>
  </si>
  <si>
    <t>Mieten &amp; Pachten</t>
  </si>
  <si>
    <t>6500</t>
  </si>
  <si>
    <t>Energiekosten (Strom, Gas)</t>
  </si>
  <si>
    <t>6600</t>
  </si>
  <si>
    <t>Wasser &amp; Abwasser</t>
  </si>
  <si>
    <t>6610</t>
  </si>
  <si>
    <t>Reparaturen &amp; Instandhaltung</t>
  </si>
  <si>
    <t>6700</t>
  </si>
  <si>
    <t>Abschreibungen</t>
  </si>
  <si>
    <t>6800</t>
  </si>
  <si>
    <t>Versicherungen &amp; Beiträge</t>
  </si>
  <si>
    <t>6900</t>
  </si>
  <si>
    <t>Werbung &amp; Marketing</t>
  </si>
  <si>
    <t>7000</t>
  </si>
  <si>
    <t>Reisekosten</t>
  </si>
  <si>
    <t>7100</t>
  </si>
  <si>
    <t>Bürobedarf &amp; Verbrauchsmaterial</t>
  </si>
  <si>
    <t>7200</t>
  </si>
  <si>
    <t>Telekommunikation &amp; IT</t>
  </si>
  <si>
    <t>7300</t>
  </si>
  <si>
    <t>Sonstige betriebliche Kosten</t>
  </si>
  <si>
    <t>7900</t>
  </si>
  <si>
    <t>GESAMTKOSTEN</t>
  </si>
  <si>
    <t xml:space="preserve">  davon Einzelkosten</t>
  </si>
  <si>
    <t xml:space="preserve">  davon Gemeinkosten</t>
  </si>
  <si>
    <t>3. BETRIEBSABRECHNUNGSBOGEN (BAB) – Kostenstellenrechnung 2026</t>
  </si>
  <si>
    <t>Verteilung der Gemeinkosten auf Hilfs- und Hauptkostenstellen. Anschließend Umlage der Hilfskostenstellen nach dem Anbauverfahren. Zuschlagssätze für Material-, Fertigungs-, Verwaltungs- und Vertriebsgemeinkosten werden automatisch ermittelt.</t>
  </si>
  <si>
    <t>Kostenart / Information</t>
  </si>
  <si>
    <t>Hilfskostenstellen</t>
  </si>
  <si>
    <t>Hauptkostenstellen</t>
  </si>
  <si>
    <t>Kontrolle</t>
  </si>
  <si>
    <t>Verteilungs-basis</t>
  </si>
  <si>
    <t>Gesamt (€)</t>
  </si>
  <si>
    <t>Gebäude</t>
  </si>
  <si>
    <t>Energie/Versorgung</t>
  </si>
  <si>
    <t>Material</t>
  </si>
  <si>
    <t>Fertigung</t>
  </si>
  <si>
    <t>Verwaltung</t>
  </si>
  <si>
    <t>Vertrieb</t>
  </si>
  <si>
    <t>Diff. zu Gesamt</t>
  </si>
  <si>
    <t>Verbrauch (Mat./Fert.)</t>
  </si>
  <si>
    <t>Verbrauch</t>
  </si>
  <si>
    <t>Auftragsbezug</t>
  </si>
  <si>
    <t>Lohnstunden</t>
  </si>
  <si>
    <t>direkte Zuordnung</t>
  </si>
  <si>
    <t>anteilig Löhne/Gehälter</t>
  </si>
  <si>
    <t>qm-Fläche</t>
  </si>
  <si>
    <t>Energieverbrauch</t>
  </si>
  <si>
    <t>Anlagenwert</t>
  </si>
  <si>
    <t>Anlagen-Buchwert</t>
  </si>
  <si>
    <t>Versicherungssumme</t>
  </si>
  <si>
    <t>Anzahl Dienstreisen</t>
  </si>
  <si>
    <t>Anzahl Mitarbeiter</t>
  </si>
  <si>
    <t>Anzahl Anschlüsse</t>
  </si>
  <si>
    <t>anteilig Personal</t>
  </si>
  <si>
    <t>Zwischensumme Gemeinkosten (primärverteilt)</t>
  </si>
  <si>
    <t>Umlage Hilfskostenstellen auf Hauptkostenstellen (Anbauverfahren)</t>
  </si>
  <si>
    <t>Umlage Gebäude (% Verteilung)</t>
  </si>
  <si>
    <t>Umlage Energie/Versorgung (% Verteilung)</t>
  </si>
  <si>
    <t>Gemeinkosten je Hauptkostenstelle (nach Umlage)</t>
  </si>
  <si>
    <t>Einzelkosten / Bezugsgrößen (direkte Zuordnung)</t>
  </si>
  <si>
    <t>Materialeinzelkosten (MEK)</t>
  </si>
  <si>
    <t>Fertigungseinzelkosten (FEK)</t>
  </si>
  <si>
    <t>Gemeinkosten-Zuschlagssätze (zur Anwendung in der Kostenträgerrechnung)</t>
  </si>
  <si>
    <t>Zuschlagssatz</t>
  </si>
  <si>
    <t>—</t>
  </si>
  <si>
    <t>Berechnung</t>
  </si>
  <si>
    <t>GK / MEK</t>
  </si>
  <si>
    <t>GK / FEK</t>
  </si>
  <si>
    <t>GK / HK</t>
  </si>
  <si>
    <t>4. KOSTENTRÄGERRECHNUNG – Produktkalkulation &amp; Deckungsbeitrag 2026</t>
  </si>
  <si>
    <t>Stückkalkulation je Produkt mittels Zuschlagskalkulation. Gemeinkostenzuschlagssätze werden automatisch aus dem BAB übernommen. Selbstkosten, Verkaufspreis und Deckungsbeitrag werden vollständig formelgestützt berechnet.</t>
  </si>
  <si>
    <t>Position</t>
  </si>
  <si>
    <t>Hinweis / Formel</t>
  </si>
  <si>
    <t>Produktlinie A</t>
  </si>
  <si>
    <t>Produktlinie B</t>
  </si>
  <si>
    <t>Produktlinie C</t>
  </si>
  <si>
    <t>Produktlinie D</t>
  </si>
  <si>
    <t>Gesamt (× Menge)</t>
  </si>
  <si>
    <t>1</t>
  </si>
  <si>
    <t>Materialeinzelkosten (MEK) je Stück</t>
  </si>
  <si>
    <t>Eingabewert</t>
  </si>
  <si>
    <t>2</t>
  </si>
  <si>
    <t>+ Materialgemeinkosten (MGK)</t>
  </si>
  <si>
    <t>MEK × Zuschlagssatz Material</t>
  </si>
  <si>
    <t>Σ Materialkosten</t>
  </si>
  <si>
    <t>MEK + MGK</t>
  </si>
  <si>
    <t>3</t>
  </si>
  <si>
    <t>+ Fertigungseinzelkosten (FEK) je Stück</t>
  </si>
  <si>
    <t>4</t>
  </si>
  <si>
    <t>+ Fertigungsgemeinkosten (FGK)</t>
  </si>
  <si>
    <t>FEK × Zuschlagssatz Fertigung</t>
  </si>
  <si>
    <t>Σ HERSTELLKOSTEN (HK)</t>
  </si>
  <si>
    <t>Material- + Fertigungskosten</t>
  </si>
  <si>
    <t>5</t>
  </si>
  <si>
    <t>+ Verwaltungsgemeinkosten (VwGK)</t>
  </si>
  <si>
    <t>HK × Zuschlagssatz Verwaltung</t>
  </si>
  <si>
    <t>6</t>
  </si>
  <si>
    <t>+ Vertriebsgemeinkosten (VtGK)</t>
  </si>
  <si>
    <t>HK × Zuschlagssatz Vertrieb</t>
  </si>
  <si>
    <t>Σ SELBSTKOSTEN (SK) je Stück</t>
  </si>
  <si>
    <t>HK + VwGK + VtGK</t>
  </si>
  <si>
    <t>7</t>
  </si>
  <si>
    <t>Listenverkaufspreis je Stück</t>
  </si>
  <si>
    <t>Eingabewert / Marktpreis</t>
  </si>
  <si>
    <t>8</t>
  </si>
  <si>
    <t>Verkaufsmenge 2026 (Stück)</t>
  </si>
  <si>
    <t>Eingabewert / Plan</t>
  </si>
  <si>
    <t>9</t>
  </si>
  <si>
    <t>Deckungsbeitrag je Stück</t>
  </si>
  <si>
    <t>Listenpreis − Selbstkosten</t>
  </si>
  <si>
    <t>10</t>
  </si>
  <si>
    <t>Deckungsbeitragsmarge</t>
  </si>
  <si>
    <t>DB / Listenpreis</t>
  </si>
  <si>
    <t>11</t>
  </si>
  <si>
    <t>Umsatz 2026 (Gesamt)</t>
  </si>
  <si>
    <t>Listenpreis × Verkaufsmenge</t>
  </si>
  <si>
    <t>12</t>
  </si>
  <si>
    <t>Selbstkosten 2026 (Gesamt)</t>
  </si>
  <si>
    <t>SK je Stück × Verkaufsmenge</t>
  </si>
  <si>
    <t>13</t>
  </si>
  <si>
    <t>Deckungsbeitrag 2026 (Gesamt)</t>
  </si>
  <si>
    <t>Umsatz − Selbstkosten</t>
  </si>
  <si>
    <t>KOSTEN- UND LEISTUNGSRECHNUNG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</si>
</sst>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dd\.mm\.yyyy"/>
    <numFmt numFmtId="165" formatCode="#,##0&quot; €&quot;;[Red]\(#,##0&quot; €)&quot;;\-"/>
    <numFmt numFmtId="166" formatCode="\+#,##0&quot; €&quot;;[Red]\-#,##0&quot; €&quot;;&quot;0 €&quot;"/>
    <numFmt numFmtId="167" formatCode="0.0%"/>
    <numFmt numFmtId="168" formatCode="#,##0&quot; €&quot;;[Red]\(#,##0&quot; €)&quot;;&quot;0 €&quot;"/>
    <numFmt numFmtId="169" formatCode="\+0.0%;\-0.0%;0.0%"/>
    <numFmt numFmtId="170" formatCode="#,##0&quot; Stk.&quot;"/>
  </numFmts>
  <fonts count="33" x14ac:knownFonts="1">
    <font>
      <sz val="11"/>
      <color theme="1"/>
      <name val="Calibri"/>
      <family val="2"/>
      <charset val="1"/>
    </font>
    <font>
      <b/>
      <sz val="22"/>
      <color rgb="FFFFFFFF"/>
      <name val="Calibri"/>
      <charset val="1"/>
    </font>
    <font>
      <i/>
      <sz val="12"/>
      <color rgb="FFFFFFFF"/>
      <name val="Calibri"/>
      <charset val="1"/>
    </font>
    <font>
      <b/>
      <sz val="12"/>
      <color rgb="FFFFFFFF"/>
      <name val="Calibri"/>
      <charset val="1"/>
    </font>
    <font>
      <b/>
      <sz val="11"/>
      <color rgb="FF1F1F1F"/>
      <name val="Calibri"/>
      <charset val="1"/>
    </font>
    <font>
      <sz val="11"/>
      <color rgb="FF1F1F1F"/>
      <name val="Calibri"/>
      <charset val="1"/>
    </font>
    <font>
      <b/>
      <sz val="10"/>
      <color rgb="FF5A5A5A"/>
      <name val="Calibri"/>
      <charset val="1"/>
    </font>
    <font>
      <b/>
      <sz val="18"/>
      <color rgb="FF1F3A5F"/>
      <name val="Calibri"/>
      <charset val="1"/>
    </font>
    <font>
      <b/>
      <sz val="9"/>
      <color rgb="FF5A5A5A"/>
      <name val="Calibri"/>
      <charset val="1"/>
    </font>
    <font>
      <b/>
      <sz val="11"/>
      <color rgb="FF1F3A5F"/>
      <name val="Calibri"/>
      <charset val="1"/>
    </font>
    <font>
      <b/>
      <sz val="18"/>
      <color rgb="FFFFFFFF"/>
      <name val="Calibri"/>
      <charset val="1"/>
    </font>
    <font>
      <i/>
      <sz val="10"/>
      <color rgb="FF5A5A5A"/>
      <name val="Calibri"/>
      <charset val="1"/>
    </font>
    <font>
      <b/>
      <sz val="10"/>
      <color rgb="FFFFFFFF"/>
      <name val="Calibri"/>
      <charset val="1"/>
    </font>
    <font>
      <b/>
      <sz val="10"/>
      <color rgb="FF1F3A5F"/>
      <name val="Calibri"/>
      <charset val="1"/>
    </font>
    <font>
      <sz val="10"/>
      <color rgb="FF1F1F1F"/>
      <name val="Calibri"/>
      <charset val="1"/>
    </font>
    <font>
      <b/>
      <sz val="10"/>
      <name val="Calibri"/>
      <charset val="1"/>
    </font>
    <font>
      <sz val="10"/>
      <color rgb="FF5A5A5A"/>
      <name val="Calibri"/>
      <charset val="1"/>
    </font>
    <font>
      <b/>
      <sz val="10"/>
      <color rgb="FF1F1F1F"/>
      <name val="Calibri"/>
      <charset val="1"/>
    </font>
    <font>
      <sz val="10"/>
      <name val="Calibri"/>
      <charset val="1"/>
    </font>
    <font>
      <b/>
      <sz val="11"/>
      <color rgb="FFFFFFFF"/>
      <name val="Calibri"/>
      <charset val="1"/>
    </font>
    <font>
      <b/>
      <sz val="11"/>
      <color rgb="FFE65100"/>
      <name val="Calibri"/>
      <charset val="1"/>
    </font>
    <font>
      <b/>
      <sz val="11"/>
      <color rgb="FF0D47A1"/>
      <name val="Calibri"/>
      <charset val="1"/>
    </font>
    <font>
      <i/>
      <sz val="9"/>
      <color rgb="FF5A5A5A"/>
      <name val="Calibri"/>
      <charset val="1"/>
    </font>
    <font>
      <b/>
      <sz val="10"/>
      <color rgb="FF006400"/>
      <name val="Calibri"/>
      <charset val="1"/>
    </font>
    <font>
      <sz val="9"/>
      <color rgb="FF5A5A5A"/>
      <name val="Calibri"/>
      <charset val="1"/>
    </font>
    <font>
      <b/>
      <sz val="10"/>
      <color rgb="FF00695C"/>
      <name val="Calibri"/>
      <charset val="1"/>
    </font>
    <font>
      <b/>
      <sz val="10"/>
      <color rgb="FFE65100"/>
      <name val="Calibri"/>
      <charset val="1"/>
    </font>
    <font>
      <b/>
      <sz val="14"/>
      <color rgb="FFFFD700"/>
      <name val="Calibri"/>
      <charset val="1"/>
    </font>
    <font>
      <sz val="10"/>
      <color rgb="FF0D47A1"/>
      <name val="Calibri"/>
      <charset val="1"/>
    </font>
    <font>
      <b/>
      <sz val="11"/>
      <color rgb="FF827717"/>
      <name val="Calibri"/>
      <charset val="1"/>
    </font>
    <font>
      <b/>
      <sz val="10"/>
      <color rgb="FF827717"/>
      <name val="Calibri"/>
      <charset val="1"/>
    </font>
    <font>
      <b/>
      <sz val="11"/>
      <color rgb="FF1B5E20"/>
      <name val="Calibri"/>
      <charset val="1"/>
    </font>
    <font>
      <b/>
      <sz val="10"/>
      <color rgb="FF1B5E20"/>
      <name val="Calibri"/>
      <charset val="1"/>
    </font>
  </fonts>
  <fills count="14">
    <fill>
      <patternFill patternType="none"/>
    </fill>
    <fill>
      <patternFill patternType="gray125"/>
    </fill>
    <fill>
      <patternFill patternType="solid">
        <fgColor rgb="FF1F3A5F"/>
        <bgColor rgb="FF0D47A1"/>
      </patternFill>
    </fill>
    <fill>
      <patternFill patternType="solid">
        <fgColor rgb="FF2E5C8A"/>
        <bgColor rgb="FF0D47A1"/>
      </patternFill>
    </fill>
    <fill>
      <patternFill patternType="solid">
        <fgColor rgb="FFEEF3F9"/>
        <bgColor rgb="FFE3F2FD"/>
      </patternFill>
    </fill>
    <fill>
      <patternFill patternType="solid">
        <fgColor rgb="FFFFFFFF"/>
        <bgColor rgb="FFEEF3F9"/>
      </patternFill>
    </fill>
    <fill>
      <patternFill patternType="solid">
        <fgColor rgb="FFFFF3E0"/>
        <bgColor rgb="FFFFF9C4"/>
      </patternFill>
    </fill>
    <fill>
      <patternFill patternType="solid">
        <fgColor rgb="FFE3F2FD"/>
        <bgColor rgb="FFE0F2F1"/>
      </patternFill>
    </fill>
    <fill>
      <patternFill patternType="solid">
        <fgColor rgb="FF00695C"/>
        <bgColor rgb="FF008080"/>
      </patternFill>
    </fill>
    <fill>
      <patternFill patternType="solid">
        <fgColor rgb="FFE0F2F1"/>
        <bgColor rgb="FFE3F2FD"/>
      </patternFill>
    </fill>
    <fill>
      <patternFill patternType="solid">
        <fgColor rgb="FFCFD8DC"/>
        <bgColor rgb="FFC8E6C9"/>
      </patternFill>
    </fill>
    <fill>
      <patternFill patternType="solid">
        <fgColor rgb="FFFFF9C4"/>
        <bgColor rgb="FFFFF3E0"/>
      </patternFill>
    </fill>
    <fill>
      <patternFill patternType="solid">
        <fgColor rgb="FFE8F5E9"/>
        <bgColor rgb="FFE0F2F1"/>
      </patternFill>
    </fill>
    <fill>
      <patternFill patternType="solid">
        <fgColor rgb="FFC8E6C9"/>
        <bgColor rgb="FFCFD8DC"/>
      </patternFill>
    </fill>
  </fills>
  <borders count="3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</borders>
  <cellStyleXfs count="1">
    <xf numFmtId="0" fontId="0" fillId="0" borderId="0"/>
  </cellStyleXfs>
  <cellXfs count="96">
    <xf numFmtId="0" fontId="0" fillId="0" borderId="0" xfId="0"/>
    <xf numFmtId="0" fontId="21" fillId="7" borderId="2" xfId="0" applyFont="1" applyFill="1" applyBorder="1" applyAlignment="1">
      <alignment horizontal="left" vertical="center" indent="1"/>
    </xf>
    <xf numFmtId="0" fontId="20" fillId="6" borderId="2" xfId="0" applyFont="1" applyFill="1" applyBorder="1" applyAlignment="1">
      <alignment horizontal="left" vertical="center" indent="1"/>
    </xf>
    <xf numFmtId="0" fontId="19" fillId="2" borderId="2" xfId="0" applyFont="1" applyFill="1" applyBorder="1" applyAlignment="1">
      <alignment horizontal="right" vertical="center" indent="1"/>
    </xf>
    <xf numFmtId="0" fontId="11" fillId="4" borderId="2" xfId="0" applyFont="1" applyFill="1" applyBorder="1" applyAlignment="1">
      <alignment horizontal="left" vertical="center" wrapText="1" indent="1"/>
    </xf>
    <xf numFmtId="0" fontId="10" fillId="2" borderId="0" xfId="0" applyFont="1" applyFill="1" applyAlignment="1">
      <alignment horizontal="left" vertical="center" indent="1"/>
    </xf>
    <xf numFmtId="0" fontId="5" fillId="5" borderId="2" xfId="0" applyFont="1" applyFill="1" applyBorder="1" applyAlignment="1">
      <alignment horizontal="left" vertical="center" wrapText="1" indent="1"/>
    </xf>
    <xf numFmtId="168" fontId="7" fillId="5" borderId="2" xfId="0" applyNumberFormat="1" applyFont="1" applyFill="1" applyBorder="1" applyAlignment="1">
      <alignment horizontal="center" vertical="center"/>
    </xf>
    <xf numFmtId="167" fontId="7" fillId="5" borderId="2" xfId="0" applyNumberFormat="1" applyFont="1" applyFill="1" applyBorder="1" applyAlignment="1">
      <alignment horizontal="center" vertical="center"/>
    </xf>
    <xf numFmtId="166" fontId="7" fillId="5" borderId="2" xfId="0" applyNumberFormat="1" applyFont="1" applyFill="1" applyBorder="1" applyAlignment="1">
      <alignment horizontal="center" vertical="center"/>
    </xf>
    <xf numFmtId="165" fontId="7" fillId="5" borderId="2" xfId="0" applyNumberFormat="1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left" vertical="center" indent="1"/>
    </xf>
    <xf numFmtId="0" fontId="2" fillId="3" borderId="0" xfId="0" applyFont="1" applyFill="1" applyAlignment="1">
      <alignment horizontal="left" vertical="center" indent="1"/>
    </xf>
    <xf numFmtId="0" fontId="1" fillId="2" borderId="0" xfId="0" applyFont="1" applyFill="1" applyAlignment="1">
      <alignment horizontal="left" vertical="center" indent="1"/>
    </xf>
    <xf numFmtId="0" fontId="4" fillId="4" borderId="1" xfId="0" applyFont="1" applyFill="1" applyBorder="1" applyAlignment="1">
      <alignment horizontal="left" vertical="center" wrapText="1" indent="1"/>
    </xf>
    <xf numFmtId="0" fontId="5" fillId="5" borderId="1" xfId="0" applyFont="1" applyFill="1" applyBorder="1" applyAlignment="1">
      <alignment horizontal="left" vertical="center" wrapText="1" indent="1"/>
    </xf>
    <xf numFmtId="164" fontId="5" fillId="5" borderId="1" xfId="0" applyNumberFormat="1" applyFont="1" applyFill="1" applyBorder="1" applyAlignment="1">
      <alignment horizontal="left" vertical="center" wrapText="1" indent="1"/>
    </xf>
    <xf numFmtId="0" fontId="8" fillId="4" borderId="1" xfId="0" applyFont="1" applyFill="1" applyBorder="1" applyAlignment="1">
      <alignment horizontal="center" vertical="center"/>
    </xf>
    <xf numFmtId="0" fontId="0" fillId="5" borderId="0" xfId="0" applyFill="1"/>
    <xf numFmtId="10" fontId="7" fillId="5" borderId="1" xfId="0" applyNumberFormat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left" vertical="center" indent="1"/>
    </xf>
    <xf numFmtId="0" fontId="12" fillId="2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left" vertical="center" indent="1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65" fontId="14" fillId="0" borderId="1" xfId="0" applyNumberFormat="1" applyFont="1" applyBorder="1" applyAlignment="1">
      <alignment horizontal="right" vertical="center" indent="1"/>
    </xf>
    <xf numFmtId="165" fontId="17" fillId="0" borderId="1" xfId="0" applyNumberFormat="1" applyFont="1" applyBorder="1" applyAlignment="1">
      <alignment horizontal="right" vertical="center" indent="1"/>
    </xf>
    <xf numFmtId="169" fontId="15" fillId="0" borderId="1" xfId="0" applyNumberFormat="1" applyFont="1" applyBorder="1" applyAlignment="1">
      <alignment horizontal="center" vertical="center"/>
    </xf>
    <xf numFmtId="167" fontId="18" fillId="0" borderId="1" xfId="0" applyNumberFormat="1" applyFont="1" applyBorder="1" applyAlignment="1">
      <alignment horizontal="center" vertical="center"/>
    </xf>
    <xf numFmtId="165" fontId="19" fillId="2" borderId="1" xfId="0" applyNumberFormat="1" applyFont="1" applyFill="1" applyBorder="1" applyAlignment="1">
      <alignment horizontal="right" vertical="center" indent="1"/>
    </xf>
    <xf numFmtId="169" fontId="19" fillId="2" borderId="1" xfId="0" applyNumberFormat="1" applyFont="1" applyFill="1" applyBorder="1" applyAlignment="1">
      <alignment horizontal="center" vertical="center"/>
    </xf>
    <xf numFmtId="167" fontId="19" fillId="2" borderId="1" xfId="0" applyNumberFormat="1" applyFont="1" applyFill="1" applyBorder="1" applyAlignment="1">
      <alignment horizontal="center" vertical="center"/>
    </xf>
    <xf numFmtId="165" fontId="20" fillId="6" borderId="1" xfId="0" applyNumberFormat="1" applyFont="1" applyFill="1" applyBorder="1" applyAlignment="1">
      <alignment horizontal="right" vertical="center" indent="1"/>
    </xf>
    <xf numFmtId="169" fontId="20" fillId="6" borderId="1" xfId="0" applyNumberFormat="1" applyFont="1" applyFill="1" applyBorder="1" applyAlignment="1">
      <alignment horizontal="center" vertical="center"/>
    </xf>
    <xf numFmtId="167" fontId="20" fillId="6" borderId="1" xfId="0" applyNumberFormat="1" applyFont="1" applyFill="1" applyBorder="1" applyAlignment="1">
      <alignment horizontal="center" vertical="center"/>
    </xf>
    <xf numFmtId="165" fontId="21" fillId="7" borderId="1" xfId="0" applyNumberFormat="1" applyFont="1" applyFill="1" applyBorder="1" applyAlignment="1">
      <alignment horizontal="right" vertical="center" indent="1"/>
    </xf>
    <xf numFmtId="169" fontId="21" fillId="7" borderId="1" xfId="0" applyNumberFormat="1" applyFont="1" applyFill="1" applyBorder="1" applyAlignment="1">
      <alignment horizontal="center" vertical="center"/>
    </xf>
    <xf numFmtId="167" fontId="21" fillId="7" borderId="1" xfId="0" applyNumberFormat="1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12" fillId="8" borderId="1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left" vertical="center" indent="1"/>
    </xf>
    <xf numFmtId="165" fontId="23" fillId="0" borderId="1" xfId="0" applyNumberFormat="1" applyFont="1" applyBorder="1" applyAlignment="1">
      <alignment horizontal="right" vertical="center" indent="1"/>
    </xf>
    <xf numFmtId="165" fontId="24" fillId="0" borderId="1" xfId="0" applyNumberFormat="1" applyFont="1" applyBorder="1" applyAlignment="1">
      <alignment horizontal="right" vertical="center" indent="1"/>
    </xf>
    <xf numFmtId="165" fontId="19" fillId="3" borderId="1" xfId="0" applyNumberFormat="1" applyFont="1" applyFill="1" applyBorder="1" applyAlignment="1">
      <alignment horizontal="right" vertical="center" indent="1"/>
    </xf>
    <xf numFmtId="0" fontId="0" fillId="9" borderId="1" xfId="0" applyFill="1" applyBorder="1"/>
    <xf numFmtId="165" fontId="25" fillId="9" borderId="1" xfId="0" applyNumberFormat="1" applyFont="1" applyFill="1" applyBorder="1" applyAlignment="1">
      <alignment horizontal="right" vertical="center" indent="1"/>
    </xf>
    <xf numFmtId="0" fontId="0" fillId="6" borderId="1" xfId="0" applyFill="1" applyBorder="1"/>
    <xf numFmtId="0" fontId="26" fillId="6" borderId="1" xfId="0" applyFont="1" applyFill="1" applyBorder="1" applyAlignment="1">
      <alignment horizontal="left" vertical="center" indent="1"/>
    </xf>
    <xf numFmtId="0" fontId="22" fillId="6" borderId="1" xfId="0" applyFont="1" applyFill="1" applyBorder="1" applyAlignment="1">
      <alignment horizontal="left" vertical="center" indent="1"/>
    </xf>
    <xf numFmtId="165" fontId="26" fillId="6" borderId="1" xfId="0" applyNumberFormat="1" applyFont="1" applyFill="1" applyBorder="1" applyAlignment="1">
      <alignment horizontal="right" vertical="center" indent="1"/>
    </xf>
    <xf numFmtId="0" fontId="0" fillId="2" borderId="1" xfId="0" applyFill="1" applyBorder="1"/>
    <xf numFmtId="0" fontId="19" fillId="2" borderId="1" xfId="0" applyFont="1" applyFill="1" applyBorder="1" applyAlignment="1">
      <alignment horizontal="center" vertical="center"/>
    </xf>
    <xf numFmtId="10" fontId="27" fillId="2" borderId="1" xfId="0" applyNumberFormat="1" applyFont="1" applyFill="1" applyBorder="1" applyAlignment="1">
      <alignment horizontal="center" vertical="center"/>
    </xf>
    <xf numFmtId="0" fontId="0" fillId="4" borderId="1" xfId="0" applyFill="1" applyBorder="1"/>
    <xf numFmtId="0" fontId="22" fillId="4" borderId="1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/>
    </xf>
    <xf numFmtId="0" fontId="16" fillId="6" borderId="1" xfId="0" applyFont="1" applyFill="1" applyBorder="1" applyAlignment="1">
      <alignment horizontal="center" vertical="center"/>
    </xf>
    <xf numFmtId="0" fontId="20" fillId="6" borderId="1" xfId="0" applyFont="1" applyFill="1" applyBorder="1" applyAlignment="1">
      <alignment horizontal="left" vertical="center" wrapText="1" indent="1"/>
    </xf>
    <xf numFmtId="0" fontId="22" fillId="6" borderId="1" xfId="0" applyFont="1" applyFill="1" applyBorder="1" applyAlignment="1">
      <alignment horizontal="left" vertical="center" wrapText="1" indent="1"/>
    </xf>
    <xf numFmtId="0" fontId="16" fillId="7" borderId="1" xfId="0" applyFont="1" applyFill="1" applyBorder="1" applyAlignment="1">
      <alignment horizontal="center" vertical="center"/>
    </xf>
    <xf numFmtId="0" fontId="28" fillId="7" borderId="1" xfId="0" applyFont="1" applyFill="1" applyBorder="1" applyAlignment="1">
      <alignment horizontal="left" vertical="center" wrapText="1" indent="1"/>
    </xf>
    <xf numFmtId="0" fontId="22" fillId="7" borderId="1" xfId="0" applyFont="1" applyFill="1" applyBorder="1" applyAlignment="1">
      <alignment horizontal="left" vertical="center" wrapText="1" indent="1"/>
    </xf>
    <xf numFmtId="165" fontId="28" fillId="7" borderId="1" xfId="0" applyNumberFormat="1" applyFont="1" applyFill="1" applyBorder="1" applyAlignment="1">
      <alignment horizontal="right" vertical="center" indent="1"/>
    </xf>
    <xf numFmtId="0" fontId="0" fillId="10" borderId="1" xfId="0" applyFill="1" applyBorder="1"/>
    <xf numFmtId="0" fontId="9" fillId="10" borderId="1" xfId="0" applyFont="1" applyFill="1" applyBorder="1" applyAlignment="1">
      <alignment horizontal="left" vertical="center" wrapText="1" indent="1"/>
    </xf>
    <xf numFmtId="0" fontId="22" fillId="10" borderId="1" xfId="0" applyFont="1" applyFill="1" applyBorder="1" applyAlignment="1">
      <alignment horizontal="left" vertical="center" wrapText="1" indent="1"/>
    </xf>
    <xf numFmtId="165" fontId="9" fillId="10" borderId="1" xfId="0" applyNumberFormat="1" applyFont="1" applyFill="1" applyBorder="1" applyAlignment="1">
      <alignment horizontal="right" vertical="center" indent="1"/>
    </xf>
    <xf numFmtId="0" fontId="19" fillId="2" borderId="1" xfId="0" applyFont="1" applyFill="1" applyBorder="1" applyAlignment="1">
      <alignment horizontal="left" vertical="center" wrapText="1" indent="1"/>
    </xf>
    <xf numFmtId="0" fontId="22" fillId="2" borderId="1" xfId="0" applyFont="1" applyFill="1" applyBorder="1" applyAlignment="1">
      <alignment horizontal="left" vertical="center" wrapText="1" indent="1"/>
    </xf>
    <xf numFmtId="0" fontId="16" fillId="11" borderId="1" xfId="0" applyFont="1" applyFill="1" applyBorder="1" applyAlignment="1">
      <alignment horizontal="center" vertical="center"/>
    </xf>
    <xf numFmtId="0" fontId="29" fillId="11" borderId="1" xfId="0" applyFont="1" applyFill="1" applyBorder="1" applyAlignment="1">
      <alignment horizontal="left" vertical="center" wrapText="1" indent="1"/>
    </xf>
    <xf numFmtId="0" fontId="22" fillId="11" borderId="1" xfId="0" applyFont="1" applyFill="1" applyBorder="1" applyAlignment="1">
      <alignment horizontal="left" vertical="center" wrapText="1" indent="1"/>
    </xf>
    <xf numFmtId="165" fontId="30" fillId="11" borderId="1" xfId="0" applyNumberFormat="1" applyFont="1" applyFill="1" applyBorder="1" applyAlignment="1">
      <alignment horizontal="right" vertical="center" indent="1"/>
    </xf>
    <xf numFmtId="170" fontId="30" fillId="11" borderId="1" xfId="0" applyNumberFormat="1" applyFont="1" applyFill="1" applyBorder="1" applyAlignment="1">
      <alignment horizontal="right" vertical="center" indent="1"/>
    </xf>
    <xf numFmtId="170" fontId="29" fillId="11" borderId="1" xfId="0" applyNumberFormat="1" applyFont="1" applyFill="1" applyBorder="1" applyAlignment="1">
      <alignment horizontal="right" vertical="center" indent="1"/>
    </xf>
    <xf numFmtId="0" fontId="16" fillId="10" borderId="1" xfId="0" applyFont="1" applyFill="1" applyBorder="1" applyAlignment="1">
      <alignment horizontal="center" vertical="center"/>
    </xf>
    <xf numFmtId="0" fontId="16" fillId="12" borderId="1" xfId="0" applyFont="1" applyFill="1" applyBorder="1" applyAlignment="1">
      <alignment horizontal="center" vertical="center"/>
    </xf>
    <xf numFmtId="0" fontId="31" fillId="12" borderId="1" xfId="0" applyFont="1" applyFill="1" applyBorder="1" applyAlignment="1">
      <alignment horizontal="left" vertical="center" wrapText="1" indent="1"/>
    </xf>
    <xf numFmtId="0" fontId="22" fillId="12" borderId="1" xfId="0" applyFont="1" applyFill="1" applyBorder="1" applyAlignment="1">
      <alignment horizontal="left" vertical="center" wrapText="1" indent="1"/>
    </xf>
    <xf numFmtId="167" fontId="32" fillId="12" borderId="1" xfId="0" applyNumberFormat="1" applyFont="1" applyFill="1" applyBorder="1" applyAlignment="1">
      <alignment horizontal="right" vertical="center" indent="1"/>
    </xf>
    <xf numFmtId="165" fontId="29" fillId="11" borderId="1" xfId="0" applyNumberFormat="1" applyFont="1" applyFill="1" applyBorder="1" applyAlignment="1">
      <alignment horizontal="right" vertical="center" indent="1"/>
    </xf>
    <xf numFmtId="165" fontId="3" fillId="2" borderId="1" xfId="0" applyNumberFormat="1" applyFont="1" applyFill="1" applyBorder="1" applyAlignment="1">
      <alignment horizontal="right" vertical="center" indent="1"/>
    </xf>
    <xf numFmtId="0" fontId="16" fillId="2" borderId="1" xfId="0" applyFont="1" applyFill="1" applyBorder="1" applyAlignment="1">
      <alignment horizontal="center" vertical="center"/>
    </xf>
    <xf numFmtId="0" fontId="16" fillId="13" borderId="1" xfId="0" applyFont="1" applyFill="1" applyBorder="1" applyAlignment="1">
      <alignment horizontal="center" vertical="center"/>
    </xf>
    <xf numFmtId="0" fontId="31" fillId="13" borderId="1" xfId="0" applyFont="1" applyFill="1" applyBorder="1" applyAlignment="1">
      <alignment horizontal="left" vertical="center" wrapText="1" indent="1"/>
    </xf>
    <xf numFmtId="0" fontId="22" fillId="13" borderId="1" xfId="0" applyFont="1" applyFill="1" applyBorder="1" applyAlignment="1">
      <alignment horizontal="left" vertical="center" wrapText="1" indent="1"/>
    </xf>
    <xf numFmtId="165" fontId="31" fillId="13" borderId="1" xfId="0" applyNumberFormat="1" applyFont="1" applyFill="1" applyBorder="1" applyAlignment="1">
      <alignment horizontal="right" vertical="center" indent="1"/>
    </xf>
    <xf numFmtId="0" fontId="3" fillId="3" borderId="0" xfId="0" applyFont="1" applyFill="1" applyAlignment="1">
      <alignment horizontal="center" vertical="center"/>
    </xf>
    <xf numFmtId="0" fontId="19" fillId="8" borderId="2" xfId="0" applyFont="1" applyFill="1" applyBorder="1" applyAlignment="1">
      <alignment horizontal="center" vertical="center"/>
    </xf>
    <xf numFmtId="0" fontId="19" fillId="2" borderId="2" xfId="0" applyFont="1" applyFill="1" applyBorder="1" applyAlignment="1">
      <alignment horizontal="center" vertical="center"/>
    </xf>
    <xf numFmtId="0" fontId="19" fillId="3" borderId="2" xfId="0" applyFont="1" applyFill="1" applyBorder="1" applyAlignment="1">
      <alignment horizontal="right" vertical="center" indent="1"/>
    </xf>
    <xf numFmtId="0" fontId="25" fillId="9" borderId="2" xfId="0" applyFont="1" applyFill="1" applyBorder="1" applyAlignment="1">
      <alignment horizontal="right" vertical="center" indent="1"/>
    </xf>
    <xf numFmtId="0" fontId="22" fillId="4" borderId="2" xfId="0" applyFont="1" applyFill="1" applyBorder="1" applyAlignment="1">
      <alignment horizontal="right" vertical="center" wrapText="1" indent="1"/>
    </xf>
  </cellXfs>
  <cellStyles count="1">
    <cellStyle name="Standard" xfId="0" builtinId="0"/>
  </cellStyles>
  <dxfs count="12">
    <dxf>
      <font>
        <b/>
        <sz val="11"/>
        <color rgb="FFB71C1C"/>
        <name val="Calibri"/>
        <charset val="1"/>
      </font>
      <fill>
        <patternFill>
          <bgColor rgb="FFFFCDD2"/>
        </patternFill>
      </fill>
    </dxf>
    <dxf>
      <font>
        <b/>
        <sz val="11"/>
        <color rgb="FFB71C1C"/>
        <name val="Calibri"/>
        <charset val="1"/>
      </font>
      <fill>
        <patternFill>
          <bgColor rgb="FFFFCDD2"/>
        </patternFill>
      </fill>
    </dxf>
    <dxf>
      <font>
        <b/>
        <sz val="9"/>
        <color rgb="FFB71C1C"/>
        <name val="Calibri"/>
        <charset val="1"/>
      </font>
    </dxf>
    <dxf>
      <font>
        <b/>
        <sz val="9"/>
        <color rgb="FFB71C1C"/>
        <name val="Calibri"/>
        <charset val="1"/>
      </font>
    </dxf>
    <dxf>
      <font>
        <b/>
        <sz val="10"/>
        <color rgb="FF1B5E20"/>
        <name val="Calibri"/>
        <charset val="1"/>
      </font>
    </dxf>
    <dxf>
      <font>
        <b/>
        <sz val="10"/>
        <color rgb="FFB71C1C"/>
        <name val="Calibri"/>
        <charset val="1"/>
      </font>
    </dxf>
    <dxf>
      <font>
        <b/>
        <sz val="10"/>
        <color rgb="FF0D47A1"/>
        <name val="Calibri"/>
        <charset val="1"/>
      </font>
      <fill>
        <patternFill>
          <bgColor rgb="FFE3F2FD"/>
        </patternFill>
      </fill>
    </dxf>
    <dxf>
      <font>
        <b/>
        <sz val="10"/>
        <color rgb="FFE65100"/>
        <name val="Calibri"/>
        <charset val="1"/>
      </font>
      <fill>
        <patternFill>
          <bgColor rgb="FFFFF3E0"/>
        </patternFill>
      </fill>
    </dxf>
    <dxf>
      <font>
        <b/>
        <sz val="20"/>
        <color rgb="FFB71C1C"/>
        <name val="Calibri"/>
        <charset val="1"/>
      </font>
    </dxf>
    <dxf>
      <font>
        <b/>
        <sz val="20"/>
        <color rgb="FF1B5E20"/>
        <name val="Calibri"/>
        <charset val="1"/>
      </font>
    </dxf>
    <dxf>
      <font>
        <b/>
        <sz val="20"/>
        <color rgb="FF1B5E20"/>
        <name val="Calibri"/>
        <charset val="1"/>
      </font>
    </dxf>
    <dxf>
      <font>
        <b/>
        <sz val="20"/>
        <color rgb="FFB71C1C"/>
        <name val="Calibri"/>
        <charset val="1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6400"/>
      <rgbColor rgb="FF000080"/>
      <rgbColor rgb="FF827717"/>
      <rgbColor rgb="FF800080"/>
      <rgbColor rgb="FF00695C"/>
      <rgbColor rgb="FFBFBFBF"/>
      <rgbColor rgb="FF808080"/>
      <rgbColor rgb="FF9999FF"/>
      <rgbColor rgb="FF993366"/>
      <rgbColor rgb="FFFFF9C4"/>
      <rgbColor rgb="FFE0F2F1"/>
      <rgbColor rgb="FF660066"/>
      <rgbColor rgb="FFFF8080"/>
      <rgbColor rgb="FF2E5C8A"/>
      <rgbColor rgb="FFCFD8D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3F2FD"/>
      <rgbColor rgb="FFC8E6C9"/>
      <rgbColor rgb="FFFFF3E0"/>
      <rgbColor rgb="FFE8F5E9"/>
      <rgbColor rgb="FFEEF3F9"/>
      <rgbColor rgb="FFCC99FF"/>
      <rgbColor rgb="FFFFCDD2"/>
      <rgbColor rgb="FF3366FF"/>
      <rgbColor rgb="FF33CCCC"/>
      <rgbColor rgb="FF99CC00"/>
      <rgbColor rgb="FFFFD700"/>
      <rgbColor rgb="FFFF9900"/>
      <rgbColor rgb="FFE65100"/>
      <rgbColor rgb="FF5A5A5A"/>
      <rgbColor rgb="FF969696"/>
      <rgbColor rgb="FF1F3A5F"/>
      <rgbColor rgb="FF339966"/>
      <rgbColor rgb="FF003300"/>
      <rgbColor rgb="FF1B5E20"/>
      <rgbColor rgb="FFB71C1C"/>
      <rgbColor rgb="FF993366"/>
      <rgbColor rgb="FF0D47A1"/>
      <rgbColor rgb="FF1F1F1F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F31"/>
  <sheetViews>
    <sheetView showGridLines="0" tabSelected="1" zoomScaleNormal="100" workbookViewId="0">
      <selection activeCell="J15" sqref="J15"/>
    </sheetView>
  </sheetViews>
  <sheetFormatPr baseColWidth="10" defaultColWidth="8.7109375" defaultRowHeight="15" x14ac:dyDescent="0.25"/>
  <cols>
    <col min="1" max="1" width="2" customWidth="1"/>
    <col min="2" max="2" width="24" customWidth="1"/>
    <col min="3" max="3" width="28" customWidth="1"/>
    <col min="4" max="4" width="4" customWidth="1"/>
    <col min="5" max="5" width="24" customWidth="1"/>
    <col min="6" max="6" width="28" customWidth="1"/>
    <col min="7" max="7" width="2" customWidth="1"/>
  </cols>
  <sheetData>
    <row r="1" spans="2:6" ht="6" customHeight="1" x14ac:dyDescent="0.25"/>
    <row r="2" spans="2:6" ht="49.5" customHeight="1" x14ac:dyDescent="0.25">
      <c r="B2" s="14" t="s">
        <v>200</v>
      </c>
      <c r="C2" s="14"/>
      <c r="D2" s="14"/>
      <c r="E2" s="14"/>
      <c r="F2" s="14"/>
    </row>
    <row r="3" spans="2:6" ht="24" customHeight="1" x14ac:dyDescent="0.25">
      <c r="B3" s="13" t="s">
        <v>0</v>
      </c>
      <c r="C3" s="13"/>
      <c r="D3" s="13"/>
      <c r="E3" s="13"/>
      <c r="F3" s="13"/>
    </row>
    <row r="4" spans="2:6" ht="7.5" customHeight="1" x14ac:dyDescent="0.25"/>
    <row r="5" spans="2:6" ht="21.75" customHeight="1" x14ac:dyDescent="0.25">
      <c r="B5" s="12" t="s">
        <v>1</v>
      </c>
      <c r="C5" s="12"/>
      <c r="D5" s="12"/>
      <c r="E5" s="12"/>
      <c r="F5" s="12"/>
    </row>
    <row r="6" spans="2:6" ht="30" customHeight="1" x14ac:dyDescent="0.25">
      <c r="B6" s="15" t="s">
        <v>2</v>
      </c>
      <c r="C6" s="16" t="s">
        <v>3</v>
      </c>
      <c r="E6" s="15" t="s">
        <v>4</v>
      </c>
      <c r="F6" s="16" t="s">
        <v>5</v>
      </c>
    </row>
    <row r="7" spans="2:6" ht="27.75" customHeight="1" x14ac:dyDescent="0.25">
      <c r="B7" s="15" t="s">
        <v>6</v>
      </c>
      <c r="C7" s="16" t="s">
        <v>7</v>
      </c>
      <c r="E7" s="15" t="s">
        <v>8</v>
      </c>
      <c r="F7" s="16" t="s">
        <v>9</v>
      </c>
    </row>
    <row r="8" spans="2:6" ht="27.75" customHeight="1" x14ac:dyDescent="0.25">
      <c r="B8" s="15" t="s">
        <v>10</v>
      </c>
      <c r="C8" s="16" t="s">
        <v>11</v>
      </c>
      <c r="E8" s="15" t="s">
        <v>12</v>
      </c>
      <c r="F8" s="16" t="s">
        <v>13</v>
      </c>
    </row>
    <row r="9" spans="2:6" ht="27.75" customHeight="1" x14ac:dyDescent="0.25">
      <c r="B9" s="15" t="s">
        <v>14</v>
      </c>
      <c r="C9" s="16" t="s">
        <v>15</v>
      </c>
      <c r="E9" s="15" t="s">
        <v>16</v>
      </c>
      <c r="F9" s="16" t="s">
        <v>17</v>
      </c>
    </row>
    <row r="10" spans="2:6" ht="27.75" customHeight="1" x14ac:dyDescent="0.25">
      <c r="B10" s="15" t="s">
        <v>18</v>
      </c>
      <c r="C10" s="17">
        <v>46387</v>
      </c>
      <c r="E10" s="15" t="s">
        <v>19</v>
      </c>
      <c r="F10" s="16" t="s">
        <v>20</v>
      </c>
    </row>
    <row r="11" spans="2:6" ht="9.75" customHeight="1" x14ac:dyDescent="0.25"/>
    <row r="12" spans="2:6" ht="21.75" customHeight="1" x14ac:dyDescent="0.25">
      <c r="B12" s="12" t="s">
        <v>21</v>
      </c>
      <c r="C12" s="12"/>
      <c r="D12" s="12"/>
      <c r="E12" s="12"/>
      <c r="F12" s="12"/>
    </row>
    <row r="13" spans="2:6" ht="6" customHeight="1" x14ac:dyDescent="0.25"/>
    <row r="14" spans="2:6" ht="18" customHeight="1" x14ac:dyDescent="0.25">
      <c r="B14" s="11" t="s">
        <v>22</v>
      </c>
      <c r="C14" s="11"/>
      <c r="E14" s="11" t="s">
        <v>23</v>
      </c>
      <c r="F14" s="11"/>
    </row>
    <row r="15" spans="2:6" ht="42" customHeight="1" x14ac:dyDescent="0.25">
      <c r="B15" s="10">
        <f>Kostenartenrechnung!G27</f>
        <v>1386000</v>
      </c>
      <c r="C15" s="10"/>
      <c r="E15" s="9">
        <f>Kostenartenrechnung!H27</f>
        <v>35500</v>
      </c>
      <c r="F15" s="9"/>
    </row>
    <row r="16" spans="2:6" ht="7.5" customHeight="1" x14ac:dyDescent="0.25"/>
    <row r="17" spans="2:6" ht="18" customHeight="1" x14ac:dyDescent="0.25">
      <c r="B17" s="11" t="s">
        <v>24</v>
      </c>
      <c r="C17" s="11"/>
      <c r="E17" s="11" t="s">
        <v>25</v>
      </c>
      <c r="F17" s="11"/>
    </row>
    <row r="18" spans="2:6" ht="42" customHeight="1" x14ac:dyDescent="0.25">
      <c r="B18" s="8">
        <f>IFERROR(Kostenartenrechnung!G29/Kostenartenrechnung!G27,0)</f>
        <v>0.52294372294372293</v>
      </c>
      <c r="C18" s="8"/>
      <c r="E18" s="8">
        <f>IFERROR(Kostenartenrechnung!G30/Kostenartenrechnung!G27,0)</f>
        <v>0.47705627705627707</v>
      </c>
      <c r="F18" s="8"/>
    </row>
    <row r="19" spans="2:6" ht="7.5" customHeight="1" x14ac:dyDescent="0.25"/>
    <row r="20" spans="2:6" ht="18" customHeight="1" x14ac:dyDescent="0.25">
      <c r="B20" s="11" t="s">
        <v>26</v>
      </c>
      <c r="C20" s="11"/>
      <c r="E20" s="11" t="s">
        <v>27</v>
      </c>
      <c r="F20" s="11"/>
    </row>
    <row r="21" spans="2:6" ht="42" customHeight="1" x14ac:dyDescent="0.25">
      <c r="B21" s="10">
        <f>Kostenträgerrechnung!I23</f>
        <v>2325500</v>
      </c>
      <c r="C21" s="10"/>
      <c r="E21" s="7">
        <f>Kostenträgerrechnung!I25</f>
        <v>408977.53172285936</v>
      </c>
      <c r="F21" s="7"/>
    </row>
    <row r="22" spans="2:6" ht="9.75" customHeight="1" x14ac:dyDescent="0.25"/>
    <row r="23" spans="2:6" ht="21.75" customHeight="1" x14ac:dyDescent="0.25">
      <c r="B23" s="12" t="s">
        <v>28</v>
      </c>
      <c r="C23" s="12"/>
      <c r="D23" s="12"/>
      <c r="E23" s="12"/>
      <c r="F23" s="12"/>
    </row>
    <row r="24" spans="2:6" ht="18" customHeight="1" x14ac:dyDescent="0.25">
      <c r="B24" s="18" t="s">
        <v>29</v>
      </c>
      <c r="C24" s="18" t="s">
        <v>30</v>
      </c>
      <c r="D24" s="19"/>
      <c r="E24" s="18" t="s">
        <v>31</v>
      </c>
      <c r="F24" s="18" t="s">
        <v>32</v>
      </c>
    </row>
    <row r="25" spans="2:6" ht="37.5" customHeight="1" x14ac:dyDescent="0.25">
      <c r="B25" s="20">
        <f>BAB!H38</f>
        <v>0.15156374501992032</v>
      </c>
      <c r="C25" s="20">
        <f>BAB!I38</f>
        <v>1.206979353680431</v>
      </c>
      <c r="D25" s="19"/>
      <c r="E25" s="20">
        <f>BAB!J38</f>
        <v>0.15577397644419519</v>
      </c>
      <c r="F25" s="20">
        <f>BAB!K38</f>
        <v>0.13979528883903533</v>
      </c>
    </row>
    <row r="26" spans="2:6" ht="9.75" customHeight="1" x14ac:dyDescent="0.25"/>
    <row r="27" spans="2:6" ht="21.75" customHeight="1" x14ac:dyDescent="0.25">
      <c r="B27" s="12" t="s">
        <v>33</v>
      </c>
      <c r="C27" s="12"/>
      <c r="D27" s="12"/>
      <c r="E27" s="12"/>
      <c r="F27" s="12"/>
    </row>
    <row r="28" spans="2:6" ht="21.75" customHeight="1" x14ac:dyDescent="0.25">
      <c r="B28" s="21" t="s">
        <v>34</v>
      </c>
      <c r="C28" s="22" t="s">
        <v>35</v>
      </c>
      <c r="D28" s="6" t="s">
        <v>36</v>
      </c>
      <c r="E28" s="6"/>
      <c r="F28" s="6"/>
    </row>
    <row r="29" spans="2:6" ht="21.75" customHeight="1" x14ac:dyDescent="0.25">
      <c r="B29" s="21" t="s">
        <v>37</v>
      </c>
      <c r="C29" s="22" t="s">
        <v>38</v>
      </c>
      <c r="D29" s="6" t="s">
        <v>39</v>
      </c>
      <c r="E29" s="6"/>
      <c r="F29" s="6"/>
    </row>
    <row r="30" spans="2:6" ht="21.75" customHeight="1" x14ac:dyDescent="0.25">
      <c r="B30" s="21" t="s">
        <v>40</v>
      </c>
      <c r="C30" s="22" t="s">
        <v>41</v>
      </c>
      <c r="D30" s="6" t="s">
        <v>42</v>
      </c>
      <c r="E30" s="6"/>
      <c r="F30" s="6"/>
    </row>
    <row r="31" spans="2:6" ht="21.75" customHeight="1" x14ac:dyDescent="0.25">
      <c r="B31" s="21" t="s">
        <v>43</v>
      </c>
      <c r="C31" s="22" t="s">
        <v>44</v>
      </c>
      <c r="D31" s="6" t="s">
        <v>45</v>
      </c>
      <c r="E31" s="6"/>
      <c r="F31" s="6"/>
    </row>
  </sheetData>
  <mergeCells count="22">
    <mergeCell ref="B27:F27"/>
    <mergeCell ref="D28:F28"/>
    <mergeCell ref="D29:F29"/>
    <mergeCell ref="D30:F30"/>
    <mergeCell ref="D31:F31"/>
    <mergeCell ref="B20:C20"/>
    <mergeCell ref="E20:F20"/>
    <mergeCell ref="B21:C21"/>
    <mergeCell ref="E21:F21"/>
    <mergeCell ref="B23:F23"/>
    <mergeCell ref="B15:C15"/>
    <mergeCell ref="E15:F15"/>
    <mergeCell ref="B17:C17"/>
    <mergeCell ref="E17:F17"/>
    <mergeCell ref="B18:C18"/>
    <mergeCell ref="E18:F18"/>
    <mergeCell ref="B2:F2"/>
    <mergeCell ref="B3:F3"/>
    <mergeCell ref="B5:F5"/>
    <mergeCell ref="B12:F12"/>
    <mergeCell ref="B14:C14"/>
    <mergeCell ref="E14:F14"/>
  </mergeCells>
  <conditionalFormatting sqref="E15">
    <cfRule type="cellIs" dxfId="11" priority="2" operator="greaterThan">
      <formula>0</formula>
    </cfRule>
    <cfRule type="cellIs" dxfId="10" priority="3" operator="lessThan">
      <formula>0</formula>
    </cfRule>
  </conditionalFormatting>
  <conditionalFormatting sqref="E21">
    <cfRule type="cellIs" dxfId="9" priority="4" operator="greaterThan">
      <formula>0</formula>
    </cfRule>
    <cfRule type="cellIs" dxfId="8" priority="5" operator="lessThan">
      <formula>0</formula>
    </cfRule>
  </conditionalFormatting>
  <printOptions horizontalCentered="1"/>
  <pageMargins left="0.5" right="0.5" top="0.6" bottom="0.5" header="0.511811023622047" footer="0.511811023622047"/>
  <pageSetup paperSize="9" fitToHeight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J30"/>
  <sheetViews>
    <sheetView showGridLines="0" zoomScaleNormal="100" workbookViewId="0">
      <pane xSplit="10" ySplit="6" topLeftCell="K7" activePane="bottomRight" state="frozen"/>
      <selection pane="topRight" activeCell="K1" sqref="K1"/>
      <selection pane="bottomLeft" activeCell="A7" sqref="A7"/>
      <selection pane="bottomRight"/>
    </sheetView>
  </sheetViews>
  <sheetFormatPr baseColWidth="10" defaultColWidth="8.7109375" defaultRowHeight="15" x14ac:dyDescent="0.25"/>
  <cols>
    <col min="1" max="1" width="2" customWidth="1"/>
    <col min="2" max="2" width="5" customWidth="1"/>
    <col min="3" max="3" width="36" customWidth="1"/>
    <col min="4" max="4" width="16" customWidth="1"/>
    <col min="5" max="5" width="9" customWidth="1"/>
    <col min="6" max="8" width="14" customWidth="1"/>
    <col min="9" max="10" width="12" customWidth="1"/>
    <col min="11" max="11" width="2" customWidth="1"/>
  </cols>
  <sheetData>
    <row r="2" spans="2:10" ht="37.5" customHeight="1" x14ac:dyDescent="0.25">
      <c r="B2" s="5" t="s">
        <v>46</v>
      </c>
      <c r="C2" s="5"/>
      <c r="D2" s="5"/>
      <c r="E2" s="5"/>
      <c r="F2" s="5"/>
      <c r="G2" s="5"/>
      <c r="H2" s="5"/>
      <c r="I2" s="5"/>
      <c r="J2" s="5"/>
    </row>
    <row r="3" spans="2:10" ht="7.5" customHeight="1" x14ac:dyDescent="0.25"/>
    <row r="4" spans="2:10" ht="27.75" customHeight="1" x14ac:dyDescent="0.25">
      <c r="B4" s="4" t="s">
        <v>47</v>
      </c>
      <c r="C4" s="4"/>
      <c r="D4" s="4"/>
      <c r="E4" s="4"/>
      <c r="F4" s="4"/>
      <c r="G4" s="4"/>
      <c r="H4" s="4"/>
      <c r="I4" s="4"/>
      <c r="J4" s="4"/>
    </row>
    <row r="5" spans="2:10" ht="7.5" customHeight="1" x14ac:dyDescent="0.25"/>
    <row r="6" spans="2:10" ht="36" customHeight="1" x14ac:dyDescent="0.25">
      <c r="B6" s="23" t="s">
        <v>48</v>
      </c>
      <c r="C6" s="23" t="s">
        <v>49</v>
      </c>
      <c r="D6" s="23" t="s">
        <v>50</v>
      </c>
      <c r="E6" s="23" t="s">
        <v>51</v>
      </c>
      <c r="F6" s="23" t="s">
        <v>52</v>
      </c>
      <c r="G6" s="23" t="s">
        <v>53</v>
      </c>
      <c r="H6" s="23" t="s">
        <v>54</v>
      </c>
      <c r="I6" s="23" t="s">
        <v>55</v>
      </c>
      <c r="J6" s="23" t="s">
        <v>56</v>
      </c>
    </row>
    <row r="7" spans="2:10" ht="21.75" customHeight="1" x14ac:dyDescent="0.25">
      <c r="B7" s="24">
        <v>1</v>
      </c>
      <c r="C7" s="25" t="s">
        <v>57</v>
      </c>
      <c r="D7" s="26" t="s">
        <v>58</v>
      </c>
      <c r="E7" s="27" t="s">
        <v>59</v>
      </c>
      <c r="F7" s="28">
        <v>490000</v>
      </c>
      <c r="G7" s="28">
        <v>502000</v>
      </c>
      <c r="H7" s="29">
        <f t="shared" ref="H7:H26" si="0">G7-F7</f>
        <v>12000</v>
      </c>
      <c r="I7" s="30">
        <f t="shared" ref="I7:I27" si="1">IFERROR((G7-F7)/F7,0)</f>
        <v>2.4489795918367346E-2</v>
      </c>
      <c r="J7" s="31">
        <f t="shared" ref="J7:J26" si="2">IFERROR(G7/$G$27,0)</f>
        <v>0.36219336219336218</v>
      </c>
    </row>
    <row r="8" spans="2:10" ht="21.75" customHeight="1" x14ac:dyDescent="0.25">
      <c r="B8" s="24">
        <v>2</v>
      </c>
      <c r="C8" s="25" t="s">
        <v>60</v>
      </c>
      <c r="D8" s="26" t="s">
        <v>61</v>
      </c>
      <c r="E8" s="27" t="s">
        <v>62</v>
      </c>
      <c r="F8" s="28">
        <v>24000</v>
      </c>
      <c r="G8" s="28">
        <v>26500</v>
      </c>
      <c r="H8" s="29">
        <f t="shared" si="0"/>
        <v>2500</v>
      </c>
      <c r="I8" s="30">
        <f t="shared" si="1"/>
        <v>0.10416666666666667</v>
      </c>
      <c r="J8" s="31">
        <f t="shared" si="2"/>
        <v>1.911976911976912E-2</v>
      </c>
    </row>
    <row r="9" spans="2:10" ht="21.75" customHeight="1" x14ac:dyDescent="0.25">
      <c r="B9" s="24">
        <v>3</v>
      </c>
      <c r="C9" s="25" t="s">
        <v>63</v>
      </c>
      <c r="D9" s="26" t="s">
        <v>61</v>
      </c>
      <c r="E9" s="27" t="s">
        <v>64</v>
      </c>
      <c r="F9" s="28">
        <v>18000</v>
      </c>
      <c r="G9" s="28">
        <v>19200</v>
      </c>
      <c r="H9" s="29">
        <f t="shared" si="0"/>
        <v>1200</v>
      </c>
      <c r="I9" s="30">
        <f t="shared" si="1"/>
        <v>6.6666666666666666E-2</v>
      </c>
      <c r="J9" s="31">
        <f t="shared" si="2"/>
        <v>1.3852813852813853E-2</v>
      </c>
    </row>
    <row r="10" spans="2:10" ht="21.75" customHeight="1" x14ac:dyDescent="0.25">
      <c r="B10" s="24">
        <v>4</v>
      </c>
      <c r="C10" s="25" t="s">
        <v>65</v>
      </c>
      <c r="D10" s="26" t="s">
        <v>61</v>
      </c>
      <c r="E10" s="27" t="s">
        <v>66</v>
      </c>
      <c r="F10" s="28">
        <v>32000</v>
      </c>
      <c r="G10" s="28">
        <v>28400</v>
      </c>
      <c r="H10" s="29">
        <f t="shared" si="0"/>
        <v>-3600</v>
      </c>
      <c r="I10" s="30">
        <f t="shared" si="1"/>
        <v>-0.1125</v>
      </c>
      <c r="J10" s="31">
        <f t="shared" si="2"/>
        <v>2.049062049062049E-2</v>
      </c>
    </row>
    <row r="11" spans="2:10" ht="21.75" customHeight="1" x14ac:dyDescent="0.25">
      <c r="B11" s="24">
        <v>5</v>
      </c>
      <c r="C11" s="25" t="s">
        <v>67</v>
      </c>
      <c r="D11" s="26" t="s">
        <v>58</v>
      </c>
      <c r="E11" s="27" t="s">
        <v>68</v>
      </c>
      <c r="F11" s="28">
        <v>215000</v>
      </c>
      <c r="G11" s="28">
        <v>222800</v>
      </c>
      <c r="H11" s="29">
        <f t="shared" si="0"/>
        <v>7800</v>
      </c>
      <c r="I11" s="30">
        <f t="shared" si="1"/>
        <v>3.6279069767441857E-2</v>
      </c>
      <c r="J11" s="31">
        <f t="shared" si="2"/>
        <v>0.16075036075036075</v>
      </c>
    </row>
    <row r="12" spans="2:10" ht="21.75" customHeight="1" x14ac:dyDescent="0.25">
      <c r="B12" s="24">
        <v>6</v>
      </c>
      <c r="C12" s="25" t="s">
        <v>69</v>
      </c>
      <c r="D12" s="26" t="s">
        <v>61</v>
      </c>
      <c r="E12" s="27" t="s">
        <v>70</v>
      </c>
      <c r="F12" s="28">
        <v>45000</v>
      </c>
      <c r="G12" s="28">
        <v>47500</v>
      </c>
      <c r="H12" s="29">
        <f t="shared" si="0"/>
        <v>2500</v>
      </c>
      <c r="I12" s="30">
        <f t="shared" si="1"/>
        <v>5.5555555555555552E-2</v>
      </c>
      <c r="J12" s="31">
        <f t="shared" si="2"/>
        <v>3.4271284271284272E-2</v>
      </c>
    </row>
    <row r="13" spans="2:10" ht="21.75" customHeight="1" x14ac:dyDescent="0.25">
      <c r="B13" s="24">
        <v>7</v>
      </c>
      <c r="C13" s="25" t="s">
        <v>71</v>
      </c>
      <c r="D13" s="26" t="s">
        <v>61</v>
      </c>
      <c r="E13" s="27" t="s">
        <v>72</v>
      </c>
      <c r="F13" s="28">
        <v>95000</v>
      </c>
      <c r="G13" s="28">
        <v>96200</v>
      </c>
      <c r="H13" s="29">
        <f t="shared" si="0"/>
        <v>1200</v>
      </c>
      <c r="I13" s="30">
        <f t="shared" si="1"/>
        <v>1.2631578947368421E-2</v>
      </c>
      <c r="J13" s="31">
        <f t="shared" si="2"/>
        <v>6.9408369408369405E-2</v>
      </c>
    </row>
    <row r="14" spans="2:10" ht="21.75" customHeight="1" x14ac:dyDescent="0.25">
      <c r="B14" s="24">
        <v>8</v>
      </c>
      <c r="C14" s="25" t="s">
        <v>73</v>
      </c>
      <c r="D14" s="26" t="s">
        <v>61</v>
      </c>
      <c r="E14" s="27" t="s">
        <v>74</v>
      </c>
      <c r="F14" s="28">
        <v>72000</v>
      </c>
      <c r="G14" s="28">
        <v>74500</v>
      </c>
      <c r="H14" s="29">
        <f t="shared" si="0"/>
        <v>2500</v>
      </c>
      <c r="I14" s="30">
        <f t="shared" si="1"/>
        <v>3.4722222222222224E-2</v>
      </c>
      <c r="J14" s="31">
        <f t="shared" si="2"/>
        <v>5.3751803751803752E-2</v>
      </c>
    </row>
    <row r="15" spans="2:10" ht="21.75" customHeight="1" x14ac:dyDescent="0.25">
      <c r="B15" s="24">
        <v>9</v>
      </c>
      <c r="C15" s="25" t="s">
        <v>75</v>
      </c>
      <c r="D15" s="26" t="s">
        <v>61</v>
      </c>
      <c r="E15" s="27" t="s">
        <v>76</v>
      </c>
      <c r="F15" s="28">
        <v>88000</v>
      </c>
      <c r="G15" s="28">
        <v>90100</v>
      </c>
      <c r="H15" s="29">
        <f t="shared" si="0"/>
        <v>2100</v>
      </c>
      <c r="I15" s="30">
        <f t="shared" si="1"/>
        <v>2.3863636363636365E-2</v>
      </c>
      <c r="J15" s="31">
        <f t="shared" si="2"/>
        <v>6.5007215007215013E-2</v>
      </c>
    </row>
    <row r="16" spans="2:10" ht="21.75" customHeight="1" x14ac:dyDescent="0.25">
      <c r="B16" s="24">
        <v>10</v>
      </c>
      <c r="C16" s="25" t="s">
        <v>77</v>
      </c>
      <c r="D16" s="26" t="s">
        <v>61</v>
      </c>
      <c r="E16" s="27" t="s">
        <v>78</v>
      </c>
      <c r="F16" s="28">
        <v>60000</v>
      </c>
      <c r="G16" s="28">
        <v>60000</v>
      </c>
      <c r="H16" s="29">
        <f t="shared" si="0"/>
        <v>0</v>
      </c>
      <c r="I16" s="30">
        <f t="shared" si="1"/>
        <v>0</v>
      </c>
      <c r="J16" s="31">
        <f t="shared" si="2"/>
        <v>4.3290043290043288E-2</v>
      </c>
    </row>
    <row r="17" spans="2:10" ht="21.75" customHeight="1" x14ac:dyDescent="0.25">
      <c r="B17" s="24">
        <v>11</v>
      </c>
      <c r="C17" s="25" t="s">
        <v>79</v>
      </c>
      <c r="D17" s="26" t="s">
        <v>61</v>
      </c>
      <c r="E17" s="27" t="s">
        <v>80</v>
      </c>
      <c r="F17" s="28">
        <v>42000</v>
      </c>
      <c r="G17" s="28">
        <v>48700</v>
      </c>
      <c r="H17" s="29">
        <f t="shared" si="0"/>
        <v>6700</v>
      </c>
      <c r="I17" s="30">
        <f t="shared" si="1"/>
        <v>0.15952380952380951</v>
      </c>
      <c r="J17" s="31">
        <f t="shared" si="2"/>
        <v>3.513708513708514E-2</v>
      </c>
    </row>
    <row r="18" spans="2:10" ht="21.75" customHeight="1" x14ac:dyDescent="0.25">
      <c r="B18" s="24">
        <v>12</v>
      </c>
      <c r="C18" s="25" t="s">
        <v>81</v>
      </c>
      <c r="D18" s="26" t="s">
        <v>61</v>
      </c>
      <c r="E18" s="27" t="s">
        <v>82</v>
      </c>
      <c r="F18" s="28">
        <v>6000</v>
      </c>
      <c r="G18" s="28">
        <v>5800</v>
      </c>
      <c r="H18" s="29">
        <f t="shared" si="0"/>
        <v>-200</v>
      </c>
      <c r="I18" s="30">
        <f t="shared" si="1"/>
        <v>-3.3333333333333333E-2</v>
      </c>
      <c r="J18" s="31">
        <f t="shared" si="2"/>
        <v>4.1847041847041851E-3</v>
      </c>
    </row>
    <row r="19" spans="2:10" ht="21.75" customHeight="1" x14ac:dyDescent="0.25">
      <c r="B19" s="24">
        <v>13</v>
      </c>
      <c r="C19" s="25" t="s">
        <v>83</v>
      </c>
      <c r="D19" s="26" t="s">
        <v>61</v>
      </c>
      <c r="E19" s="27" t="s">
        <v>84</v>
      </c>
      <c r="F19" s="28">
        <v>18000</v>
      </c>
      <c r="G19" s="28">
        <v>22300</v>
      </c>
      <c r="H19" s="29">
        <f t="shared" si="0"/>
        <v>4300</v>
      </c>
      <c r="I19" s="30">
        <f t="shared" si="1"/>
        <v>0.2388888888888889</v>
      </c>
      <c r="J19" s="31">
        <f t="shared" si="2"/>
        <v>1.6089466089466091E-2</v>
      </c>
    </row>
    <row r="20" spans="2:10" ht="21.75" customHeight="1" x14ac:dyDescent="0.25">
      <c r="B20" s="24">
        <v>14</v>
      </c>
      <c r="C20" s="25" t="s">
        <v>85</v>
      </c>
      <c r="D20" s="26" t="s">
        <v>61</v>
      </c>
      <c r="E20" s="27" t="s">
        <v>86</v>
      </c>
      <c r="F20" s="28">
        <v>54000</v>
      </c>
      <c r="G20" s="28">
        <v>54000</v>
      </c>
      <c r="H20" s="29">
        <f t="shared" si="0"/>
        <v>0</v>
      </c>
      <c r="I20" s="30">
        <f t="shared" si="1"/>
        <v>0</v>
      </c>
      <c r="J20" s="31">
        <f t="shared" si="2"/>
        <v>3.896103896103896E-2</v>
      </c>
    </row>
    <row r="21" spans="2:10" ht="21.75" customHeight="1" x14ac:dyDescent="0.25">
      <c r="B21" s="24">
        <v>15</v>
      </c>
      <c r="C21" s="25" t="s">
        <v>87</v>
      </c>
      <c r="D21" s="26" t="s">
        <v>61</v>
      </c>
      <c r="E21" s="27" t="s">
        <v>88</v>
      </c>
      <c r="F21" s="28">
        <v>14000</v>
      </c>
      <c r="G21" s="28">
        <v>14600</v>
      </c>
      <c r="H21" s="29">
        <f t="shared" si="0"/>
        <v>600</v>
      </c>
      <c r="I21" s="30">
        <f t="shared" si="1"/>
        <v>4.2857142857142858E-2</v>
      </c>
      <c r="J21" s="31">
        <f t="shared" si="2"/>
        <v>1.0533910533910534E-2</v>
      </c>
    </row>
    <row r="22" spans="2:10" ht="21.75" customHeight="1" x14ac:dyDescent="0.25">
      <c r="B22" s="24">
        <v>16</v>
      </c>
      <c r="C22" s="25" t="s">
        <v>89</v>
      </c>
      <c r="D22" s="26" t="s">
        <v>61</v>
      </c>
      <c r="E22" s="27" t="s">
        <v>90</v>
      </c>
      <c r="F22" s="28">
        <v>28000</v>
      </c>
      <c r="G22" s="28">
        <v>26200</v>
      </c>
      <c r="H22" s="29">
        <f t="shared" si="0"/>
        <v>-1800</v>
      </c>
      <c r="I22" s="30">
        <f t="shared" si="1"/>
        <v>-6.4285714285714279E-2</v>
      </c>
      <c r="J22" s="31">
        <f t="shared" si="2"/>
        <v>1.8903318903318905E-2</v>
      </c>
    </row>
    <row r="23" spans="2:10" ht="21.75" customHeight="1" x14ac:dyDescent="0.25">
      <c r="B23" s="24">
        <v>17</v>
      </c>
      <c r="C23" s="25" t="s">
        <v>91</v>
      </c>
      <c r="D23" s="26" t="s">
        <v>61</v>
      </c>
      <c r="E23" s="27" t="s">
        <v>92</v>
      </c>
      <c r="F23" s="28">
        <v>12000</v>
      </c>
      <c r="G23" s="28">
        <v>9800</v>
      </c>
      <c r="H23" s="29">
        <f t="shared" si="0"/>
        <v>-2200</v>
      </c>
      <c r="I23" s="30">
        <f t="shared" si="1"/>
        <v>-0.18333333333333332</v>
      </c>
      <c r="J23" s="31">
        <f t="shared" si="2"/>
        <v>7.0707070707070711E-3</v>
      </c>
    </row>
    <row r="24" spans="2:10" ht="21.75" customHeight="1" x14ac:dyDescent="0.25">
      <c r="B24" s="24">
        <v>18</v>
      </c>
      <c r="C24" s="25" t="s">
        <v>93</v>
      </c>
      <c r="D24" s="26" t="s">
        <v>61</v>
      </c>
      <c r="E24" s="27" t="s">
        <v>94</v>
      </c>
      <c r="F24" s="28">
        <v>7500</v>
      </c>
      <c r="G24" s="28">
        <v>8100</v>
      </c>
      <c r="H24" s="29">
        <f t="shared" si="0"/>
        <v>600</v>
      </c>
      <c r="I24" s="30">
        <f t="shared" si="1"/>
        <v>0.08</v>
      </c>
      <c r="J24" s="31">
        <f t="shared" si="2"/>
        <v>5.8441558441558444E-3</v>
      </c>
    </row>
    <row r="25" spans="2:10" ht="21.75" customHeight="1" x14ac:dyDescent="0.25">
      <c r="B25" s="24">
        <v>19</v>
      </c>
      <c r="C25" s="25" t="s">
        <v>95</v>
      </c>
      <c r="D25" s="26" t="s">
        <v>61</v>
      </c>
      <c r="E25" s="27" t="s">
        <v>96</v>
      </c>
      <c r="F25" s="28">
        <v>18000</v>
      </c>
      <c r="G25" s="28">
        <v>18900</v>
      </c>
      <c r="H25" s="29">
        <f t="shared" si="0"/>
        <v>900</v>
      </c>
      <c r="I25" s="30">
        <f t="shared" si="1"/>
        <v>0.05</v>
      </c>
      <c r="J25" s="31">
        <f t="shared" si="2"/>
        <v>1.3636363636363636E-2</v>
      </c>
    </row>
    <row r="26" spans="2:10" ht="21.75" customHeight="1" x14ac:dyDescent="0.25">
      <c r="B26" s="24">
        <v>20</v>
      </c>
      <c r="C26" s="25" t="s">
        <v>97</v>
      </c>
      <c r="D26" s="26" t="s">
        <v>61</v>
      </c>
      <c r="E26" s="27" t="s">
        <v>98</v>
      </c>
      <c r="F26" s="28">
        <v>12000</v>
      </c>
      <c r="G26" s="28">
        <v>10400</v>
      </c>
      <c r="H26" s="29">
        <f t="shared" si="0"/>
        <v>-1600</v>
      </c>
      <c r="I26" s="30">
        <f t="shared" si="1"/>
        <v>-0.13333333333333333</v>
      </c>
      <c r="J26" s="31">
        <f t="shared" si="2"/>
        <v>7.5036075036075036E-3</v>
      </c>
    </row>
    <row r="27" spans="2:10" ht="27.75" customHeight="1" x14ac:dyDescent="0.25">
      <c r="B27" s="3" t="s">
        <v>99</v>
      </c>
      <c r="C27" s="3"/>
      <c r="D27" s="3"/>
      <c r="E27" s="3"/>
      <c r="F27" s="32">
        <f>SUM(F7:F26)</f>
        <v>1350500</v>
      </c>
      <c r="G27" s="32">
        <f>SUM(G7:G26)</f>
        <v>1386000</v>
      </c>
      <c r="H27" s="32">
        <f>SUM(H7:H26)</f>
        <v>35500</v>
      </c>
      <c r="I27" s="33">
        <f t="shared" si="1"/>
        <v>2.6286560533135876E-2</v>
      </c>
      <c r="J27" s="34">
        <f>IFERROR(SUM(J7:J26),0)</f>
        <v>0.99999999999999978</v>
      </c>
    </row>
    <row r="29" spans="2:10" ht="24" customHeight="1" x14ac:dyDescent="0.25">
      <c r="B29" s="2" t="s">
        <v>100</v>
      </c>
      <c r="C29" s="2"/>
      <c r="D29" s="2"/>
      <c r="E29" s="2"/>
      <c r="F29" s="35">
        <f>SUMIF(D7:D26,"Einzelkosten",F7:F26)</f>
        <v>705000</v>
      </c>
      <c r="G29" s="35">
        <f>SUMIF(D7:D26,"Einzelkosten",G7:G26)</f>
        <v>724800</v>
      </c>
      <c r="H29" s="35">
        <f>G29-F29</f>
        <v>19800</v>
      </c>
      <c r="I29" s="36">
        <f>IFERROR((G29-F29)/F29,0)</f>
        <v>2.8085106382978724E-2</v>
      </c>
      <c r="J29" s="37">
        <f>IFERROR(G29/G27,0)</f>
        <v>0.52294372294372293</v>
      </c>
    </row>
    <row r="30" spans="2:10" ht="24" customHeight="1" x14ac:dyDescent="0.25">
      <c r="B30" s="1" t="s">
        <v>101</v>
      </c>
      <c r="C30" s="1"/>
      <c r="D30" s="1"/>
      <c r="E30" s="1"/>
      <c r="F30" s="38">
        <f>SUMIF(D7:D26,"Gemeinkosten",F7:F26)</f>
        <v>645500</v>
      </c>
      <c r="G30" s="38">
        <f>SUMIF(D7:D26,"Gemeinkosten",G7:G26)</f>
        <v>661200</v>
      </c>
      <c r="H30" s="38">
        <f>G30-F30</f>
        <v>15700</v>
      </c>
      <c r="I30" s="39">
        <f>IFERROR((G30-F30)/F30,0)</f>
        <v>2.4322230828814871E-2</v>
      </c>
      <c r="J30" s="40">
        <f>IFERROR(G30/G27,0)</f>
        <v>0.47705627705627707</v>
      </c>
    </row>
  </sheetData>
  <mergeCells count="5">
    <mergeCell ref="B2:J2"/>
    <mergeCell ref="B4:J4"/>
    <mergeCell ref="B27:E27"/>
    <mergeCell ref="B29:E29"/>
    <mergeCell ref="B30:E30"/>
  </mergeCells>
  <conditionalFormatting sqref="D7:D26">
    <cfRule type="cellIs" dxfId="7" priority="2" operator="equal">
      <formula>"Einzelkosten"</formula>
    </cfRule>
    <cfRule type="cellIs" dxfId="6" priority="3" operator="equal">
      <formula>"Gemeinkosten"</formula>
    </cfRule>
  </conditionalFormatting>
  <conditionalFormatting sqref="G7:G26">
    <cfRule type="dataBar" priority="8">
      <dataBar>
        <cfvo type="num" val="0"/>
        <cfvo type="max"/>
        <color rgb="FF2E5C8A"/>
      </dataBar>
      <extLst>
        <ext xmlns:x14="http://schemas.microsoft.com/office/spreadsheetml/2009/9/main" uri="{B025F937-C7B1-47D3-B67F-A62EFF666E3E}">
          <x14:id>{78C330B3-CC47-4959-94CB-1B61B7AE2AA3}</x14:id>
        </ext>
      </extLst>
    </cfRule>
  </conditionalFormatting>
  <conditionalFormatting sqref="H7:I26">
    <cfRule type="cellIs" dxfId="5" priority="4" operator="greaterThan">
      <formula>0</formula>
    </cfRule>
    <cfRule type="cellIs" dxfId="4" priority="5" operator="lessThan">
      <formula>0</formula>
    </cfRule>
  </conditionalFormatting>
  <conditionalFormatting sqref="J7:J26">
    <cfRule type="dataBar" priority="9">
      <dataBar>
        <cfvo type="num" val="0"/>
        <cfvo type="max"/>
        <color rgb="FF00695C"/>
      </dataBar>
      <extLst>
        <ext xmlns:x14="http://schemas.microsoft.com/office/spreadsheetml/2009/9/main" uri="{B025F937-C7B1-47D3-B67F-A62EFF666E3E}">
          <x14:id>{CE5B9F21-926F-4A3E-AEE1-18008FBC9240}</x14:id>
        </ext>
      </extLst>
    </cfRule>
  </conditionalFormatting>
  <dataValidations count="1">
    <dataValidation type="list" sqref="D7:D26" xr:uid="{00000000-0002-0000-0100-000000000000}">
      <formula1>"Einzelkosten,Gemeinkosten"</formula1>
      <formula2>0</formula2>
    </dataValidation>
  </dataValidations>
  <printOptions horizontalCentered="1"/>
  <pageMargins left="0.5" right="0.5" top="0.6" bottom="0.5" header="0.511811023622047" footer="0.511811023622047"/>
  <pageSetup paperSize="9" fitToHeight="0" orientation="portrait" horizontalDpi="300" verticalDpi="30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8C330B3-CC47-4959-94CB-1B61B7AE2AA3}">
            <x14:dataBar axisPosition="none">
              <x14:cfvo type="num">
                <xm:f>0</xm:f>
              </x14:cfvo>
              <x14:cfvo type="max"/>
              <x14:negativeFillColor rgb="FF2E5C8A"/>
            </x14:dataBar>
          </x14:cfRule>
          <xm:sqref>G7:G26</xm:sqref>
        </x14:conditionalFormatting>
        <x14:conditionalFormatting xmlns:xm="http://schemas.microsoft.com/office/excel/2006/main">
          <x14:cfRule type="dataBar" id="{CE5B9F21-926F-4A3E-AEE1-18008FBC9240}">
            <x14:dataBar axisPosition="none">
              <x14:cfvo type="num">
                <xm:f>0</xm:f>
              </x14:cfvo>
              <x14:cfvo type="max"/>
              <x14:negativeFillColor rgb="FF00695C"/>
            </x14:dataBar>
          </x14:cfRule>
          <xm:sqref>J7:J26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L39"/>
  <sheetViews>
    <sheetView showGridLines="0" zoomScale="90" zoomScaleNormal="90" workbookViewId="0">
      <pane xSplit="5" ySplit="7" topLeftCell="F8" activePane="bottomRight" state="frozen"/>
      <selection pane="topRight" activeCell="F1" sqref="F1"/>
      <selection pane="bottomLeft" activeCell="A8" sqref="A8"/>
      <selection pane="bottomRight"/>
    </sheetView>
  </sheetViews>
  <sheetFormatPr baseColWidth="10" defaultColWidth="8.7109375" defaultRowHeight="15" x14ac:dyDescent="0.25"/>
  <cols>
    <col min="1" max="1" width="2" customWidth="1"/>
    <col min="2" max="2" width="5" customWidth="1"/>
    <col min="3" max="3" width="30" customWidth="1"/>
    <col min="4" max="4" width="22" customWidth="1"/>
    <col min="5" max="5" width="13" customWidth="1"/>
    <col min="6" max="6" width="12" customWidth="1"/>
    <col min="7" max="7" width="13" customWidth="1"/>
    <col min="8" max="9" width="12" customWidth="1"/>
    <col min="10" max="10" width="13" customWidth="1"/>
    <col min="11" max="11" width="12" customWidth="1"/>
    <col min="12" max="12" width="11" customWidth="1"/>
    <col min="13" max="13" width="2" customWidth="1"/>
  </cols>
  <sheetData>
    <row r="2" spans="2:12" ht="37.5" customHeight="1" x14ac:dyDescent="0.25">
      <c r="B2" s="5" t="s">
        <v>102</v>
      </c>
      <c r="C2" s="5"/>
      <c r="D2" s="5"/>
      <c r="E2" s="5"/>
      <c r="F2" s="5"/>
      <c r="G2" s="5"/>
      <c r="H2" s="5"/>
      <c r="I2" s="5"/>
      <c r="J2" s="5"/>
      <c r="K2" s="5"/>
      <c r="L2" s="5"/>
    </row>
    <row r="3" spans="2:12" ht="7.5" customHeight="1" x14ac:dyDescent="0.25"/>
    <row r="4" spans="2:12" ht="30" customHeight="1" x14ac:dyDescent="0.25">
      <c r="B4" s="4" t="s">
        <v>103</v>
      </c>
      <c r="C4" s="4"/>
      <c r="D4" s="4"/>
      <c r="E4" s="4"/>
      <c r="F4" s="4"/>
      <c r="G4" s="4"/>
      <c r="H4" s="4"/>
      <c r="I4" s="4"/>
      <c r="J4" s="4"/>
      <c r="K4" s="4"/>
      <c r="L4" s="4"/>
    </row>
    <row r="5" spans="2:12" ht="7.5" customHeight="1" x14ac:dyDescent="0.25"/>
    <row r="6" spans="2:12" ht="21.75" customHeight="1" x14ac:dyDescent="0.25">
      <c r="B6" s="90" t="s">
        <v>104</v>
      </c>
      <c r="C6" s="90"/>
      <c r="D6" s="90"/>
      <c r="E6" s="90"/>
      <c r="F6" s="91" t="s">
        <v>105</v>
      </c>
      <c r="G6" s="91"/>
      <c r="H6" s="92" t="s">
        <v>106</v>
      </c>
      <c r="I6" s="92"/>
      <c r="J6" s="92"/>
      <c r="K6" s="92"/>
      <c r="L6" s="41" t="s">
        <v>107</v>
      </c>
    </row>
    <row r="7" spans="2:12" ht="31.5" customHeight="1" x14ac:dyDescent="0.25">
      <c r="B7" s="23" t="s">
        <v>48</v>
      </c>
      <c r="C7" s="23" t="s">
        <v>49</v>
      </c>
      <c r="D7" s="23" t="s">
        <v>108</v>
      </c>
      <c r="E7" s="23" t="s">
        <v>109</v>
      </c>
      <c r="F7" s="42" t="s">
        <v>110</v>
      </c>
      <c r="G7" s="42" t="s">
        <v>111</v>
      </c>
      <c r="H7" s="23" t="s">
        <v>112</v>
      </c>
      <c r="I7" s="23" t="s">
        <v>113</v>
      </c>
      <c r="J7" s="23" t="s">
        <v>114</v>
      </c>
      <c r="K7" s="23" t="s">
        <v>115</v>
      </c>
      <c r="L7" s="23" t="s">
        <v>116</v>
      </c>
    </row>
    <row r="8" spans="2:12" ht="19.5" customHeight="1" x14ac:dyDescent="0.25">
      <c r="B8" s="27">
        <v>1</v>
      </c>
      <c r="C8" s="25" t="s">
        <v>60</v>
      </c>
      <c r="D8" s="43" t="s">
        <v>117</v>
      </c>
      <c r="E8" s="44">
        <f>Kostenartenrechnung!G8</f>
        <v>26500</v>
      </c>
      <c r="F8" s="28">
        <v>0</v>
      </c>
      <c r="G8" s="28">
        <v>0</v>
      </c>
      <c r="H8" s="28">
        <v>11000</v>
      </c>
      <c r="I8" s="28">
        <v>14000</v>
      </c>
      <c r="J8" s="28">
        <v>800</v>
      </c>
      <c r="K8" s="28">
        <v>700</v>
      </c>
      <c r="L8" s="45">
        <f t="shared" ref="L8:L26" si="0">SUM(F8:K8)-E8</f>
        <v>0</v>
      </c>
    </row>
    <row r="9" spans="2:12" ht="19.5" customHeight="1" x14ac:dyDescent="0.25">
      <c r="B9" s="27">
        <v>2</v>
      </c>
      <c r="C9" s="25" t="s">
        <v>63</v>
      </c>
      <c r="D9" s="43" t="s">
        <v>118</v>
      </c>
      <c r="E9" s="44">
        <f>Kostenartenrechnung!G9</f>
        <v>19200</v>
      </c>
      <c r="F9" s="28">
        <v>0</v>
      </c>
      <c r="G9" s="28">
        <v>0</v>
      </c>
      <c r="H9" s="28">
        <v>3500</v>
      </c>
      <c r="I9" s="28">
        <v>13700</v>
      </c>
      <c r="J9" s="28">
        <v>1300</v>
      </c>
      <c r="K9" s="28">
        <v>700</v>
      </c>
      <c r="L9" s="45">
        <f t="shared" si="0"/>
        <v>0</v>
      </c>
    </row>
    <row r="10" spans="2:12" ht="19.5" customHeight="1" x14ac:dyDescent="0.25">
      <c r="B10" s="27">
        <v>3</v>
      </c>
      <c r="C10" s="25" t="s">
        <v>65</v>
      </c>
      <c r="D10" s="43" t="s">
        <v>119</v>
      </c>
      <c r="E10" s="44">
        <f>Kostenartenrechnung!G10</f>
        <v>28400</v>
      </c>
      <c r="F10" s="28">
        <v>0</v>
      </c>
      <c r="G10" s="28">
        <v>0</v>
      </c>
      <c r="H10" s="28">
        <v>4400</v>
      </c>
      <c r="I10" s="28">
        <v>18000</v>
      </c>
      <c r="J10" s="28">
        <v>4000</v>
      </c>
      <c r="K10" s="28">
        <v>2000</v>
      </c>
      <c r="L10" s="45">
        <f t="shared" si="0"/>
        <v>0</v>
      </c>
    </row>
    <row r="11" spans="2:12" ht="19.5" customHeight="1" x14ac:dyDescent="0.25">
      <c r="B11" s="27">
        <v>4</v>
      </c>
      <c r="C11" s="25" t="s">
        <v>69</v>
      </c>
      <c r="D11" s="43" t="s">
        <v>120</v>
      </c>
      <c r="E11" s="44">
        <f>Kostenartenrechnung!G12</f>
        <v>47500</v>
      </c>
      <c r="F11" s="28">
        <v>0</v>
      </c>
      <c r="G11" s="28">
        <v>0</v>
      </c>
      <c r="H11" s="28">
        <v>9500</v>
      </c>
      <c r="I11" s="28">
        <v>29500</v>
      </c>
      <c r="J11" s="28">
        <v>5500</v>
      </c>
      <c r="K11" s="28">
        <v>3000</v>
      </c>
      <c r="L11" s="45">
        <f t="shared" si="0"/>
        <v>0</v>
      </c>
    </row>
    <row r="12" spans="2:12" ht="19.5" customHeight="1" x14ac:dyDescent="0.25">
      <c r="B12" s="27">
        <v>5</v>
      </c>
      <c r="C12" s="25" t="s">
        <v>71</v>
      </c>
      <c r="D12" s="43" t="s">
        <v>121</v>
      </c>
      <c r="E12" s="44">
        <f>Kostenartenrechnung!G13</f>
        <v>96200</v>
      </c>
      <c r="F12" s="28">
        <v>0</v>
      </c>
      <c r="G12" s="28">
        <v>0</v>
      </c>
      <c r="H12" s="28">
        <v>0</v>
      </c>
      <c r="I12" s="28">
        <v>0</v>
      </c>
      <c r="J12" s="28">
        <v>96200</v>
      </c>
      <c r="K12" s="28">
        <v>0</v>
      </c>
      <c r="L12" s="45">
        <f t="shared" si="0"/>
        <v>0</v>
      </c>
    </row>
    <row r="13" spans="2:12" ht="19.5" customHeight="1" x14ac:dyDescent="0.25">
      <c r="B13" s="27">
        <v>6</v>
      </c>
      <c r="C13" s="25" t="s">
        <v>73</v>
      </c>
      <c r="D13" s="43" t="s">
        <v>121</v>
      </c>
      <c r="E13" s="44">
        <f>Kostenartenrechnung!G14</f>
        <v>74500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74500</v>
      </c>
      <c r="L13" s="45">
        <f t="shared" si="0"/>
        <v>0</v>
      </c>
    </row>
    <row r="14" spans="2:12" ht="19.5" customHeight="1" x14ac:dyDescent="0.25">
      <c r="B14" s="27">
        <v>7</v>
      </c>
      <c r="C14" s="25" t="s">
        <v>75</v>
      </c>
      <c r="D14" s="43" t="s">
        <v>122</v>
      </c>
      <c r="E14" s="44">
        <f>Kostenartenrechnung!G15</f>
        <v>90100</v>
      </c>
      <c r="F14" s="28">
        <v>0</v>
      </c>
      <c r="G14" s="28">
        <v>0</v>
      </c>
      <c r="H14" s="28">
        <v>18020</v>
      </c>
      <c r="I14" s="28">
        <v>42050</v>
      </c>
      <c r="J14" s="28">
        <v>20120</v>
      </c>
      <c r="K14" s="28">
        <v>9910</v>
      </c>
      <c r="L14" s="45">
        <f t="shared" si="0"/>
        <v>0</v>
      </c>
    </row>
    <row r="15" spans="2:12" ht="19.5" customHeight="1" x14ac:dyDescent="0.25">
      <c r="B15" s="27">
        <v>8</v>
      </c>
      <c r="C15" s="25" t="s">
        <v>77</v>
      </c>
      <c r="D15" s="43" t="s">
        <v>123</v>
      </c>
      <c r="E15" s="44">
        <f>Kostenartenrechnung!G16</f>
        <v>60000</v>
      </c>
      <c r="F15" s="28">
        <v>38000</v>
      </c>
      <c r="G15" s="28">
        <v>0</v>
      </c>
      <c r="H15" s="28">
        <v>4500</v>
      </c>
      <c r="I15" s="28">
        <v>10000</v>
      </c>
      <c r="J15" s="28">
        <v>4500</v>
      </c>
      <c r="K15" s="28">
        <v>3000</v>
      </c>
      <c r="L15" s="45">
        <f t="shared" si="0"/>
        <v>0</v>
      </c>
    </row>
    <row r="16" spans="2:12" ht="19.5" customHeight="1" x14ac:dyDescent="0.25">
      <c r="B16" s="27">
        <v>9</v>
      </c>
      <c r="C16" s="25" t="s">
        <v>79</v>
      </c>
      <c r="D16" s="43" t="s">
        <v>124</v>
      </c>
      <c r="E16" s="44">
        <f>Kostenartenrechnung!G17</f>
        <v>48700</v>
      </c>
      <c r="F16" s="28">
        <v>0</v>
      </c>
      <c r="G16" s="28">
        <v>44000</v>
      </c>
      <c r="H16" s="28">
        <v>1000</v>
      </c>
      <c r="I16" s="28">
        <v>2200</v>
      </c>
      <c r="J16" s="28">
        <v>900</v>
      </c>
      <c r="K16" s="28">
        <v>600</v>
      </c>
      <c r="L16" s="45">
        <f t="shared" si="0"/>
        <v>0</v>
      </c>
    </row>
    <row r="17" spans="2:12" ht="19.5" customHeight="1" x14ac:dyDescent="0.25">
      <c r="B17" s="27">
        <v>10</v>
      </c>
      <c r="C17" s="25" t="s">
        <v>81</v>
      </c>
      <c r="D17" s="43" t="s">
        <v>123</v>
      </c>
      <c r="E17" s="44">
        <f>Kostenartenrechnung!G18</f>
        <v>5800</v>
      </c>
      <c r="F17" s="28">
        <v>5800</v>
      </c>
      <c r="G17" s="28">
        <v>0</v>
      </c>
      <c r="H17" s="28">
        <v>0</v>
      </c>
      <c r="I17" s="28">
        <v>0</v>
      </c>
      <c r="J17" s="28">
        <v>0</v>
      </c>
      <c r="K17" s="28">
        <v>0</v>
      </c>
      <c r="L17" s="45">
        <f t="shared" si="0"/>
        <v>0</v>
      </c>
    </row>
    <row r="18" spans="2:12" ht="19.5" customHeight="1" x14ac:dyDescent="0.25">
      <c r="B18" s="27">
        <v>11</v>
      </c>
      <c r="C18" s="25" t="s">
        <v>83</v>
      </c>
      <c r="D18" s="43" t="s">
        <v>125</v>
      </c>
      <c r="E18" s="44">
        <f>Kostenartenrechnung!G19</f>
        <v>22300</v>
      </c>
      <c r="F18" s="28">
        <v>4000</v>
      </c>
      <c r="G18" s="28">
        <v>0</v>
      </c>
      <c r="H18" s="28">
        <v>2300</v>
      </c>
      <c r="I18" s="28">
        <v>15000</v>
      </c>
      <c r="J18" s="28">
        <v>600</v>
      </c>
      <c r="K18" s="28">
        <v>400</v>
      </c>
      <c r="L18" s="45">
        <f t="shared" si="0"/>
        <v>0</v>
      </c>
    </row>
    <row r="19" spans="2:12" ht="19.5" customHeight="1" x14ac:dyDescent="0.25">
      <c r="B19" s="27">
        <v>12</v>
      </c>
      <c r="C19" s="25" t="s">
        <v>85</v>
      </c>
      <c r="D19" s="43" t="s">
        <v>126</v>
      </c>
      <c r="E19" s="44">
        <f>Kostenartenrechnung!G20</f>
        <v>54000</v>
      </c>
      <c r="F19" s="28">
        <v>6000</v>
      </c>
      <c r="G19" s="28">
        <v>5000</v>
      </c>
      <c r="H19" s="28">
        <v>4000</v>
      </c>
      <c r="I19" s="28">
        <v>35000</v>
      </c>
      <c r="J19" s="28">
        <v>2500</v>
      </c>
      <c r="K19" s="28">
        <v>1500</v>
      </c>
      <c r="L19" s="45">
        <f t="shared" si="0"/>
        <v>0</v>
      </c>
    </row>
    <row r="20" spans="2:12" ht="19.5" customHeight="1" x14ac:dyDescent="0.25">
      <c r="B20" s="27">
        <v>13</v>
      </c>
      <c r="C20" s="25" t="s">
        <v>87</v>
      </c>
      <c r="D20" s="43" t="s">
        <v>127</v>
      </c>
      <c r="E20" s="44">
        <f>Kostenartenrechnung!G21</f>
        <v>14600</v>
      </c>
      <c r="F20" s="28">
        <v>7500</v>
      </c>
      <c r="G20" s="28">
        <v>0</v>
      </c>
      <c r="H20" s="28">
        <v>1500</v>
      </c>
      <c r="I20" s="28">
        <v>2200</v>
      </c>
      <c r="J20" s="28">
        <v>2000</v>
      </c>
      <c r="K20" s="28">
        <v>1400</v>
      </c>
      <c r="L20" s="45">
        <f t="shared" si="0"/>
        <v>0</v>
      </c>
    </row>
    <row r="21" spans="2:12" ht="19.5" customHeight="1" x14ac:dyDescent="0.25">
      <c r="B21" s="27">
        <v>14</v>
      </c>
      <c r="C21" s="25" t="s">
        <v>89</v>
      </c>
      <c r="D21" s="43" t="s">
        <v>121</v>
      </c>
      <c r="E21" s="44">
        <f>Kostenartenrechnung!G22</f>
        <v>26200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26200</v>
      </c>
      <c r="L21" s="45">
        <f t="shared" si="0"/>
        <v>0</v>
      </c>
    </row>
    <row r="22" spans="2:12" ht="19.5" customHeight="1" x14ac:dyDescent="0.25">
      <c r="B22" s="27">
        <v>15</v>
      </c>
      <c r="C22" s="25" t="s">
        <v>91</v>
      </c>
      <c r="D22" s="43" t="s">
        <v>128</v>
      </c>
      <c r="E22" s="44">
        <f>Kostenartenrechnung!G23</f>
        <v>9800</v>
      </c>
      <c r="F22" s="28">
        <v>0</v>
      </c>
      <c r="G22" s="28">
        <v>0</v>
      </c>
      <c r="H22" s="28">
        <v>300</v>
      </c>
      <c r="I22" s="28">
        <v>500</v>
      </c>
      <c r="J22" s="28">
        <v>1500</v>
      </c>
      <c r="K22" s="28">
        <v>7500</v>
      </c>
      <c r="L22" s="45">
        <f t="shared" si="0"/>
        <v>0</v>
      </c>
    </row>
    <row r="23" spans="2:12" ht="19.5" customHeight="1" x14ac:dyDescent="0.25">
      <c r="B23" s="27">
        <v>16</v>
      </c>
      <c r="C23" s="25" t="s">
        <v>93</v>
      </c>
      <c r="D23" s="43" t="s">
        <v>129</v>
      </c>
      <c r="E23" s="44">
        <f>Kostenartenrechnung!G24</f>
        <v>8100</v>
      </c>
      <c r="F23" s="28">
        <v>0</v>
      </c>
      <c r="G23" s="28">
        <v>0</v>
      </c>
      <c r="H23" s="28">
        <v>300</v>
      </c>
      <c r="I23" s="28">
        <v>1200</v>
      </c>
      <c r="J23" s="28">
        <v>4500</v>
      </c>
      <c r="K23" s="28">
        <v>2100</v>
      </c>
      <c r="L23" s="45">
        <f t="shared" si="0"/>
        <v>0</v>
      </c>
    </row>
    <row r="24" spans="2:12" ht="19.5" customHeight="1" x14ac:dyDescent="0.25">
      <c r="B24" s="27">
        <v>17</v>
      </c>
      <c r="C24" s="25" t="s">
        <v>95</v>
      </c>
      <c r="D24" s="43" t="s">
        <v>130</v>
      </c>
      <c r="E24" s="44">
        <f>Kostenartenrechnung!G25</f>
        <v>18900</v>
      </c>
      <c r="F24" s="28">
        <v>0</v>
      </c>
      <c r="G24" s="28">
        <v>0</v>
      </c>
      <c r="H24" s="28">
        <v>600</v>
      </c>
      <c r="I24" s="28">
        <v>2400</v>
      </c>
      <c r="J24" s="28">
        <v>9500</v>
      </c>
      <c r="K24" s="28">
        <v>6400</v>
      </c>
      <c r="L24" s="45">
        <f t="shared" si="0"/>
        <v>0</v>
      </c>
    </row>
    <row r="25" spans="2:12" ht="19.5" customHeight="1" x14ac:dyDescent="0.25">
      <c r="B25" s="27">
        <v>18</v>
      </c>
      <c r="C25" s="25" t="s">
        <v>97</v>
      </c>
      <c r="D25" s="43" t="s">
        <v>131</v>
      </c>
      <c r="E25" s="44">
        <f>Kostenartenrechnung!G26</f>
        <v>10400</v>
      </c>
      <c r="F25" s="28">
        <v>800</v>
      </c>
      <c r="G25" s="28">
        <v>500</v>
      </c>
      <c r="H25" s="28">
        <v>900</v>
      </c>
      <c r="I25" s="28">
        <v>3200</v>
      </c>
      <c r="J25" s="28">
        <v>2800</v>
      </c>
      <c r="K25" s="28">
        <v>2200</v>
      </c>
      <c r="L25" s="45">
        <f t="shared" si="0"/>
        <v>0</v>
      </c>
    </row>
    <row r="26" spans="2:12" ht="25.5" customHeight="1" x14ac:dyDescent="0.25">
      <c r="B26" s="93" t="s">
        <v>132</v>
      </c>
      <c r="C26" s="93"/>
      <c r="D26" s="93"/>
      <c r="E26" s="46">
        <f t="shared" ref="E26:K26" si="1">SUM(E8:E25)</f>
        <v>661200</v>
      </c>
      <c r="F26" s="46">
        <f t="shared" si="1"/>
        <v>62100</v>
      </c>
      <c r="G26" s="46">
        <f t="shared" si="1"/>
        <v>49500</v>
      </c>
      <c r="H26" s="46">
        <f t="shared" si="1"/>
        <v>61820</v>
      </c>
      <c r="I26" s="46">
        <f t="shared" si="1"/>
        <v>188950</v>
      </c>
      <c r="J26" s="46">
        <f t="shared" si="1"/>
        <v>156720</v>
      </c>
      <c r="K26" s="46">
        <f t="shared" si="1"/>
        <v>142110</v>
      </c>
      <c r="L26" s="46">
        <f t="shared" si="0"/>
        <v>0</v>
      </c>
    </row>
    <row r="28" spans="2:12" ht="21.75" customHeight="1" x14ac:dyDescent="0.25">
      <c r="B28" s="12" t="s">
        <v>133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</row>
    <row r="29" spans="2:12" ht="21.75" customHeight="1" x14ac:dyDescent="0.25">
      <c r="B29" s="94" t="s">
        <v>134</v>
      </c>
      <c r="C29" s="94"/>
      <c r="D29" s="94"/>
      <c r="E29" s="47"/>
      <c r="F29" s="48">
        <f>-F26</f>
        <v>-62100</v>
      </c>
      <c r="G29" s="48">
        <v>0</v>
      </c>
      <c r="H29" s="48">
        <f>F26*0.15</f>
        <v>9315</v>
      </c>
      <c r="I29" s="48">
        <f>F26*0.65</f>
        <v>40365</v>
      </c>
      <c r="J29" s="48">
        <f>F26*0.12</f>
        <v>7452</v>
      </c>
      <c r="K29" s="48">
        <f>F26*0.08</f>
        <v>4968</v>
      </c>
      <c r="L29" s="48">
        <f>SUM(F29:K29)</f>
        <v>0</v>
      </c>
    </row>
    <row r="30" spans="2:12" ht="21.75" customHeight="1" x14ac:dyDescent="0.25">
      <c r="B30" s="94" t="s">
        <v>135</v>
      </c>
      <c r="C30" s="94"/>
      <c r="D30" s="94"/>
      <c r="E30" s="47"/>
      <c r="F30" s="48">
        <v>0</v>
      </c>
      <c r="G30" s="48">
        <f>-G26</f>
        <v>-49500</v>
      </c>
      <c r="H30" s="48">
        <f>G26*0.1</f>
        <v>4950</v>
      </c>
      <c r="I30" s="48">
        <f>G26*0.8</f>
        <v>39600</v>
      </c>
      <c r="J30" s="48">
        <f>G26*0.05</f>
        <v>2475</v>
      </c>
      <c r="K30" s="48">
        <f>G26*0.05</f>
        <v>2475</v>
      </c>
      <c r="L30" s="48">
        <f>SUM(F30:K30)</f>
        <v>0</v>
      </c>
    </row>
    <row r="31" spans="2:12" ht="27.75" customHeight="1" x14ac:dyDescent="0.25">
      <c r="B31" s="3" t="s">
        <v>136</v>
      </c>
      <c r="C31" s="3"/>
      <c r="D31" s="3"/>
      <c r="E31" s="32">
        <f>E26</f>
        <v>661200</v>
      </c>
      <c r="F31" s="32">
        <f t="shared" ref="F31:K31" si="2">F26+F29+F30</f>
        <v>0</v>
      </c>
      <c r="G31" s="32">
        <f t="shared" si="2"/>
        <v>0</v>
      </c>
      <c r="H31" s="32">
        <f t="shared" si="2"/>
        <v>76085</v>
      </c>
      <c r="I31" s="32">
        <f t="shared" si="2"/>
        <v>268915</v>
      </c>
      <c r="J31" s="32">
        <f t="shared" si="2"/>
        <v>166647</v>
      </c>
      <c r="K31" s="32">
        <f t="shared" si="2"/>
        <v>149553</v>
      </c>
      <c r="L31" s="32">
        <f>SUM(F31:K31)-E31</f>
        <v>0</v>
      </c>
    </row>
    <row r="33" spans="2:12" ht="21.75" customHeight="1" x14ac:dyDescent="0.25">
      <c r="B33" s="12" t="s">
        <v>137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</row>
    <row r="34" spans="2:12" ht="21.75" customHeight="1" x14ac:dyDescent="0.25">
      <c r="B34" s="49"/>
      <c r="C34" s="50" t="s">
        <v>138</v>
      </c>
      <c r="D34" s="51" t="s">
        <v>121</v>
      </c>
      <c r="E34" s="52">
        <f>Kostenartenrechnung!G7</f>
        <v>502000</v>
      </c>
      <c r="F34" s="52">
        <v>0</v>
      </c>
      <c r="G34" s="52">
        <v>0</v>
      </c>
      <c r="H34" s="52">
        <f>E34</f>
        <v>502000</v>
      </c>
      <c r="I34" s="52">
        <v>0</v>
      </c>
      <c r="J34" s="52">
        <v>0</v>
      </c>
      <c r="K34" s="52">
        <v>0</v>
      </c>
      <c r="L34" s="52">
        <f>SUM(F34:K34)-E34</f>
        <v>0</v>
      </c>
    </row>
    <row r="35" spans="2:12" ht="21.75" customHeight="1" x14ac:dyDescent="0.25">
      <c r="B35" s="49"/>
      <c r="C35" s="50" t="s">
        <v>139</v>
      </c>
      <c r="D35" s="51" t="s">
        <v>121</v>
      </c>
      <c r="E35" s="52">
        <f>Kostenartenrechnung!G11</f>
        <v>222800</v>
      </c>
      <c r="F35" s="52">
        <v>0</v>
      </c>
      <c r="G35" s="52">
        <v>0</v>
      </c>
      <c r="H35" s="52">
        <v>0</v>
      </c>
      <c r="I35" s="52">
        <f>E35</f>
        <v>222800</v>
      </c>
      <c r="J35" s="52">
        <v>0</v>
      </c>
      <c r="K35" s="52">
        <v>0</v>
      </c>
      <c r="L35" s="52">
        <f>SUM(F35:K35)-E35</f>
        <v>0</v>
      </c>
    </row>
    <row r="37" spans="2:12" ht="21.75" customHeight="1" x14ac:dyDescent="0.25">
      <c r="B37" s="12" t="s">
        <v>140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</row>
    <row r="38" spans="2:12" ht="30" customHeight="1" x14ac:dyDescent="0.25">
      <c r="B38" s="3" t="s">
        <v>141</v>
      </c>
      <c r="C38" s="3"/>
      <c r="D38" s="3"/>
      <c r="E38" s="53"/>
      <c r="F38" s="54" t="s">
        <v>142</v>
      </c>
      <c r="G38" s="54" t="s">
        <v>142</v>
      </c>
      <c r="H38" s="55">
        <f>IFERROR(H31/H34,0)</f>
        <v>0.15156374501992032</v>
      </c>
      <c r="I38" s="55">
        <f>IFERROR(I31/I35,0)</f>
        <v>1.206979353680431</v>
      </c>
      <c r="J38" s="55">
        <f>IFERROR(J31/(H31+I31+H34+I35),0)</f>
        <v>0.15577397644419519</v>
      </c>
      <c r="K38" s="55">
        <f>IFERROR(K31/(H31+I31+H34+I35),0)</f>
        <v>0.13979528883903533</v>
      </c>
      <c r="L38" s="53"/>
    </row>
    <row r="39" spans="2:12" ht="30" customHeight="1" x14ac:dyDescent="0.25">
      <c r="B39" s="95" t="s">
        <v>143</v>
      </c>
      <c r="C39" s="95"/>
      <c r="D39" s="95"/>
      <c r="E39" s="56"/>
      <c r="F39" s="57" t="s">
        <v>142</v>
      </c>
      <c r="G39" s="57" t="s">
        <v>142</v>
      </c>
      <c r="H39" s="57" t="s">
        <v>144</v>
      </c>
      <c r="I39" s="57" t="s">
        <v>145</v>
      </c>
      <c r="J39" s="57" t="s">
        <v>146</v>
      </c>
      <c r="K39" s="57" t="s">
        <v>146</v>
      </c>
      <c r="L39" s="57"/>
    </row>
  </sheetData>
  <mergeCells count="14">
    <mergeCell ref="B33:L33"/>
    <mergeCell ref="B37:L37"/>
    <mergeCell ref="B38:D38"/>
    <mergeCell ref="B39:D39"/>
    <mergeCell ref="B26:D26"/>
    <mergeCell ref="B28:L28"/>
    <mergeCell ref="B29:D29"/>
    <mergeCell ref="B30:D30"/>
    <mergeCell ref="B31:D31"/>
    <mergeCell ref="B2:L2"/>
    <mergeCell ref="B4:L4"/>
    <mergeCell ref="B6:E6"/>
    <mergeCell ref="F6:G6"/>
    <mergeCell ref="H6:K6"/>
  </mergeCells>
  <conditionalFormatting sqref="L8:L31">
    <cfRule type="cellIs" dxfId="3" priority="2" operator="notEqual">
      <formula>0</formula>
    </cfRule>
  </conditionalFormatting>
  <conditionalFormatting sqref="L34:L35">
    <cfRule type="cellIs" dxfId="2" priority="3" operator="notEqual">
      <formula>0</formula>
    </cfRule>
  </conditionalFormatting>
  <printOptions horizontalCentered="1"/>
  <pageMargins left="0.4" right="0.4" top="0.5" bottom="0.5" header="0.511811023622047" footer="0.511811023622047"/>
  <pageSetup paperSize="8" fitToHeight="0" orientation="landscape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I25"/>
  <sheetViews>
    <sheetView showGridLines="0" zoomScaleNormal="100" workbookViewId="0">
      <pane xSplit="4" ySplit="6" topLeftCell="E7" activePane="bottomRight" state="frozen"/>
      <selection pane="topRight" activeCell="E1" sqref="E1"/>
      <selection pane="bottomLeft" activeCell="A7" sqref="A7"/>
      <selection pane="bottomRight"/>
    </sheetView>
  </sheetViews>
  <sheetFormatPr baseColWidth="10" defaultColWidth="8.7109375" defaultRowHeight="15" x14ac:dyDescent="0.25"/>
  <cols>
    <col min="1" max="1" width="2" customWidth="1"/>
    <col min="2" max="2" width="4" customWidth="1"/>
    <col min="3" max="3" width="36" customWidth="1"/>
    <col min="4" max="4" width="22" customWidth="1"/>
    <col min="5" max="8" width="15" customWidth="1"/>
    <col min="9" max="9" width="17" customWidth="1"/>
    <col min="10" max="10" width="2" customWidth="1"/>
  </cols>
  <sheetData>
    <row r="2" spans="2:9" ht="37.5" customHeight="1" x14ac:dyDescent="0.25">
      <c r="B2" s="5" t="s">
        <v>147</v>
      </c>
      <c r="C2" s="5"/>
      <c r="D2" s="5"/>
      <c r="E2" s="5"/>
      <c r="F2" s="5"/>
      <c r="G2" s="5"/>
      <c r="H2" s="5"/>
      <c r="I2" s="5"/>
    </row>
    <row r="3" spans="2:9" ht="7.5" customHeight="1" x14ac:dyDescent="0.25"/>
    <row r="4" spans="2:9" ht="36" customHeight="1" x14ac:dyDescent="0.25">
      <c r="B4" s="4" t="s">
        <v>148</v>
      </c>
      <c r="C4" s="4"/>
      <c r="D4" s="4"/>
      <c r="E4" s="4"/>
      <c r="F4" s="4"/>
      <c r="G4" s="4"/>
      <c r="H4" s="4"/>
      <c r="I4" s="4"/>
    </row>
    <row r="5" spans="2:9" ht="7.5" customHeight="1" x14ac:dyDescent="0.25"/>
    <row r="6" spans="2:9" ht="31.5" customHeight="1" x14ac:dyDescent="0.25">
      <c r="B6" s="23" t="s">
        <v>48</v>
      </c>
      <c r="C6" s="23" t="s">
        <v>149</v>
      </c>
      <c r="D6" s="23" t="s">
        <v>150</v>
      </c>
      <c r="E6" s="58" t="s">
        <v>151</v>
      </c>
      <c r="F6" s="58" t="s">
        <v>152</v>
      </c>
      <c r="G6" s="58" t="s">
        <v>153</v>
      </c>
      <c r="H6" s="58" t="s">
        <v>154</v>
      </c>
      <c r="I6" s="23" t="s">
        <v>155</v>
      </c>
    </row>
    <row r="7" spans="2:9" ht="21.75" customHeight="1" x14ac:dyDescent="0.25">
      <c r="B7" s="59" t="s">
        <v>156</v>
      </c>
      <c r="C7" s="60" t="s">
        <v>157</v>
      </c>
      <c r="D7" s="61" t="s">
        <v>158</v>
      </c>
      <c r="E7" s="52">
        <v>120</v>
      </c>
      <c r="F7" s="52">
        <v>65</v>
      </c>
      <c r="G7" s="52">
        <v>42</v>
      </c>
      <c r="H7" s="52">
        <v>185</v>
      </c>
      <c r="I7" s="56"/>
    </row>
    <row r="8" spans="2:9" ht="21.75" customHeight="1" x14ac:dyDescent="0.25">
      <c r="B8" s="62" t="s">
        <v>159</v>
      </c>
      <c r="C8" s="63" t="s">
        <v>160</v>
      </c>
      <c r="D8" s="64" t="s">
        <v>161</v>
      </c>
      <c r="E8" s="65">
        <f>E7*BAB!H38</f>
        <v>18.187649402390438</v>
      </c>
      <c r="F8" s="65">
        <f>F7*BAB!H38</f>
        <v>9.8516434262948209</v>
      </c>
      <c r="G8" s="65">
        <f>G7*BAB!H38</f>
        <v>6.3656772908366532</v>
      </c>
      <c r="H8" s="65">
        <f>H7*BAB!H38</f>
        <v>28.039292828685259</v>
      </c>
      <c r="I8" s="56"/>
    </row>
    <row r="9" spans="2:9" ht="25.5" customHeight="1" x14ac:dyDescent="0.25">
      <c r="B9" s="66"/>
      <c r="C9" s="67" t="s">
        <v>162</v>
      </c>
      <c r="D9" s="68" t="s">
        <v>163</v>
      </c>
      <c r="E9" s="69">
        <f>E7+E8</f>
        <v>138.18764940239043</v>
      </c>
      <c r="F9" s="69">
        <f>F7+F8</f>
        <v>74.851643426294828</v>
      </c>
      <c r="G9" s="69">
        <f>G7+G8</f>
        <v>48.365677290836651</v>
      </c>
      <c r="H9" s="69">
        <f>H7+H8</f>
        <v>213.03929282868526</v>
      </c>
      <c r="I9" s="56"/>
    </row>
    <row r="10" spans="2:9" ht="21.75" customHeight="1" x14ac:dyDescent="0.25">
      <c r="B10" s="59" t="s">
        <v>164</v>
      </c>
      <c r="C10" s="60" t="s">
        <v>165</v>
      </c>
      <c r="D10" s="61" t="s">
        <v>158</v>
      </c>
      <c r="E10" s="52">
        <v>55</v>
      </c>
      <c r="F10" s="52">
        <v>28</v>
      </c>
      <c r="G10" s="52">
        <v>19</v>
      </c>
      <c r="H10" s="52">
        <v>82</v>
      </c>
      <c r="I10" s="56"/>
    </row>
    <row r="11" spans="2:9" ht="21.75" customHeight="1" x14ac:dyDescent="0.25">
      <c r="B11" s="62" t="s">
        <v>166</v>
      </c>
      <c r="C11" s="63" t="s">
        <v>167</v>
      </c>
      <c r="D11" s="64" t="s">
        <v>168</v>
      </c>
      <c r="E11" s="65">
        <f>E10*BAB!I38</f>
        <v>66.383864452423708</v>
      </c>
      <c r="F11" s="65">
        <f>F10*BAB!I38</f>
        <v>33.795421903052066</v>
      </c>
      <c r="G11" s="65">
        <f>G10*BAB!I38</f>
        <v>22.932607719928189</v>
      </c>
      <c r="H11" s="65">
        <f>H10*BAB!I38</f>
        <v>98.972307001795343</v>
      </c>
      <c r="I11" s="56"/>
    </row>
    <row r="12" spans="2:9" ht="25.5" customHeight="1" x14ac:dyDescent="0.25">
      <c r="B12" s="66"/>
      <c r="C12" s="67" t="s">
        <v>169</v>
      </c>
      <c r="D12" s="68" t="s">
        <v>170</v>
      </c>
      <c r="E12" s="69">
        <f>E9+E10+E11</f>
        <v>259.57151385481416</v>
      </c>
      <c r="F12" s="69">
        <f>F9+F10+F11</f>
        <v>136.6470653293469</v>
      </c>
      <c r="G12" s="69">
        <f>G9+G10+G11</f>
        <v>90.298285010764843</v>
      </c>
      <c r="H12" s="69">
        <f>H9+H10+H11</f>
        <v>394.01159983048058</v>
      </c>
      <c r="I12" s="56"/>
    </row>
    <row r="13" spans="2:9" ht="21.75" customHeight="1" x14ac:dyDescent="0.25">
      <c r="B13" s="62" t="s">
        <v>171</v>
      </c>
      <c r="C13" s="63" t="s">
        <v>172</v>
      </c>
      <c r="D13" s="64" t="s">
        <v>173</v>
      </c>
      <c r="E13" s="65">
        <f>E12*BAB!J38</f>
        <v>40.434486884803903</v>
      </c>
      <c r="F13" s="65">
        <f>F12*BAB!J38</f>
        <v>21.286056735782086</v>
      </c>
      <c r="G13" s="65">
        <f>G12*BAB!J38</f>
        <v>14.066122922218106</v>
      </c>
      <c r="H13" s="65">
        <f>H12*BAB!J38</f>
        <v>61.376753670732946</v>
      </c>
      <c r="I13" s="56"/>
    </row>
    <row r="14" spans="2:9" ht="21.75" customHeight="1" x14ac:dyDescent="0.25">
      <c r="B14" s="62" t="s">
        <v>174</v>
      </c>
      <c r="C14" s="63" t="s">
        <v>175</v>
      </c>
      <c r="D14" s="64" t="s">
        <v>176</v>
      </c>
      <c r="E14" s="65">
        <f>E12*BAB!K38</f>
        <v>36.28687475371941</v>
      </c>
      <c r="F14" s="65">
        <f>F12*BAB!K38</f>
        <v>19.102615966722581</v>
      </c>
      <c r="G14" s="65">
        <f>G12*BAB!K38</f>
        <v>12.623274834749406</v>
      </c>
      <c r="H14" s="65">
        <f>H12*BAB!K38</f>
        <v>55.080965404232437</v>
      </c>
      <c r="I14" s="56"/>
    </row>
    <row r="15" spans="2:9" ht="25.5" customHeight="1" x14ac:dyDescent="0.25">
      <c r="B15" s="53"/>
      <c r="C15" s="70" t="s">
        <v>177</v>
      </c>
      <c r="D15" s="71" t="s">
        <v>178</v>
      </c>
      <c r="E15" s="32">
        <f>E12+E13+E14</f>
        <v>336.29287549333748</v>
      </c>
      <c r="F15" s="32">
        <f>F12+F13+F14</f>
        <v>177.03573803185157</v>
      </c>
      <c r="G15" s="32">
        <f>G12+G13+G14</f>
        <v>116.98768276773235</v>
      </c>
      <c r="H15" s="32">
        <f>H12+H13+H14</f>
        <v>510.46931890544596</v>
      </c>
      <c r="I15" s="56"/>
    </row>
    <row r="16" spans="2:9" ht="7.5" customHeight="1" x14ac:dyDescent="0.25">
      <c r="I16" s="56"/>
    </row>
    <row r="17" spans="2:9" ht="21.75" customHeight="1" x14ac:dyDescent="0.25">
      <c r="B17" s="72" t="s">
        <v>179</v>
      </c>
      <c r="C17" s="73" t="s">
        <v>180</v>
      </c>
      <c r="D17" s="74" t="s">
        <v>181</v>
      </c>
      <c r="E17" s="75">
        <v>395</v>
      </c>
      <c r="F17" s="75">
        <v>215</v>
      </c>
      <c r="G17" s="75">
        <v>145</v>
      </c>
      <c r="H17" s="75">
        <v>620</v>
      </c>
      <c r="I17" s="56"/>
    </row>
    <row r="18" spans="2:9" ht="21.75" customHeight="1" x14ac:dyDescent="0.25">
      <c r="B18" s="72" t="s">
        <v>182</v>
      </c>
      <c r="C18" s="73" t="s">
        <v>183</v>
      </c>
      <c r="D18" s="74" t="s">
        <v>184</v>
      </c>
      <c r="E18" s="76">
        <v>1200</v>
      </c>
      <c r="F18" s="76">
        <v>3500</v>
      </c>
      <c r="G18" s="76">
        <v>4800</v>
      </c>
      <c r="H18" s="76">
        <v>650</v>
      </c>
      <c r="I18" s="77">
        <f>SUM(E18:H18)</f>
        <v>10150</v>
      </c>
    </row>
    <row r="19" spans="2:9" ht="7.5" customHeight="1" x14ac:dyDescent="0.25">
      <c r="I19" s="56"/>
    </row>
    <row r="20" spans="2:9" ht="25.5" customHeight="1" x14ac:dyDescent="0.25">
      <c r="B20" s="78" t="s">
        <v>185</v>
      </c>
      <c r="C20" s="67" t="s">
        <v>186</v>
      </c>
      <c r="D20" s="68" t="s">
        <v>187</v>
      </c>
      <c r="E20" s="69">
        <f>E17-E15</f>
        <v>58.707124506662524</v>
      </c>
      <c r="F20" s="69">
        <f>F17-F15</f>
        <v>37.964261968148435</v>
      </c>
      <c r="G20" s="69">
        <f>G17-G15</f>
        <v>28.012317232267648</v>
      </c>
      <c r="H20" s="69">
        <f>H17-H15</f>
        <v>109.53068109455404</v>
      </c>
      <c r="I20" s="56"/>
    </row>
    <row r="21" spans="2:9" ht="21.75" customHeight="1" x14ac:dyDescent="0.25">
      <c r="B21" s="79" t="s">
        <v>188</v>
      </c>
      <c r="C21" s="80" t="s">
        <v>189</v>
      </c>
      <c r="D21" s="81" t="s">
        <v>190</v>
      </c>
      <c r="E21" s="82">
        <f>IFERROR(E20/E17,0)</f>
        <v>0.14862563166243678</v>
      </c>
      <c r="F21" s="82">
        <f>IFERROR(F20/F17,0)</f>
        <v>0.17657796264255085</v>
      </c>
      <c r="G21" s="82">
        <f>IFERROR(G20/G17,0)</f>
        <v>0.19318839470529411</v>
      </c>
      <c r="H21" s="82">
        <f>IFERROR(H20/H17,0)</f>
        <v>0.17666238886218394</v>
      </c>
      <c r="I21" s="56"/>
    </row>
    <row r="22" spans="2:9" ht="7.5" customHeight="1" x14ac:dyDescent="0.25">
      <c r="I22" s="56"/>
    </row>
    <row r="23" spans="2:9" ht="25.5" customHeight="1" x14ac:dyDescent="0.25">
      <c r="B23" s="72" t="s">
        <v>191</v>
      </c>
      <c r="C23" s="73" t="s">
        <v>192</v>
      </c>
      <c r="D23" s="74" t="s">
        <v>193</v>
      </c>
      <c r="E23" s="83">
        <f>E17*E18</f>
        <v>474000</v>
      </c>
      <c r="F23" s="83">
        <f>F17*F18</f>
        <v>752500</v>
      </c>
      <c r="G23" s="83">
        <f>G17*G18</f>
        <v>696000</v>
      </c>
      <c r="H23" s="83">
        <f>H17*H18</f>
        <v>403000</v>
      </c>
      <c r="I23" s="84">
        <f>SUM(E23:H23)</f>
        <v>2325500</v>
      </c>
    </row>
    <row r="24" spans="2:9" ht="25.5" customHeight="1" x14ac:dyDescent="0.25">
      <c r="B24" s="85" t="s">
        <v>194</v>
      </c>
      <c r="C24" s="70" t="s">
        <v>195</v>
      </c>
      <c r="D24" s="71" t="s">
        <v>196</v>
      </c>
      <c r="E24" s="32">
        <f>E15*E18</f>
        <v>403551.45059200499</v>
      </c>
      <c r="F24" s="32">
        <f>F15*F18</f>
        <v>619625.08311148046</v>
      </c>
      <c r="G24" s="32">
        <f>G15*G18</f>
        <v>561540.8772851153</v>
      </c>
      <c r="H24" s="32">
        <f>H15*H18</f>
        <v>331805.05728853989</v>
      </c>
      <c r="I24" s="84">
        <f>SUM(E24:H24)</f>
        <v>1916522.4682771408</v>
      </c>
    </row>
    <row r="25" spans="2:9" ht="25.5" customHeight="1" x14ac:dyDescent="0.25">
      <c r="B25" s="86" t="s">
        <v>197</v>
      </c>
      <c r="C25" s="87" t="s">
        <v>198</v>
      </c>
      <c r="D25" s="88" t="s">
        <v>199</v>
      </c>
      <c r="E25" s="89">
        <f>E23-E24</f>
        <v>70448.549407995015</v>
      </c>
      <c r="F25" s="89">
        <f>F23-F24</f>
        <v>132874.91688851954</v>
      </c>
      <c r="G25" s="89">
        <f>G23-G24</f>
        <v>134459.1227148847</v>
      </c>
      <c r="H25" s="89">
        <f>H23-H24</f>
        <v>71194.942711460113</v>
      </c>
      <c r="I25" s="84">
        <f>SUM(E25:H25)</f>
        <v>408977.53172285936</v>
      </c>
    </row>
  </sheetData>
  <mergeCells count="2">
    <mergeCell ref="B2:I2"/>
    <mergeCell ref="B4:I4"/>
  </mergeCells>
  <conditionalFormatting sqref="E20:H21">
    <cfRule type="cellIs" dxfId="1" priority="2" operator="lessThan">
      <formula>0</formula>
    </cfRule>
  </conditionalFormatting>
  <conditionalFormatting sqref="E25:H25">
    <cfRule type="cellIs" dxfId="0" priority="3" operator="lessThan">
      <formula>0</formula>
    </cfRule>
    <cfRule type="dataBar" priority="4">
      <dataBar>
        <cfvo type="min"/>
        <cfvo type="max"/>
        <color rgb="FF2E7D32"/>
      </dataBar>
      <extLst>
        <ext xmlns:x14="http://schemas.microsoft.com/office/spreadsheetml/2009/9/main" uri="{B025F937-C7B1-47D3-B67F-A62EFF666E3E}">
          <x14:id>{67F091A0-B053-4835-9557-F81435F8C034}</x14:id>
        </ext>
      </extLst>
    </cfRule>
  </conditionalFormatting>
  <printOptions horizontalCentered="1"/>
  <pageMargins left="0.4" right="0.4" top="0.5" bottom="0.5" header="0.511811023622047" footer="0.511811023622047"/>
  <pageSetup paperSize="8" fitToHeight="0" orientation="landscape" horizontalDpi="300" verticalDpi="30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7F091A0-B053-4835-9557-F81435F8C034}">
            <x14:dataBar axisPosition="none">
              <x14:cfvo type="min"/>
              <x14:cfvo type="max"/>
              <x14:negativeFillColor rgb="FF2E7D32"/>
            </x14:dataBar>
          </x14:cfRule>
          <xm:sqref>E25:H25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Übersicht</vt:lpstr>
      <vt:lpstr>Kostenartenrechnung</vt:lpstr>
      <vt:lpstr>BAB</vt:lpstr>
      <vt:lpstr>Kostenträgerrechnung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dc:description/>
  <cp:lastModifiedBy>Sergio Jiménez Canales</cp:lastModifiedBy>
  <cp:revision>0</cp:revision>
  <dcterms:created xsi:type="dcterms:W3CDTF">2026-06-16T05:18:02Z</dcterms:created>
  <dcterms:modified xsi:type="dcterms:W3CDTF">2026-06-17T06:14:55Z</dcterms:modified>
  <dc:language>en-US</dc:language>
</cp:coreProperties>
</file>