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F9A6E388-F330-4967-B343-1623D0F47C62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Kontenplan" sheetId="1" r:id="rId1"/>
    <sheet name="Buchungsjournal" sheetId="2" r:id="rId2"/>
    <sheet name="Saldenliste &amp; Auswertung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41" i="2" l="1"/>
  <c r="F41" i="2"/>
  <c r="H40" i="2"/>
  <c r="F40" i="2"/>
  <c r="H39" i="2"/>
  <c r="F39" i="2"/>
  <c r="H38" i="2"/>
  <c r="F38" i="2"/>
  <c r="H37" i="2"/>
  <c r="F37" i="2"/>
  <c r="H36" i="2"/>
  <c r="F36" i="2"/>
  <c r="H35" i="2"/>
  <c r="F35" i="2"/>
  <c r="H34" i="2"/>
  <c r="F34" i="2"/>
  <c r="H33" i="2"/>
  <c r="F33" i="2"/>
  <c r="H32" i="2"/>
  <c r="F32" i="2"/>
  <c r="H31" i="2"/>
  <c r="F31" i="2"/>
  <c r="H30" i="2"/>
  <c r="F30" i="2"/>
  <c r="H29" i="2"/>
  <c r="F29" i="2"/>
  <c r="H28" i="2"/>
  <c r="F28" i="2"/>
  <c r="H27" i="2"/>
  <c r="F27" i="2"/>
  <c r="H26" i="2"/>
  <c r="F26" i="2"/>
  <c r="H25" i="2"/>
  <c r="F25" i="2"/>
  <c r="H24" i="2"/>
  <c r="F24" i="2"/>
  <c r="H23" i="2"/>
  <c r="F23" i="2"/>
  <c r="H22" i="2"/>
  <c r="F22" i="2"/>
  <c r="H21" i="2"/>
  <c r="F21" i="2"/>
  <c r="H20" i="2"/>
  <c r="F20" i="2"/>
  <c r="H19" i="2"/>
  <c r="F19" i="2"/>
  <c r="H18" i="2"/>
  <c r="F18" i="2"/>
  <c r="H17" i="2"/>
  <c r="F17" i="2"/>
  <c r="H16" i="2"/>
  <c r="F16" i="2"/>
  <c r="H15" i="2"/>
  <c r="F15" i="2"/>
  <c r="H14" i="2"/>
  <c r="F14" i="2"/>
  <c r="H13" i="2"/>
  <c r="F13" i="2"/>
  <c r="H12" i="2"/>
  <c r="F12" i="2"/>
  <c r="B6" i="2"/>
  <c r="G44" i="1"/>
  <c r="I43" i="1"/>
  <c r="H43" i="1"/>
  <c r="J43" i="1" s="1"/>
  <c r="F37" i="3" s="1"/>
  <c r="I42" i="1"/>
  <c r="H42" i="1"/>
  <c r="J42" i="1" s="1"/>
  <c r="F36" i="3" s="1"/>
  <c r="I41" i="1"/>
  <c r="H41" i="1"/>
  <c r="J41" i="1" s="1"/>
  <c r="F35" i="3" s="1"/>
  <c r="I40" i="1"/>
  <c r="H40" i="1"/>
  <c r="J40" i="1" s="1"/>
  <c r="F34" i="3" s="1"/>
  <c r="I39" i="1"/>
  <c r="J39" i="1" s="1"/>
  <c r="F33" i="3" s="1"/>
  <c r="H39" i="1"/>
  <c r="I38" i="1"/>
  <c r="H38" i="1"/>
  <c r="J38" i="1" s="1"/>
  <c r="F32" i="3" s="1"/>
  <c r="I37" i="1"/>
  <c r="H37" i="1"/>
  <c r="J37" i="1" s="1"/>
  <c r="F31" i="3" s="1"/>
  <c r="I36" i="1"/>
  <c r="H36" i="1"/>
  <c r="J36" i="1" s="1"/>
  <c r="F30" i="3" s="1"/>
  <c r="I35" i="1"/>
  <c r="H35" i="1"/>
  <c r="J35" i="1" s="1"/>
  <c r="F29" i="3" s="1"/>
  <c r="I34" i="1"/>
  <c r="H34" i="1"/>
  <c r="J34" i="1" s="1"/>
  <c r="F28" i="3" s="1"/>
  <c r="I33" i="1"/>
  <c r="H33" i="1"/>
  <c r="J33" i="1" s="1"/>
  <c r="F27" i="3" s="1"/>
  <c r="J32" i="1"/>
  <c r="F26" i="3" s="1"/>
  <c r="I32" i="1"/>
  <c r="H32" i="1"/>
  <c r="I31" i="1"/>
  <c r="H31" i="1"/>
  <c r="J31" i="1" s="1"/>
  <c r="I30" i="1"/>
  <c r="H30" i="1"/>
  <c r="J30" i="1" s="1"/>
  <c r="C28" i="3" s="1"/>
  <c r="J29" i="1"/>
  <c r="C27" i="3" s="1"/>
  <c r="I29" i="1"/>
  <c r="H29" i="1"/>
  <c r="I28" i="1"/>
  <c r="J28" i="1" s="1"/>
  <c r="C26" i="3" s="1"/>
  <c r="H28" i="1"/>
  <c r="I27" i="1"/>
  <c r="J27" i="1" s="1"/>
  <c r="H27" i="1"/>
  <c r="I26" i="1"/>
  <c r="J26" i="1" s="1"/>
  <c r="F17" i="3" s="1"/>
  <c r="H26" i="1"/>
  <c r="I25" i="1"/>
  <c r="J25" i="1" s="1"/>
  <c r="F16" i="3" s="1"/>
  <c r="H25" i="1"/>
  <c r="I24" i="1"/>
  <c r="J24" i="1" s="1"/>
  <c r="F15" i="3" s="1"/>
  <c r="H24" i="1"/>
  <c r="I23" i="1"/>
  <c r="J23" i="1" s="1"/>
  <c r="H23" i="1"/>
  <c r="I22" i="1"/>
  <c r="J22" i="1" s="1"/>
  <c r="F13" i="3" s="1"/>
  <c r="H22" i="1"/>
  <c r="I21" i="1"/>
  <c r="J21" i="1" s="1"/>
  <c r="F12" i="3" s="1"/>
  <c r="H21" i="1"/>
  <c r="I20" i="1"/>
  <c r="J20" i="1" s="1"/>
  <c r="H20" i="1"/>
  <c r="I19" i="1"/>
  <c r="J19" i="1" s="1"/>
  <c r="C19" i="3" s="1"/>
  <c r="H19" i="1"/>
  <c r="I18" i="1"/>
  <c r="H18" i="1"/>
  <c r="J18" i="1" s="1"/>
  <c r="C18" i="3" s="1"/>
  <c r="I17" i="1"/>
  <c r="H17" i="1"/>
  <c r="J17" i="1" s="1"/>
  <c r="C17" i="3" s="1"/>
  <c r="I16" i="1"/>
  <c r="H16" i="1"/>
  <c r="J16" i="1" s="1"/>
  <c r="C16" i="3" s="1"/>
  <c r="I15" i="1"/>
  <c r="H15" i="1"/>
  <c r="J15" i="1" s="1"/>
  <c r="C15" i="3" s="1"/>
  <c r="I14" i="1"/>
  <c r="H14" i="1"/>
  <c r="J14" i="1" s="1"/>
  <c r="C14" i="3" s="1"/>
  <c r="I13" i="1"/>
  <c r="H13" i="1"/>
  <c r="J13" i="1" s="1"/>
  <c r="C13" i="3" s="1"/>
  <c r="J12" i="1"/>
  <c r="C12" i="3" s="1"/>
  <c r="I12" i="1"/>
  <c r="H12" i="1"/>
  <c r="I11" i="1"/>
  <c r="F6" i="2" s="1"/>
  <c r="H11" i="1"/>
  <c r="D6" i="2" s="1"/>
  <c r="H6" i="2" s="1"/>
  <c r="F38" i="3" l="1"/>
  <c r="I28" i="3"/>
  <c r="F25" i="3"/>
  <c r="C39" i="3"/>
  <c r="C38" i="3"/>
  <c r="C25" i="3"/>
  <c r="H6" i="3"/>
  <c r="I27" i="3"/>
  <c r="F11" i="3"/>
  <c r="I26" i="3"/>
  <c r="F14" i="3"/>
  <c r="F20" i="3"/>
  <c r="I25" i="3"/>
  <c r="E6" i="3"/>
  <c r="I44" i="1"/>
  <c r="J11" i="1"/>
  <c r="H44" i="1"/>
  <c r="I24" i="3" l="1"/>
  <c r="B6" i="3"/>
  <c r="C11" i="3"/>
  <c r="C20" i="3"/>
</calcChain>
</file>

<file path=xl/sharedStrings.xml><?xml version="1.0" encoding="utf-8"?>
<sst xmlns="http://schemas.openxmlformats.org/spreadsheetml/2006/main" count="352" uniqueCount="213">
  <si>
    <t>KONTENPLAN</t>
  </si>
  <si>
    <t>Verzeichnis aller Buchungskonten — Geschäftsjahr 2026</t>
  </si>
  <si>
    <t>UNTERNEHMEN</t>
  </si>
  <si>
    <t>GESCHÄFTSJAHR</t>
  </si>
  <si>
    <t>STAND</t>
  </si>
  <si>
    <t>Lehmann Schreinerei GmbH</t>
  </si>
  <si>
    <t>01.01.2026 – 31.12.2026</t>
  </si>
  <si>
    <t>15.06.2026</t>
  </si>
  <si>
    <t>KONTENVERZEICHNIS</t>
  </si>
  <si>
    <t>Nr.</t>
  </si>
  <si>
    <t>Konto-Nr.</t>
  </si>
  <si>
    <t>Kontobezeichnung</t>
  </si>
  <si>
    <t>Klasse</t>
  </si>
  <si>
    <t>Kontoart</t>
  </si>
  <si>
    <t>USt-%</t>
  </si>
  <si>
    <t>Eröffnungs-
saldo</t>
  </si>
  <si>
    <t>Sollumsatz</t>
  </si>
  <si>
    <t>Habenumsatz</t>
  </si>
  <si>
    <t>Saldo aktuell</t>
  </si>
  <si>
    <t>Status</t>
  </si>
  <si>
    <t>0440</t>
  </si>
  <si>
    <t>Maschinen und maschinelle Anlagen</t>
  </si>
  <si>
    <t>Aktiv</t>
  </si>
  <si>
    <t>—</t>
  </si>
  <si>
    <t>0650</t>
  </si>
  <si>
    <t>Büroausstattung</t>
  </si>
  <si>
    <t>0670</t>
  </si>
  <si>
    <t>Computer und EDV-Hardware</t>
  </si>
  <si>
    <t>1200</t>
  </si>
  <si>
    <t>Forderungen a. L+L</t>
  </si>
  <si>
    <t>1400</t>
  </si>
  <si>
    <t>Sonstige Forderungen</t>
  </si>
  <si>
    <t>1576</t>
  </si>
  <si>
    <t>Abziehbare Vorsteuer 19 %</t>
  </si>
  <si>
    <t>1577</t>
  </si>
  <si>
    <t>Abziehbare Vorsteuer 7 %</t>
  </si>
  <si>
    <t>1800</t>
  </si>
  <si>
    <t>Bank — Geschäftskonto</t>
  </si>
  <si>
    <t>1810</t>
  </si>
  <si>
    <t>Kasse</t>
  </si>
  <si>
    <t>2000</t>
  </si>
  <si>
    <t>Eigenkapital</t>
  </si>
  <si>
    <t>2070</t>
  </si>
  <si>
    <t>Privatentnahmen</t>
  </si>
  <si>
    <t>2080</t>
  </si>
  <si>
    <t>Privateinlagen</t>
  </si>
  <si>
    <t>3300</t>
  </si>
  <si>
    <t>Verbindlichkeiten a. L+L</t>
  </si>
  <si>
    <t>Passiv</t>
  </si>
  <si>
    <t>3500</t>
  </si>
  <si>
    <t>Darlehen langfristig</t>
  </si>
  <si>
    <t>3806</t>
  </si>
  <si>
    <t>Umsatzsteuer 19 %</t>
  </si>
  <si>
    <t>3801</t>
  </si>
  <si>
    <t>Umsatzsteuer 7 %</t>
  </si>
  <si>
    <t>4400</t>
  </si>
  <si>
    <t>Umsatzerlöse 19 % USt</t>
  </si>
  <si>
    <t>Ertrag</t>
  </si>
  <si>
    <t>4300</t>
  </si>
  <si>
    <t>Umsatzerlöse 7 % USt</t>
  </si>
  <si>
    <t>4830</t>
  </si>
  <si>
    <t>Sonstige betriebliche Erträge</t>
  </si>
  <si>
    <t>4920</t>
  </si>
  <si>
    <t>Zinserträge</t>
  </si>
  <si>
    <t>5200</t>
  </si>
  <si>
    <t>Wareneinkauf 19 %</t>
  </si>
  <si>
    <t>Aufwand</t>
  </si>
  <si>
    <t>6020</t>
  </si>
  <si>
    <t>Löhne und Gehälter</t>
  </si>
  <si>
    <t>6080</t>
  </si>
  <si>
    <t>Sozialversicherungsbeiträge</t>
  </si>
  <si>
    <t>6300</t>
  </si>
  <si>
    <t>Raumkosten / Miete</t>
  </si>
  <si>
    <t>6310</t>
  </si>
  <si>
    <t>Heizung und Energie</t>
  </si>
  <si>
    <t>6420</t>
  </si>
  <si>
    <t>Telefon und Internet</t>
  </si>
  <si>
    <t>6600</t>
  </si>
  <si>
    <t>Werbeaufwand</t>
  </si>
  <si>
    <t>6800</t>
  </si>
  <si>
    <t>Bürobedarf</t>
  </si>
  <si>
    <t>6810</t>
  </si>
  <si>
    <t>Fortbildungskosten</t>
  </si>
  <si>
    <t>6815</t>
  </si>
  <si>
    <t>Versicherungen / Beiträge</t>
  </si>
  <si>
    <t>6822</t>
  </si>
  <si>
    <t>Bewirtungskosten</t>
  </si>
  <si>
    <t>6856</t>
  </si>
  <si>
    <t>Reisekosten Unternehmer</t>
  </si>
  <si>
    <t>7320</t>
  </si>
  <si>
    <t>Zinsaufwendungen</t>
  </si>
  <si>
    <t>Σ Differenz Aktiva − Passiva (Eröffnung) / Bewegungen Soll = Haben</t>
  </si>
  <si>
    <t>BUCHUNGSJOURNAL 2026</t>
  </si>
  <si>
    <t>Chronologische Erfassung aller Geschäftsvorfälle</t>
  </si>
  <si>
    <t>ANZAHL BUCHUNGEN</t>
  </si>
  <si>
    <t>Σ SOLLUMSATZ</t>
  </si>
  <si>
    <t>Σ HABENUMSATZ</t>
  </si>
  <si>
    <t>PRÜFUNG</t>
  </si>
  <si>
    <t>BUCHUNGEN GESCHÄFTSJAHR 2026</t>
  </si>
  <si>
    <t>Datum</t>
  </si>
  <si>
    <t>Beleg-Nr.</t>
  </si>
  <si>
    <t>Buchungstext</t>
  </si>
  <si>
    <t>Soll-Konto</t>
  </si>
  <si>
    <t>Soll-Bezeichnung</t>
  </si>
  <si>
    <t>Haben-Konto</t>
  </si>
  <si>
    <t>Haben-Bezeichnung</t>
  </si>
  <si>
    <t>Betrag</t>
  </si>
  <si>
    <t>BEL-001</t>
  </si>
  <si>
    <t>Miete Geschäftsräume Januar</t>
  </si>
  <si>
    <t>BEL-002</t>
  </si>
  <si>
    <t>Energie und Heizung Januar</t>
  </si>
  <si>
    <t>BEL-003</t>
  </si>
  <si>
    <t>Bürobedarf (Barzahlung)</t>
  </si>
  <si>
    <t>BEL-004</t>
  </si>
  <si>
    <t>Telefon und Internet Januar</t>
  </si>
  <si>
    <t>BEL-005</t>
  </si>
  <si>
    <t>Ausgangsrechnung 2026-001 (netto)</t>
  </si>
  <si>
    <t>BEL-006</t>
  </si>
  <si>
    <t>USt 19 % Ausgangsrechnung 2026-001</t>
  </si>
  <si>
    <t>BEL-007</t>
  </si>
  <si>
    <t>Wareneinkauf Lieferant (netto)</t>
  </si>
  <si>
    <t>BEL-008</t>
  </si>
  <si>
    <t>Vorsteuer 19 % Wareneinkauf</t>
  </si>
  <si>
    <t>BEL-009</t>
  </si>
  <si>
    <t>Lohnzahlung Januar</t>
  </si>
  <si>
    <t>BEL-010</t>
  </si>
  <si>
    <t>Sozialversicherung AG-Anteil</t>
  </si>
  <si>
    <t>BEL-011</t>
  </si>
  <si>
    <t>Miete Geschäftsräume Februar</t>
  </si>
  <si>
    <t>BEL-012</t>
  </si>
  <si>
    <t>Zahlungseingang Rechnung 2026-001</t>
  </si>
  <si>
    <t>BEL-013</t>
  </si>
  <si>
    <t>Ausgangsrechnung 2026-002 (netto)</t>
  </si>
  <si>
    <t>BEL-014</t>
  </si>
  <si>
    <t>USt 19 % Ausgangsrechnung 2026-002</t>
  </si>
  <si>
    <t>BEL-015</t>
  </si>
  <si>
    <t>Werbeanzeige Online-Portal</t>
  </si>
  <si>
    <t>BEL-016</t>
  </si>
  <si>
    <t>Lohnzahlung Februar</t>
  </si>
  <si>
    <t>BEL-017</t>
  </si>
  <si>
    <t>Miete Geschäftsräume März</t>
  </si>
  <si>
    <t>BEL-018</t>
  </si>
  <si>
    <t>Ausgangsrechnung 2026-003 (netto)</t>
  </si>
  <si>
    <t>BEL-019</t>
  </si>
  <si>
    <t>USt 19 % Ausgangsrechnung 2026-003</t>
  </si>
  <si>
    <t>BEL-020</t>
  </si>
  <si>
    <t>Versicherungsprämie Q1</t>
  </si>
  <si>
    <t>BEL-021</t>
  </si>
  <si>
    <t>Lohnzahlung März</t>
  </si>
  <si>
    <t>BEL-022</t>
  </si>
  <si>
    <t>Miete Geschäftsräume April</t>
  </si>
  <si>
    <t>BEL-023</t>
  </si>
  <si>
    <t>Zinsaufwand Darlehen</t>
  </si>
  <si>
    <t>BEL-024</t>
  </si>
  <si>
    <t>Geschäftsreise (Barzahlung)</t>
  </si>
  <si>
    <t>BEL-025</t>
  </si>
  <si>
    <t>Lohnzahlung April</t>
  </si>
  <si>
    <t>SALDENLISTE &amp; AUSWERTUNG</t>
  </si>
  <si>
    <t>Bilanz und Gewinn-und-Verlust-Rechnung — Stand 15.06.2026</t>
  </si>
  <si>
    <t>BILANZSUMME AKTIVA</t>
  </si>
  <si>
    <t>PASSIVA (inkl. EK)</t>
  </si>
  <si>
    <t>PERIODENERGEBNIS</t>
  </si>
  <si>
    <t>BILANZ</t>
  </si>
  <si>
    <t>AKTIVA</t>
  </si>
  <si>
    <t>Saldo</t>
  </si>
  <si>
    <t>PASSIVA</t>
  </si>
  <si>
    <t>0440  Maschinen und maschinelle Anlagen</t>
  </si>
  <si>
    <t>2000  Eigenkapital</t>
  </si>
  <si>
    <t>0650  Büroausstattung</t>
  </si>
  <si>
    <t>2070  Privatentnahmen</t>
  </si>
  <si>
    <t>0670  Computer und EDV-Hardware</t>
  </si>
  <si>
    <t>2080  Privateinlagen</t>
  </si>
  <si>
    <t>1200  Forderungen a. L+L</t>
  </si>
  <si>
    <t>3300  Verbindlichkeiten a. L+L</t>
  </si>
  <si>
    <t>1400  Sonstige Forderungen</t>
  </si>
  <si>
    <t>3500  Darlehen langfristig</t>
  </si>
  <si>
    <t>1576  Abziehbare Vorsteuer 19 %</t>
  </si>
  <si>
    <t>3806  Umsatzsteuer 19 %</t>
  </si>
  <si>
    <t>1577  Abziehbare Vorsteuer 7 %</t>
  </si>
  <si>
    <t>3801  Umsatzsteuer 7 %</t>
  </si>
  <si>
    <t>1800  Bank — Geschäftskonto</t>
  </si>
  <si>
    <t>1810  Kasse</t>
  </si>
  <si>
    <t>Σ Bilanzsumme Aktiva</t>
  </si>
  <si>
    <t>Σ Bilanzsumme Passiva + Ergebnis</t>
  </si>
  <si>
    <t>GEWINN-UND-VERLUST-RECHNUNG</t>
  </si>
  <si>
    <t>Kategorie</t>
  </si>
  <si>
    <t>ERTRÄGE</t>
  </si>
  <si>
    <t>AUFWENDUNGEN</t>
  </si>
  <si>
    <t>Aktiva</t>
  </si>
  <si>
    <t>4400  Umsatzerlöse 19 % USt</t>
  </si>
  <si>
    <t>5200  Wareneinkauf 19 %</t>
  </si>
  <si>
    <t>Passiva</t>
  </si>
  <si>
    <t>4300  Umsatzerlöse 7 % USt</t>
  </si>
  <si>
    <t>6020  Löhne und Gehälter</t>
  </si>
  <si>
    <t>Eigenkap.</t>
  </si>
  <si>
    <t>4830  Sonstige betriebliche Erträge</t>
  </si>
  <si>
    <t>6080  Sozialversicherungsbeiträge</t>
  </si>
  <si>
    <t>Erträge</t>
  </si>
  <si>
    <t>4920  Zinserträge</t>
  </si>
  <si>
    <t>6300  Raumkosten / Miete</t>
  </si>
  <si>
    <t>Aufwand.</t>
  </si>
  <si>
    <t>6310  Heizung und Energie</t>
  </si>
  <si>
    <t>6420  Telefon und Internet</t>
  </si>
  <si>
    <t>6600  Werbeaufwand</t>
  </si>
  <si>
    <t>6800  Bürobedarf</t>
  </si>
  <si>
    <t>6810  Fortbildungskosten</t>
  </si>
  <si>
    <t>6815  Versicherungen / Beiträge</t>
  </si>
  <si>
    <t>6822  Bewirtungskosten</t>
  </si>
  <si>
    <t>6856  Reisekosten Unternehmer</t>
  </si>
  <si>
    <t>7320  Zinsaufwendungen</t>
  </si>
  <si>
    <t>Σ Erträge</t>
  </si>
  <si>
    <t>Σ Aufwendungen</t>
  </si>
  <si>
    <t>PERIODENERGEBNIS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</si>
</sst>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&quot; €&quot;;[Red]\-#,##0.00&quot; €&quot;;\—"/>
    <numFmt numFmtId="165" formatCode="#,##0.00&quot; €&quot;;;\—"/>
    <numFmt numFmtId="166" formatCode="#,##0.00&quot; €&quot;;[Red]\-#,##0.00&quot; €&quot;"/>
    <numFmt numFmtId="167" formatCode="#,##0.00&quot; €&quot;"/>
    <numFmt numFmtId="168" formatCode="dd\.mm\.yyyy"/>
    <numFmt numFmtId="169" formatCode="0\%;;\—"/>
  </numFmts>
  <fonts count="24" x14ac:knownFonts="1">
    <font>
      <sz val="11"/>
      <color theme="1"/>
      <name val="Calibri"/>
      <family val="2"/>
      <charset val="1"/>
    </font>
    <font>
      <b/>
      <sz val="24"/>
      <color rgb="FF1E3A52"/>
      <name val="Arial"/>
      <charset val="1"/>
    </font>
    <font>
      <i/>
      <sz val="10"/>
      <color rgb="FF6F6A60"/>
      <name val="Arial"/>
      <charset val="1"/>
    </font>
    <font>
      <b/>
      <sz val="8"/>
      <color rgb="FF6F6A60"/>
      <name val="Arial"/>
      <charset val="1"/>
    </font>
    <font>
      <b/>
      <sz val="12"/>
      <color rgb="FF2A2A2A"/>
      <name val="Arial"/>
      <charset val="1"/>
    </font>
    <font>
      <b/>
      <sz val="11"/>
      <color rgb="FF1E3A52"/>
      <name val="Arial"/>
      <charset val="1"/>
    </font>
    <font>
      <b/>
      <sz val="9"/>
      <color rgb="FFFFFFFF"/>
      <name val="Arial"/>
      <charset val="1"/>
    </font>
    <font>
      <sz val="10"/>
      <color rgb="FF6F6A60"/>
      <name val="Arial"/>
      <charset val="1"/>
    </font>
    <font>
      <b/>
      <sz val="10"/>
      <color rgb="FF1E3A52"/>
      <name val="Arial"/>
      <charset val="1"/>
    </font>
    <font>
      <sz val="10"/>
      <color rgb="FF2A2A2A"/>
      <name val="Arial"/>
      <charset val="1"/>
    </font>
    <font>
      <b/>
      <sz val="10"/>
      <color rgb="FF1E5A8C"/>
      <name val="Arial"/>
      <charset val="1"/>
    </font>
    <font>
      <b/>
      <sz val="10"/>
      <color rgb="FF503870"/>
      <name val="Arial"/>
      <charset val="1"/>
    </font>
    <font>
      <b/>
      <sz val="10"/>
      <color rgb="FF8B5A2B"/>
      <name val="Arial"/>
      <charset val="1"/>
    </font>
    <font>
      <b/>
      <sz val="10"/>
      <color rgb="FF2D5840"/>
      <name val="Arial"/>
      <charset val="1"/>
    </font>
    <font>
      <b/>
      <sz val="10"/>
      <color rgb="FF7A3434"/>
      <name val="Arial"/>
      <charset val="1"/>
    </font>
    <font>
      <b/>
      <sz val="10"/>
      <color rgb="FFFFFFFF"/>
      <name val="Arial"/>
      <charset val="1"/>
    </font>
    <font>
      <b/>
      <sz val="18"/>
      <color rgb="FF1E3A52"/>
      <name val="Arial"/>
      <charset val="1"/>
    </font>
    <font>
      <i/>
      <sz val="9"/>
      <color rgb="FF6F6A60"/>
      <name val="Arial"/>
      <charset val="1"/>
    </font>
    <font>
      <b/>
      <sz val="10"/>
      <color rgb="FF2A2A2A"/>
      <name val="Arial"/>
      <charset val="1"/>
    </font>
    <font>
      <b/>
      <sz val="20"/>
      <color rgb="FF1E3A52"/>
      <name val="Arial"/>
      <charset val="1"/>
    </font>
    <font>
      <b/>
      <sz val="11"/>
      <color rgb="FFFFFFFF"/>
      <name val="Arial"/>
      <charset val="1"/>
    </font>
    <font>
      <b/>
      <sz val="10"/>
      <color rgb="FF6F6A60"/>
      <name val="Arial"/>
      <charset val="1"/>
    </font>
    <font>
      <b/>
      <sz val="12"/>
      <color rgb="FFFFFFFF"/>
      <name val="Arial"/>
      <charset val="1"/>
    </font>
    <font>
      <b/>
      <sz val="10"/>
      <color rgb="FFFFFFFF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AF8F4"/>
        <bgColor rgb="FFFFFFFF"/>
      </patternFill>
    </fill>
    <fill>
      <patternFill patternType="solid">
        <fgColor rgb="FF1E3A52"/>
        <bgColor rgb="FF2A2A2A"/>
      </patternFill>
    </fill>
    <fill>
      <patternFill patternType="solid">
        <fgColor rgb="FFE3ECF2"/>
        <bgColor rgb="FFE0EBE0"/>
      </patternFill>
    </fill>
    <fill>
      <patternFill patternType="solid">
        <fgColor rgb="FFECE9E2"/>
        <bgColor rgb="FFEBE3F0"/>
      </patternFill>
    </fill>
    <fill>
      <patternFill patternType="solid">
        <fgColor rgb="FFEBE3F0"/>
        <bgColor rgb="FFECE9E2"/>
      </patternFill>
    </fill>
    <fill>
      <patternFill patternType="solid">
        <fgColor rgb="FFF0E4D0"/>
        <bgColor rgb="FFF0DEDE"/>
      </patternFill>
    </fill>
    <fill>
      <patternFill patternType="solid">
        <fgColor rgb="FFE0EBE0"/>
        <bgColor rgb="FFE3ECF2"/>
      </patternFill>
    </fill>
    <fill>
      <patternFill patternType="solid">
        <fgColor rgb="FFF0DEDE"/>
        <bgColor rgb="FFF0E4D0"/>
      </patternFill>
    </fill>
    <fill>
      <patternFill patternType="solid">
        <fgColor rgb="FF1E5A8C"/>
        <bgColor rgb="FF2D5840"/>
      </patternFill>
    </fill>
    <fill>
      <patternFill patternType="solid">
        <fgColor rgb="FF8B5A2B"/>
        <bgColor rgb="FF6F6A60"/>
      </patternFill>
    </fill>
    <fill>
      <patternFill patternType="solid">
        <fgColor rgb="FF2D5840"/>
        <bgColor rgb="FF1E3A52"/>
      </patternFill>
    </fill>
    <fill>
      <patternFill patternType="solid">
        <fgColor rgb="FF7A3434"/>
        <bgColor rgb="FF993366"/>
      </patternFill>
    </fill>
  </fills>
  <borders count="11">
    <border>
      <left/>
      <right/>
      <top/>
      <bottom/>
      <diagonal/>
    </border>
    <border>
      <left/>
      <right/>
      <top/>
      <bottom style="medium">
        <color rgb="FF1E3A52"/>
      </bottom>
      <diagonal/>
    </border>
    <border>
      <left/>
      <right/>
      <top/>
      <bottom style="thin">
        <color rgb="FFC8C2B6"/>
      </bottom>
      <diagonal/>
    </border>
    <border>
      <left style="thin">
        <color rgb="FF1E3A52"/>
      </left>
      <right style="thin">
        <color rgb="FF1E3A52"/>
      </right>
      <top style="thin">
        <color rgb="FF1E3A52"/>
      </top>
      <bottom style="thin">
        <color rgb="FF1E3A52"/>
      </bottom>
      <diagonal/>
    </border>
    <border>
      <left style="thin">
        <color rgb="FFC8C2B6"/>
      </left>
      <right style="thin">
        <color rgb="FFC8C2B6"/>
      </right>
      <top/>
      <bottom style="thin">
        <color rgb="FFC8C2B6"/>
      </bottom>
      <diagonal/>
    </border>
    <border>
      <left/>
      <right/>
      <top style="thin">
        <color rgb="FF1E3A52"/>
      </top>
      <bottom/>
      <diagonal/>
    </border>
    <border>
      <left/>
      <right/>
      <top/>
      <bottom style="thin">
        <color rgb="FF1E3A52"/>
      </bottom>
      <diagonal/>
    </border>
    <border>
      <left/>
      <right/>
      <top style="thin">
        <color rgb="FF1E5A8C"/>
      </top>
      <bottom style="thin">
        <color rgb="FF1E5A8C"/>
      </bottom>
      <diagonal/>
    </border>
    <border>
      <left/>
      <right/>
      <top style="thin">
        <color rgb="FF8B5A2B"/>
      </top>
      <bottom style="thin">
        <color rgb="FF8B5A2B"/>
      </bottom>
      <diagonal/>
    </border>
    <border>
      <left/>
      <right/>
      <top style="thin">
        <color rgb="FF2D5840"/>
      </top>
      <bottom style="thin">
        <color rgb="FF2D5840"/>
      </bottom>
      <diagonal/>
    </border>
    <border>
      <left/>
      <right/>
      <top style="thin">
        <color rgb="FF7A3434"/>
      </top>
      <bottom style="thin">
        <color rgb="FF7A3434"/>
      </bottom>
      <diagonal/>
    </border>
  </borders>
  <cellStyleXfs count="1">
    <xf numFmtId="0" fontId="0" fillId="0" borderId="0"/>
  </cellStyleXfs>
  <cellXfs count="84">
    <xf numFmtId="0" fontId="0" fillId="0" borderId="0" xfId="0"/>
    <xf numFmtId="166" fontId="19" fillId="2" borderId="6" xfId="0" applyNumberFormat="1" applyFont="1" applyFill="1" applyBorder="1" applyAlignment="1">
      <alignment horizontal="left" vertical="center" indent="1"/>
    </xf>
    <xf numFmtId="167" fontId="19" fillId="2" borderId="6" xfId="0" applyNumberFormat="1" applyFont="1" applyFill="1" applyBorder="1" applyAlignment="1">
      <alignment horizontal="left" vertical="center" indent="1"/>
    </xf>
    <xf numFmtId="0" fontId="16" fillId="2" borderId="6" xfId="0" applyFont="1" applyFill="1" applyBorder="1" applyAlignment="1">
      <alignment horizontal="left" vertical="center" indent="1"/>
    </xf>
    <xf numFmtId="167" fontId="16" fillId="2" borderId="6" xfId="0" applyNumberFormat="1" applyFont="1" applyFill="1" applyBorder="1" applyAlignment="1">
      <alignment horizontal="left" vertical="center" indent="1"/>
    </xf>
    <xf numFmtId="1" fontId="16" fillId="2" borderId="6" xfId="0" applyNumberFormat="1" applyFont="1" applyFill="1" applyBorder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5" fillId="0" borderId="0" xfId="0" applyFont="1"/>
    <xf numFmtId="0" fontId="4" fillId="2" borderId="2" xfId="0" applyFont="1" applyFill="1" applyBorder="1" applyAlignment="1">
      <alignment horizontal="left" vertical="center" indent="1"/>
    </xf>
    <xf numFmtId="0" fontId="3" fillId="0" borderId="0" xfId="0" applyFont="1"/>
    <xf numFmtId="0" fontId="2" fillId="0" borderId="1" xfId="0" applyFont="1" applyBorder="1"/>
    <xf numFmtId="0" fontId="1" fillId="0" borderId="0" xfId="0" applyFont="1"/>
    <xf numFmtId="0" fontId="6" fillId="3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left" vertical="center" indent="1"/>
    </xf>
    <xf numFmtId="0" fontId="9" fillId="2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164" fontId="9" fillId="2" borderId="4" xfId="0" applyNumberFormat="1" applyFont="1" applyFill="1" applyBorder="1" applyAlignment="1">
      <alignment horizontal="right" vertical="center" indent="1"/>
    </xf>
    <xf numFmtId="165" fontId="9" fillId="2" borderId="4" xfId="0" applyNumberFormat="1" applyFont="1" applyFill="1" applyBorder="1" applyAlignment="1">
      <alignment horizontal="right" vertical="center" indent="1"/>
    </xf>
    <xf numFmtId="164" fontId="10" fillId="2" borderId="4" xfId="0" applyNumberFormat="1" applyFont="1" applyFill="1" applyBorder="1" applyAlignment="1">
      <alignment horizontal="right" vertical="center" indent="1"/>
    </xf>
    <xf numFmtId="0" fontId="7" fillId="5" borderId="4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left" vertical="center" indent="1"/>
    </xf>
    <xf numFmtId="0" fontId="9" fillId="5" borderId="4" xfId="0" applyFont="1" applyFill="1" applyBorder="1" applyAlignment="1">
      <alignment horizontal="center" vertical="center"/>
    </xf>
    <xf numFmtId="164" fontId="9" fillId="5" borderId="4" xfId="0" applyNumberFormat="1" applyFont="1" applyFill="1" applyBorder="1" applyAlignment="1">
      <alignment horizontal="right" vertical="center" indent="1"/>
    </xf>
    <xf numFmtId="165" fontId="9" fillId="5" borderId="4" xfId="0" applyNumberFormat="1" applyFont="1" applyFill="1" applyBorder="1" applyAlignment="1">
      <alignment horizontal="right" vertical="center" indent="1"/>
    </xf>
    <xf numFmtId="164" fontId="10" fillId="5" borderId="4" xfId="0" applyNumberFormat="1" applyFont="1" applyFill="1" applyBorder="1" applyAlignment="1">
      <alignment horizontal="right" vertical="center" indent="1"/>
    </xf>
    <xf numFmtId="0" fontId="11" fillId="6" borderId="4" xfId="0" applyFont="1" applyFill="1" applyBorder="1" applyAlignment="1">
      <alignment horizontal="center" vertical="center"/>
    </xf>
    <xf numFmtId="164" fontId="11" fillId="5" borderId="4" xfId="0" applyNumberFormat="1" applyFont="1" applyFill="1" applyBorder="1" applyAlignment="1">
      <alignment horizontal="right" vertical="center" indent="1"/>
    </xf>
    <xf numFmtId="164" fontId="11" fillId="2" borderId="4" xfId="0" applyNumberFormat="1" applyFont="1" applyFill="1" applyBorder="1" applyAlignment="1">
      <alignment horizontal="right" vertical="center" indent="1"/>
    </xf>
    <xf numFmtId="0" fontId="12" fillId="7" borderId="4" xfId="0" applyFont="1" applyFill="1" applyBorder="1" applyAlignment="1">
      <alignment horizontal="center" vertical="center"/>
    </xf>
    <xf numFmtId="164" fontId="12" fillId="2" borderId="4" xfId="0" applyNumberFormat="1" applyFont="1" applyFill="1" applyBorder="1" applyAlignment="1">
      <alignment horizontal="right" vertical="center" indent="1"/>
    </xf>
    <xf numFmtId="164" fontId="12" fillId="5" borderId="4" xfId="0" applyNumberFormat="1" applyFont="1" applyFill="1" applyBorder="1" applyAlignment="1">
      <alignment horizontal="right" vertical="center" indent="1"/>
    </xf>
    <xf numFmtId="0" fontId="13" fillId="8" borderId="4" xfId="0" applyFont="1" applyFill="1" applyBorder="1" applyAlignment="1">
      <alignment horizontal="center" vertical="center"/>
    </xf>
    <xf numFmtId="164" fontId="13" fillId="2" borderId="4" xfId="0" applyNumberFormat="1" applyFont="1" applyFill="1" applyBorder="1" applyAlignment="1">
      <alignment horizontal="right" vertical="center" indent="1"/>
    </xf>
    <xf numFmtId="164" fontId="13" fillId="5" borderId="4" xfId="0" applyNumberFormat="1" applyFont="1" applyFill="1" applyBorder="1" applyAlignment="1">
      <alignment horizontal="right" vertical="center" indent="1"/>
    </xf>
    <xf numFmtId="0" fontId="14" fillId="9" borderId="4" xfId="0" applyFont="1" applyFill="1" applyBorder="1" applyAlignment="1">
      <alignment horizontal="center" vertical="center"/>
    </xf>
    <xf numFmtId="164" fontId="14" fillId="2" borderId="4" xfId="0" applyNumberFormat="1" applyFont="1" applyFill="1" applyBorder="1" applyAlignment="1">
      <alignment horizontal="right" vertical="center" indent="1"/>
    </xf>
    <xf numFmtId="164" fontId="14" fillId="5" borderId="4" xfId="0" applyNumberFormat="1" applyFont="1" applyFill="1" applyBorder="1" applyAlignment="1">
      <alignment horizontal="right" vertical="center" indent="1"/>
    </xf>
    <xf numFmtId="0" fontId="15" fillId="3" borderId="5" xfId="0" applyFont="1" applyFill="1" applyBorder="1" applyAlignment="1">
      <alignment horizontal="left" vertical="center" indent="1"/>
    </xf>
    <xf numFmtId="166" fontId="15" fillId="3" borderId="5" xfId="0" applyNumberFormat="1" applyFont="1" applyFill="1" applyBorder="1" applyAlignment="1">
      <alignment horizontal="right" vertical="center" indent="1"/>
    </xf>
    <xf numFmtId="167" fontId="15" fillId="3" borderId="5" xfId="0" applyNumberFormat="1" applyFont="1" applyFill="1" applyBorder="1" applyAlignment="1">
      <alignment horizontal="right" vertical="center" indent="1"/>
    </xf>
    <xf numFmtId="0" fontId="15" fillId="3" borderId="5" xfId="0" applyFont="1" applyFill="1" applyBorder="1" applyAlignment="1">
      <alignment horizontal="right" vertical="center" indent="1"/>
    </xf>
    <xf numFmtId="168" fontId="9" fillId="2" borderId="4" xfId="0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left" vertical="center" indent="1"/>
    </xf>
    <xf numFmtId="167" fontId="18" fillId="2" borderId="4" xfId="0" applyNumberFormat="1" applyFont="1" applyFill="1" applyBorder="1" applyAlignment="1">
      <alignment horizontal="right" vertical="center" indent="1"/>
    </xf>
    <xf numFmtId="169" fontId="7" fillId="2" borderId="4" xfId="0" applyNumberFormat="1" applyFont="1" applyFill="1" applyBorder="1" applyAlignment="1">
      <alignment horizontal="center" vertical="center"/>
    </xf>
    <xf numFmtId="168" fontId="9" fillId="5" borderId="4" xfId="0" applyNumberFormat="1" applyFont="1" applyFill="1" applyBorder="1" applyAlignment="1">
      <alignment horizontal="center" vertical="center"/>
    </xf>
    <xf numFmtId="0" fontId="17" fillId="5" borderId="4" xfId="0" applyFont="1" applyFill="1" applyBorder="1" applyAlignment="1">
      <alignment horizontal="left" vertical="center" indent="1"/>
    </xf>
    <xf numFmtId="167" fontId="18" fillId="5" borderId="4" xfId="0" applyNumberFormat="1" applyFont="1" applyFill="1" applyBorder="1" applyAlignment="1">
      <alignment horizontal="right" vertical="center" indent="1"/>
    </xf>
    <xf numFmtId="169" fontId="7" fillId="5" borderId="4" xfId="0" applyNumberFormat="1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168" fontId="2" fillId="5" borderId="4" xfId="0" applyNumberFormat="1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left" vertical="center" indent="1"/>
    </xf>
    <xf numFmtId="167" fontId="2" fillId="5" borderId="4" xfId="0" applyNumberFormat="1" applyFont="1" applyFill="1" applyBorder="1" applyAlignment="1">
      <alignment horizontal="right" vertical="center" indent="1"/>
    </xf>
    <xf numFmtId="169" fontId="2" fillId="5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68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indent="1"/>
    </xf>
    <xf numFmtId="167" fontId="2" fillId="2" borderId="4" xfId="0" applyNumberFormat="1" applyFont="1" applyFill="1" applyBorder="1" applyAlignment="1">
      <alignment horizontal="right" vertical="center" indent="1"/>
    </xf>
    <xf numFmtId="169" fontId="2" fillId="2" borderId="4" xfId="0" applyNumberFormat="1" applyFont="1" applyFill="1" applyBorder="1" applyAlignment="1">
      <alignment horizontal="center" vertical="center"/>
    </xf>
    <xf numFmtId="0" fontId="15" fillId="10" borderId="0" xfId="0" applyFont="1" applyFill="1" applyAlignment="1">
      <alignment horizontal="left" vertical="center" indent="1"/>
    </xf>
    <xf numFmtId="0" fontId="15" fillId="10" borderId="0" xfId="0" applyFont="1" applyFill="1" applyAlignment="1">
      <alignment horizontal="right" vertical="center" indent="1"/>
    </xf>
    <xf numFmtId="0" fontId="15" fillId="11" borderId="0" xfId="0" applyFont="1" applyFill="1" applyAlignment="1">
      <alignment horizontal="left" vertical="center" indent="1"/>
    </xf>
    <xf numFmtId="0" fontId="15" fillId="11" borderId="0" xfId="0" applyFont="1" applyFill="1" applyAlignment="1">
      <alignment horizontal="right" vertical="center" indent="1"/>
    </xf>
    <xf numFmtId="0" fontId="20" fillId="10" borderId="7" xfId="0" applyFont="1" applyFill="1" applyBorder="1" applyAlignment="1">
      <alignment horizontal="left" vertical="center" indent="1"/>
    </xf>
    <xf numFmtId="167" fontId="20" fillId="10" borderId="7" xfId="0" applyNumberFormat="1" applyFont="1" applyFill="1" applyBorder="1" applyAlignment="1">
      <alignment horizontal="right" vertical="center" indent="1"/>
    </xf>
    <xf numFmtId="0" fontId="20" fillId="11" borderId="8" xfId="0" applyFont="1" applyFill="1" applyBorder="1" applyAlignment="1">
      <alignment horizontal="left" vertical="center" indent="1"/>
    </xf>
    <xf numFmtId="167" fontId="20" fillId="11" borderId="8" xfId="0" applyNumberFormat="1" applyFont="1" applyFill="1" applyBorder="1" applyAlignment="1">
      <alignment horizontal="right" vertical="center" indent="1"/>
    </xf>
    <xf numFmtId="0" fontId="21" fillId="0" borderId="0" xfId="0" applyFont="1"/>
    <xf numFmtId="0" fontId="15" fillId="12" borderId="0" xfId="0" applyFont="1" applyFill="1" applyAlignment="1">
      <alignment horizontal="left" vertical="center" indent="1"/>
    </xf>
    <xf numFmtId="0" fontId="15" fillId="12" borderId="0" xfId="0" applyFont="1" applyFill="1" applyAlignment="1">
      <alignment horizontal="right" vertical="center" indent="1"/>
    </xf>
    <xf numFmtId="0" fontId="15" fillId="13" borderId="0" xfId="0" applyFont="1" applyFill="1" applyAlignment="1">
      <alignment horizontal="left" vertical="center" indent="1"/>
    </xf>
    <xf numFmtId="0" fontId="15" fillId="13" borderId="0" xfId="0" applyFont="1" applyFill="1" applyAlignment="1">
      <alignment horizontal="right" vertical="center" indent="1"/>
    </xf>
    <xf numFmtId="0" fontId="9" fillId="0" borderId="0" xfId="0" applyFont="1"/>
    <xf numFmtId="167" fontId="9" fillId="0" borderId="0" xfId="0" applyNumberFormat="1" applyFont="1"/>
    <xf numFmtId="0" fontId="20" fillId="12" borderId="9" xfId="0" applyFont="1" applyFill="1" applyBorder="1" applyAlignment="1">
      <alignment horizontal="left" vertical="center" indent="1"/>
    </xf>
    <xf numFmtId="167" fontId="20" fillId="12" borderId="9" xfId="0" applyNumberFormat="1" applyFont="1" applyFill="1" applyBorder="1" applyAlignment="1">
      <alignment horizontal="right" vertical="center" indent="1"/>
    </xf>
    <xf numFmtId="0" fontId="20" fillId="13" borderId="10" xfId="0" applyFont="1" applyFill="1" applyBorder="1" applyAlignment="1">
      <alignment horizontal="left" vertical="center" indent="1"/>
    </xf>
    <xf numFmtId="167" fontId="20" fillId="13" borderId="10" xfId="0" applyNumberFormat="1" applyFont="1" applyFill="1" applyBorder="1" applyAlignment="1">
      <alignment horizontal="right" vertical="center" indent="1"/>
    </xf>
    <xf numFmtId="0" fontId="22" fillId="3" borderId="0" xfId="0" applyFont="1" applyFill="1" applyAlignment="1">
      <alignment horizontal="left" vertical="center" indent="1"/>
    </xf>
    <xf numFmtId="166" fontId="22" fillId="3" borderId="0" xfId="0" applyNumberFormat="1" applyFont="1" applyFill="1" applyAlignment="1">
      <alignment horizontal="right" vertical="center" indent="1"/>
    </xf>
    <xf numFmtId="0" fontId="23" fillId="3" borderId="3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4">
    <dxf>
      <font>
        <b/>
        <sz val="20"/>
        <color rgb="FF7A3434"/>
        <name val="Arial"/>
        <charset val="1"/>
      </font>
      <fill>
        <patternFill>
          <bgColor rgb="FFFAF8F4"/>
        </patternFill>
      </fill>
    </dxf>
    <dxf>
      <font>
        <b/>
        <sz val="20"/>
        <color rgb="FF2D5840"/>
        <name val="Arial"/>
        <charset val="1"/>
      </font>
      <fill>
        <patternFill>
          <bgColor rgb="FFFAF8F4"/>
        </patternFill>
      </fill>
    </dxf>
    <dxf>
      <font>
        <b/>
        <sz val="18"/>
        <color rgb="FF7A3434"/>
        <name val="Arial"/>
        <charset val="1"/>
      </font>
      <fill>
        <patternFill>
          <bgColor rgb="FFF0DEDE"/>
        </patternFill>
      </fill>
    </dxf>
    <dxf>
      <font>
        <b/>
        <sz val="18"/>
        <color rgb="FF2D5840"/>
        <name val="Arial"/>
        <charset val="1"/>
      </font>
      <fill>
        <patternFill>
          <bgColor rgb="FFE0EBE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B5A2B"/>
      <rgbColor rgb="FF800080"/>
      <rgbColor rgb="FF008080"/>
      <rgbColor rgb="FFC8C2B6"/>
      <rgbColor rgb="FF878787"/>
      <rgbColor rgb="FF9999FF"/>
      <rgbColor rgb="FF7A3434"/>
      <rgbColor rgb="FFFAF8F4"/>
      <rgbColor rgb="FFE3ECF2"/>
      <rgbColor rgb="FF660066"/>
      <rgbColor rgb="FFFF8080"/>
      <rgbColor rgb="FF1E5A8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CE9E2"/>
      <rgbColor rgb="FFE0EBE0"/>
      <rgbColor rgb="FFF0DEDE"/>
      <rgbColor rgb="FFEBE3F0"/>
      <rgbColor rgb="FFFF99CC"/>
      <rgbColor rgb="FFCC99FF"/>
      <rgbColor rgb="FFF0E4D0"/>
      <rgbColor rgb="FF4F81BD"/>
      <rgbColor rgb="FF33CCCC"/>
      <rgbColor rgb="FF99CC00"/>
      <rgbColor rgb="FFFFCC00"/>
      <rgbColor rgb="FFFF9900"/>
      <rgbColor rgb="FFFF6600"/>
      <rgbColor rgb="FF6F6A60"/>
      <rgbColor rgb="FF969696"/>
      <rgbColor rgb="FF1E3A52"/>
      <rgbColor rgb="FF339966"/>
      <rgbColor rgb="FF003300"/>
      <rgbColor rgb="FF2D5840"/>
      <rgbColor rgb="FF993300"/>
      <rgbColor rgb="FF993366"/>
      <rgbColor rgb="FF503870"/>
      <rgbColor rgb="FF2A2A2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de-DE" sz="1800" b="1" strike="noStrike" spc="-1">
                <a:solidFill>
                  <a:srgbClr val="000000"/>
                </a:solidFill>
                <a:latin typeface="Calibri"/>
              </a:rPr>
              <a:t>Saldenübersicht nach Kontoart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'Saldenliste &amp; Auswertung'!$I$23</c:f>
              <c:strCache>
                <c:ptCount val="1"/>
                <c:pt idx="0">
                  <c:v>Betrag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1E5A8C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1-E542-4C8E-A207-20714A950274}"/>
              </c:ext>
            </c:extLst>
          </c:dPt>
          <c:dPt>
            <c:idx val="1"/>
            <c:invertIfNegative val="0"/>
            <c:bubble3D val="0"/>
            <c:spPr>
              <a:solidFill>
                <a:srgbClr val="8B5A2B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E542-4C8E-A207-20714A950274}"/>
              </c:ext>
            </c:extLst>
          </c:dPt>
          <c:dPt>
            <c:idx val="2"/>
            <c:invertIfNegative val="0"/>
            <c:bubble3D val="0"/>
            <c:spPr>
              <a:solidFill>
                <a:srgbClr val="50387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5-E542-4C8E-A207-20714A950274}"/>
              </c:ext>
            </c:extLst>
          </c:dPt>
          <c:dPt>
            <c:idx val="3"/>
            <c:invertIfNegative val="0"/>
            <c:bubble3D val="0"/>
            <c:spPr>
              <a:solidFill>
                <a:srgbClr val="2D584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7-E542-4C8E-A207-20714A950274}"/>
              </c:ext>
            </c:extLst>
          </c:dPt>
          <c:dPt>
            <c:idx val="4"/>
            <c:invertIfNegative val="0"/>
            <c:bubble3D val="0"/>
            <c:spPr>
              <a:solidFill>
                <a:srgbClr val="7A343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9-E542-4C8E-A207-20714A950274}"/>
              </c:ext>
            </c:extLst>
          </c:dPt>
          <c:dLbls>
            <c:dLbl>
              <c:idx val="0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1-E542-4C8E-A207-20714A950274}"/>
                </c:ext>
              </c:extLst>
            </c:dLbl>
            <c:dLbl>
              <c:idx val="1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3-E542-4C8E-A207-20714A950274}"/>
                </c:ext>
              </c:extLst>
            </c:dLbl>
            <c:dLbl>
              <c:idx val="2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5-E542-4C8E-A207-20714A950274}"/>
                </c:ext>
              </c:extLst>
            </c:dLbl>
            <c:dLbl>
              <c:idx val="3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7-E542-4C8E-A207-20714A950274}"/>
                </c:ext>
              </c:extLst>
            </c:dLbl>
            <c:dLbl>
              <c:idx val="4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9-E542-4C8E-A207-20714A9502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'Saldenliste &amp; Auswertung'!$H$24:$H$28</c:f>
              <c:strCache>
                <c:ptCount val="5"/>
                <c:pt idx="0">
                  <c:v>Aktiva</c:v>
                </c:pt>
                <c:pt idx="1">
                  <c:v>Passiva</c:v>
                </c:pt>
                <c:pt idx="2">
                  <c:v>Eigenkap.</c:v>
                </c:pt>
                <c:pt idx="3">
                  <c:v>Erträge</c:v>
                </c:pt>
                <c:pt idx="4">
                  <c:v>Aufwand.</c:v>
                </c:pt>
              </c:strCache>
            </c:strRef>
          </c:cat>
          <c:val>
            <c:numRef>
              <c:f>'Saldenliste &amp; Auswertung'!$I$24:$I$28</c:f>
              <c:numCache>
                <c:formatCode>#,##0.00" €"</c:formatCode>
                <c:ptCount val="5"/>
                <c:pt idx="0">
                  <c:v>98379.3</c:v>
                </c:pt>
                <c:pt idx="1">
                  <c:v>52130</c:v>
                </c:pt>
                <c:pt idx="2">
                  <c:v>45000</c:v>
                </c:pt>
                <c:pt idx="3">
                  <c:v>24700</c:v>
                </c:pt>
                <c:pt idx="4">
                  <c:v>23450.7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542-4C8E-A207-20714A950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0780"/>
        <c:axId val="51897704"/>
      </c:barChart>
      <c:catAx>
        <c:axId val="6407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51897704"/>
        <c:crosses val="autoZero"/>
        <c:auto val="1"/>
        <c:lblAlgn val="ctr"/>
        <c:lblOffset val="100"/>
        <c:noMultiLvlLbl val="0"/>
      </c:catAx>
      <c:valAx>
        <c:axId val="51897704"/>
        <c:scaling>
          <c:orientation val="minMax"/>
        </c:scaling>
        <c:delete val="0"/>
        <c:axPos val="b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#,##0.00&quot; €&quot;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640780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29</xdr:row>
      <xdr:rowOff>0</xdr:rowOff>
    </xdr:from>
    <xdr:to>
      <xdr:col>13</xdr:col>
      <xdr:colOff>541800</xdr:colOff>
      <xdr:row>42</xdr:row>
      <xdr:rowOff>29520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4"/>
  <sheetViews>
    <sheetView showGridLines="0" tabSelected="1" zoomScaleNormal="100" workbookViewId="0">
      <pane ySplit="10" topLeftCell="A11" activePane="bottomLeft" state="frozen"/>
      <selection pane="bottomLeft" activeCell="P14" sqref="P14"/>
    </sheetView>
  </sheetViews>
  <sheetFormatPr baseColWidth="10" defaultColWidth="8.7109375" defaultRowHeight="15" x14ac:dyDescent="0.25"/>
  <cols>
    <col min="1" max="1" width="5" customWidth="1"/>
    <col min="2" max="2" width="10" customWidth="1"/>
    <col min="3" max="3" width="34" customWidth="1"/>
    <col min="4" max="4" width="8" customWidth="1"/>
    <col min="5" max="5" width="14" customWidth="1"/>
    <col min="6" max="6" width="9" customWidth="1"/>
    <col min="7" max="7" width="12" bestFit="1" customWidth="1"/>
    <col min="8" max="9" width="13" customWidth="1"/>
    <col min="10" max="10" width="14" customWidth="1"/>
    <col min="11" max="11" width="10" customWidth="1"/>
  </cols>
  <sheetData>
    <row r="1" spans="1:11" ht="7.5" customHeight="1" x14ac:dyDescent="0.25"/>
    <row r="2" spans="1:11" ht="31.5" customHeight="1" x14ac:dyDescent="0.4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</row>
    <row r="3" spans="1:11" x14ac:dyDescent="0.25">
      <c r="B3" s="10" t="s">
        <v>1</v>
      </c>
      <c r="C3" s="10"/>
      <c r="D3" s="10"/>
      <c r="E3" s="10"/>
      <c r="F3" s="10"/>
      <c r="G3" s="10"/>
      <c r="H3" s="10"/>
      <c r="I3" s="10"/>
      <c r="J3" s="10"/>
      <c r="K3" s="10"/>
    </row>
    <row r="5" spans="1:11" ht="18" customHeight="1" x14ac:dyDescent="0.25">
      <c r="B5" s="9" t="s">
        <v>2</v>
      </c>
      <c r="C5" s="9"/>
      <c r="D5" s="9"/>
      <c r="E5" s="9"/>
      <c r="F5" s="9" t="s">
        <v>3</v>
      </c>
      <c r="G5" s="9"/>
      <c r="I5" s="9" t="s">
        <v>4</v>
      </c>
      <c r="J5" s="9"/>
    </row>
    <row r="6" spans="1:11" ht="21.75" customHeight="1" x14ac:dyDescent="0.25">
      <c r="B6" s="8" t="s">
        <v>5</v>
      </c>
      <c r="C6" s="8"/>
      <c r="D6" s="8"/>
      <c r="E6" s="8"/>
      <c r="F6" s="8" t="s">
        <v>6</v>
      </c>
      <c r="G6" s="8"/>
      <c r="H6" s="8"/>
      <c r="I6" s="8" t="s">
        <v>7</v>
      </c>
      <c r="J6" s="8"/>
      <c r="K6" s="8"/>
    </row>
    <row r="8" spans="1:11" ht="9.75" customHeight="1" x14ac:dyDescent="0.25"/>
    <row r="9" spans="1:11" ht="21.75" customHeight="1" x14ac:dyDescent="0.25">
      <c r="B9" s="7" t="s">
        <v>8</v>
      </c>
      <c r="C9" s="7"/>
      <c r="D9" s="7"/>
      <c r="E9" s="7"/>
      <c r="F9" s="7"/>
      <c r="G9" s="7"/>
      <c r="H9" s="7"/>
      <c r="I9" s="7"/>
      <c r="J9" s="7"/>
      <c r="K9" s="7"/>
    </row>
    <row r="10" spans="1:11" ht="36" customHeight="1" x14ac:dyDescent="0.25">
      <c r="A10" s="83" t="s">
        <v>9</v>
      </c>
      <c r="B10" s="83" t="s">
        <v>10</v>
      </c>
      <c r="C10" s="83" t="s">
        <v>11</v>
      </c>
      <c r="D10" s="83" t="s">
        <v>12</v>
      </c>
      <c r="E10" s="83" t="s">
        <v>13</v>
      </c>
      <c r="F10" s="83" t="s">
        <v>14</v>
      </c>
      <c r="G10" s="83" t="s">
        <v>15</v>
      </c>
      <c r="H10" s="83" t="s">
        <v>16</v>
      </c>
      <c r="I10" s="83" t="s">
        <v>17</v>
      </c>
      <c r="J10" s="83" t="s">
        <v>18</v>
      </c>
      <c r="K10" s="83" t="s">
        <v>19</v>
      </c>
    </row>
    <row r="11" spans="1:11" ht="21" customHeight="1" x14ac:dyDescent="0.25">
      <c r="A11" s="13">
        <v>1</v>
      </c>
      <c r="B11" s="14" t="s">
        <v>20</v>
      </c>
      <c r="C11" s="15" t="s">
        <v>21</v>
      </c>
      <c r="D11" s="16">
        <v>0</v>
      </c>
      <c r="E11" s="17" t="s">
        <v>22</v>
      </c>
      <c r="F11" s="16" t="s">
        <v>23</v>
      </c>
      <c r="G11" s="18">
        <v>25000</v>
      </c>
      <c r="H11" s="19">
        <f>SUMIF(Buchungsjournal!$E$12:$E$200,B11,Buchungsjournal!$I$12:$I$200)</f>
        <v>0</v>
      </c>
      <c r="I11" s="19">
        <f>SUMIF(Buchungsjournal!$G$12:$G$200,B11,Buchungsjournal!$I$12:$I$200)</f>
        <v>0</v>
      </c>
      <c r="J11" s="20">
        <f t="shared" ref="J11:J43" si="0">IF(OR(E11="Aktiv",E11="Aufwand"),G11+H11-I11,G11+I11-H11)</f>
        <v>25000</v>
      </c>
      <c r="K11" s="13" t="s">
        <v>22</v>
      </c>
    </row>
    <row r="12" spans="1:11" ht="21" customHeight="1" x14ac:dyDescent="0.25">
      <c r="A12" s="21">
        <v>2</v>
      </c>
      <c r="B12" s="22" t="s">
        <v>24</v>
      </c>
      <c r="C12" s="23" t="s">
        <v>25</v>
      </c>
      <c r="D12" s="24">
        <v>0</v>
      </c>
      <c r="E12" s="17" t="s">
        <v>22</v>
      </c>
      <c r="F12" s="24" t="s">
        <v>23</v>
      </c>
      <c r="G12" s="25">
        <v>8500</v>
      </c>
      <c r="H12" s="26">
        <f>SUMIF(Buchungsjournal!$E$12:$E$200,B12,Buchungsjournal!$I$12:$I$200)</f>
        <v>0</v>
      </c>
      <c r="I12" s="26">
        <f>SUMIF(Buchungsjournal!$G$12:$G$200,B12,Buchungsjournal!$I$12:$I$200)</f>
        <v>0</v>
      </c>
      <c r="J12" s="27">
        <f t="shared" si="0"/>
        <v>8500</v>
      </c>
      <c r="K12" s="21" t="s">
        <v>22</v>
      </c>
    </row>
    <row r="13" spans="1:11" ht="21" customHeight="1" x14ac:dyDescent="0.25">
      <c r="A13" s="13">
        <v>3</v>
      </c>
      <c r="B13" s="14" t="s">
        <v>26</v>
      </c>
      <c r="C13" s="15" t="s">
        <v>27</v>
      </c>
      <c r="D13" s="16">
        <v>0</v>
      </c>
      <c r="E13" s="17" t="s">
        <v>22</v>
      </c>
      <c r="F13" s="16" t="s">
        <v>23</v>
      </c>
      <c r="G13" s="18">
        <v>4200</v>
      </c>
      <c r="H13" s="19">
        <f>SUMIF(Buchungsjournal!$E$12:$E$200,B13,Buchungsjournal!$I$12:$I$200)</f>
        <v>0</v>
      </c>
      <c r="I13" s="19">
        <f>SUMIF(Buchungsjournal!$G$12:$G$200,B13,Buchungsjournal!$I$12:$I$200)</f>
        <v>0</v>
      </c>
      <c r="J13" s="20">
        <f t="shared" si="0"/>
        <v>4200</v>
      </c>
      <c r="K13" s="13" t="s">
        <v>22</v>
      </c>
    </row>
    <row r="14" spans="1:11" ht="21" customHeight="1" x14ac:dyDescent="0.25">
      <c r="A14" s="21">
        <v>4</v>
      </c>
      <c r="B14" s="22" t="s">
        <v>28</v>
      </c>
      <c r="C14" s="23" t="s">
        <v>29</v>
      </c>
      <c r="D14" s="24">
        <v>1</v>
      </c>
      <c r="E14" s="17" t="s">
        <v>22</v>
      </c>
      <c r="F14" s="24" t="s">
        <v>23</v>
      </c>
      <c r="G14" s="25">
        <v>18750</v>
      </c>
      <c r="H14" s="26">
        <f>SUMIF(Buchungsjournal!$E$12:$E$200,B14,Buchungsjournal!$I$12:$I$200)</f>
        <v>29393</v>
      </c>
      <c r="I14" s="26">
        <f>SUMIF(Buchungsjournal!$G$12:$G$200,B14,Buchungsjournal!$I$12:$I$200)</f>
        <v>10115</v>
      </c>
      <c r="J14" s="27">
        <f t="shared" si="0"/>
        <v>38028</v>
      </c>
      <c r="K14" s="21" t="s">
        <v>22</v>
      </c>
    </row>
    <row r="15" spans="1:11" ht="21" customHeight="1" x14ac:dyDescent="0.25">
      <c r="A15" s="13">
        <v>5</v>
      </c>
      <c r="B15" s="14" t="s">
        <v>30</v>
      </c>
      <c r="C15" s="15" t="s">
        <v>31</v>
      </c>
      <c r="D15" s="16">
        <v>1</v>
      </c>
      <c r="E15" s="17" t="s">
        <v>22</v>
      </c>
      <c r="F15" s="16" t="s">
        <v>23</v>
      </c>
      <c r="G15" s="18">
        <v>0</v>
      </c>
      <c r="H15" s="19">
        <f>SUMIF(Buchungsjournal!$E$12:$E$200,B15,Buchungsjournal!$I$12:$I$200)</f>
        <v>0</v>
      </c>
      <c r="I15" s="19">
        <f>SUMIF(Buchungsjournal!$G$12:$G$200,B15,Buchungsjournal!$I$12:$I$200)</f>
        <v>0</v>
      </c>
      <c r="J15" s="20">
        <f t="shared" si="0"/>
        <v>0</v>
      </c>
      <c r="K15" s="13" t="s">
        <v>22</v>
      </c>
    </row>
    <row r="16" spans="1:11" ht="21" customHeight="1" x14ac:dyDescent="0.25">
      <c r="A16" s="21">
        <v>6</v>
      </c>
      <c r="B16" s="22" t="s">
        <v>32</v>
      </c>
      <c r="C16" s="23" t="s">
        <v>33</v>
      </c>
      <c r="D16" s="24">
        <v>1</v>
      </c>
      <c r="E16" s="17" t="s">
        <v>22</v>
      </c>
      <c r="F16" s="24">
        <v>19</v>
      </c>
      <c r="G16" s="25">
        <v>0</v>
      </c>
      <c r="H16" s="26">
        <f>SUMIF(Buchungsjournal!$E$12:$E$200,B16,Buchungsjournal!$I$12:$I$200)</f>
        <v>437</v>
      </c>
      <c r="I16" s="26">
        <f>SUMIF(Buchungsjournal!$G$12:$G$200,B16,Buchungsjournal!$I$12:$I$200)</f>
        <v>0</v>
      </c>
      <c r="J16" s="27">
        <f t="shared" si="0"/>
        <v>437</v>
      </c>
      <c r="K16" s="21" t="s">
        <v>22</v>
      </c>
    </row>
    <row r="17" spans="1:11" ht="21" customHeight="1" x14ac:dyDescent="0.25">
      <c r="A17" s="13">
        <v>7</v>
      </c>
      <c r="B17" s="14" t="s">
        <v>34</v>
      </c>
      <c r="C17" s="15" t="s">
        <v>35</v>
      </c>
      <c r="D17" s="16">
        <v>1</v>
      </c>
      <c r="E17" s="17" t="s">
        <v>22</v>
      </c>
      <c r="F17" s="16">
        <v>7</v>
      </c>
      <c r="G17" s="18">
        <v>0</v>
      </c>
      <c r="H17" s="19">
        <f>SUMIF(Buchungsjournal!$E$12:$E$200,B17,Buchungsjournal!$I$12:$I$200)</f>
        <v>0</v>
      </c>
      <c r="I17" s="19">
        <f>SUMIF(Buchungsjournal!$G$12:$G$200,B17,Buchungsjournal!$I$12:$I$200)</f>
        <v>0</v>
      </c>
      <c r="J17" s="20">
        <f t="shared" si="0"/>
        <v>0</v>
      </c>
      <c r="K17" s="13" t="s">
        <v>22</v>
      </c>
    </row>
    <row r="18" spans="1:11" ht="21" customHeight="1" x14ac:dyDescent="0.25">
      <c r="A18" s="21">
        <v>8</v>
      </c>
      <c r="B18" s="22" t="s">
        <v>36</v>
      </c>
      <c r="C18" s="23" t="s">
        <v>37</v>
      </c>
      <c r="D18" s="24">
        <v>1</v>
      </c>
      <c r="E18" s="17" t="s">
        <v>22</v>
      </c>
      <c r="F18" s="24" t="s">
        <v>23</v>
      </c>
      <c r="G18" s="25">
        <v>32400</v>
      </c>
      <c r="H18" s="26">
        <f>SUMIF(Buchungsjournal!$E$12:$E$200,B18,Buchungsjournal!$I$12:$I$200)</f>
        <v>10115</v>
      </c>
      <c r="I18" s="26">
        <f>SUMIF(Buchungsjournal!$G$12:$G$200,B18,Buchungsjournal!$I$12:$I$200)</f>
        <v>20847.5</v>
      </c>
      <c r="J18" s="27">
        <f t="shared" si="0"/>
        <v>21667.5</v>
      </c>
      <c r="K18" s="21" t="s">
        <v>22</v>
      </c>
    </row>
    <row r="19" spans="1:11" ht="21" customHeight="1" x14ac:dyDescent="0.25">
      <c r="A19" s="13">
        <v>9</v>
      </c>
      <c r="B19" s="14" t="s">
        <v>38</v>
      </c>
      <c r="C19" s="15" t="s">
        <v>39</v>
      </c>
      <c r="D19" s="16">
        <v>1</v>
      </c>
      <c r="E19" s="17" t="s">
        <v>22</v>
      </c>
      <c r="F19" s="16" t="s">
        <v>23</v>
      </c>
      <c r="G19" s="18">
        <v>850</v>
      </c>
      <c r="H19" s="19">
        <f>SUMIF(Buchungsjournal!$E$12:$E$200,B19,Buchungsjournal!$I$12:$I$200)</f>
        <v>0</v>
      </c>
      <c r="I19" s="19">
        <f>SUMIF(Buchungsjournal!$G$12:$G$200,B19,Buchungsjournal!$I$12:$I$200)</f>
        <v>303.20000000000005</v>
      </c>
      <c r="J19" s="20">
        <f t="shared" si="0"/>
        <v>546.79999999999995</v>
      </c>
      <c r="K19" s="13" t="s">
        <v>22</v>
      </c>
    </row>
    <row r="20" spans="1:11" ht="21" customHeight="1" x14ac:dyDescent="0.25">
      <c r="A20" s="21">
        <v>10</v>
      </c>
      <c r="B20" s="22" t="s">
        <v>40</v>
      </c>
      <c r="C20" s="23" t="s">
        <v>41</v>
      </c>
      <c r="D20" s="24">
        <v>2</v>
      </c>
      <c r="E20" s="28" t="s">
        <v>41</v>
      </c>
      <c r="F20" s="24" t="s">
        <v>23</v>
      </c>
      <c r="G20" s="25">
        <v>45000</v>
      </c>
      <c r="H20" s="26">
        <f>SUMIF(Buchungsjournal!$E$12:$E$200,B20,Buchungsjournal!$I$12:$I$200)</f>
        <v>0</v>
      </c>
      <c r="I20" s="26">
        <f>SUMIF(Buchungsjournal!$G$12:$G$200,B20,Buchungsjournal!$I$12:$I$200)</f>
        <v>0</v>
      </c>
      <c r="J20" s="29">
        <f t="shared" si="0"/>
        <v>45000</v>
      </c>
      <c r="K20" s="21" t="s">
        <v>22</v>
      </c>
    </row>
    <row r="21" spans="1:11" ht="21" customHeight="1" x14ac:dyDescent="0.25">
      <c r="A21" s="13">
        <v>11</v>
      </c>
      <c r="B21" s="14" t="s">
        <v>42</v>
      </c>
      <c r="C21" s="15" t="s">
        <v>43</v>
      </c>
      <c r="D21" s="16">
        <v>2</v>
      </c>
      <c r="E21" s="28" t="s">
        <v>41</v>
      </c>
      <c r="F21" s="16" t="s">
        <v>23</v>
      </c>
      <c r="G21" s="18">
        <v>0</v>
      </c>
      <c r="H21" s="19">
        <f>SUMIF(Buchungsjournal!$E$12:$E$200,B21,Buchungsjournal!$I$12:$I$200)</f>
        <v>0</v>
      </c>
      <c r="I21" s="19">
        <f>SUMIF(Buchungsjournal!$G$12:$G$200,B21,Buchungsjournal!$I$12:$I$200)</f>
        <v>0</v>
      </c>
      <c r="J21" s="30">
        <f t="shared" si="0"/>
        <v>0</v>
      </c>
      <c r="K21" s="13" t="s">
        <v>22</v>
      </c>
    </row>
    <row r="22" spans="1:11" ht="21" customHeight="1" x14ac:dyDescent="0.25">
      <c r="A22" s="21">
        <v>12</v>
      </c>
      <c r="B22" s="22" t="s">
        <v>44</v>
      </c>
      <c r="C22" s="23" t="s">
        <v>45</v>
      </c>
      <c r="D22" s="24">
        <v>2</v>
      </c>
      <c r="E22" s="28" t="s">
        <v>41</v>
      </c>
      <c r="F22" s="24" t="s">
        <v>23</v>
      </c>
      <c r="G22" s="25">
        <v>0</v>
      </c>
      <c r="H22" s="26">
        <f>SUMIF(Buchungsjournal!$E$12:$E$200,B22,Buchungsjournal!$I$12:$I$200)</f>
        <v>0</v>
      </c>
      <c r="I22" s="26">
        <f>SUMIF(Buchungsjournal!$G$12:$G$200,B22,Buchungsjournal!$I$12:$I$200)</f>
        <v>0</v>
      </c>
      <c r="J22" s="29">
        <f t="shared" si="0"/>
        <v>0</v>
      </c>
      <c r="K22" s="21" t="s">
        <v>22</v>
      </c>
    </row>
    <row r="23" spans="1:11" ht="21" customHeight="1" x14ac:dyDescent="0.25">
      <c r="A23" s="13">
        <v>13</v>
      </c>
      <c r="B23" s="14" t="s">
        <v>46</v>
      </c>
      <c r="C23" s="15" t="s">
        <v>47</v>
      </c>
      <c r="D23" s="16">
        <v>3</v>
      </c>
      <c r="E23" s="31" t="s">
        <v>48</v>
      </c>
      <c r="F23" s="16" t="s">
        <v>23</v>
      </c>
      <c r="G23" s="18">
        <v>12800</v>
      </c>
      <c r="H23" s="19">
        <f>SUMIF(Buchungsjournal!$E$12:$E$200,B23,Buchungsjournal!$I$12:$I$200)</f>
        <v>0</v>
      </c>
      <c r="I23" s="19">
        <f>SUMIF(Buchungsjournal!$G$12:$G$200,B23,Buchungsjournal!$I$12:$I$200)</f>
        <v>2737</v>
      </c>
      <c r="J23" s="32">
        <f t="shared" si="0"/>
        <v>15537</v>
      </c>
      <c r="K23" s="13" t="s">
        <v>22</v>
      </c>
    </row>
    <row r="24" spans="1:11" ht="21" customHeight="1" x14ac:dyDescent="0.25">
      <c r="A24" s="21">
        <v>14</v>
      </c>
      <c r="B24" s="22" t="s">
        <v>49</v>
      </c>
      <c r="C24" s="23" t="s">
        <v>50</v>
      </c>
      <c r="D24" s="24">
        <v>3</v>
      </c>
      <c r="E24" s="31" t="s">
        <v>48</v>
      </c>
      <c r="F24" s="24" t="s">
        <v>23</v>
      </c>
      <c r="G24" s="25">
        <v>31900</v>
      </c>
      <c r="H24" s="26">
        <f>SUMIF(Buchungsjournal!$E$12:$E$200,B24,Buchungsjournal!$I$12:$I$200)</f>
        <v>0</v>
      </c>
      <c r="I24" s="26">
        <f>SUMIF(Buchungsjournal!$G$12:$G$200,B24,Buchungsjournal!$I$12:$I$200)</f>
        <v>0</v>
      </c>
      <c r="J24" s="33">
        <f t="shared" si="0"/>
        <v>31900</v>
      </c>
      <c r="K24" s="21" t="s">
        <v>22</v>
      </c>
    </row>
    <row r="25" spans="1:11" ht="21" customHeight="1" x14ac:dyDescent="0.25">
      <c r="A25" s="13">
        <v>15</v>
      </c>
      <c r="B25" s="14" t="s">
        <v>51</v>
      </c>
      <c r="C25" s="15" t="s">
        <v>52</v>
      </c>
      <c r="D25" s="16">
        <v>3</v>
      </c>
      <c r="E25" s="31" t="s">
        <v>48</v>
      </c>
      <c r="F25" s="16">
        <v>19</v>
      </c>
      <c r="G25" s="18">
        <v>0</v>
      </c>
      <c r="H25" s="19">
        <f>SUMIF(Buchungsjournal!$E$12:$E$200,B25,Buchungsjournal!$I$12:$I$200)</f>
        <v>0</v>
      </c>
      <c r="I25" s="19">
        <f>SUMIF(Buchungsjournal!$G$12:$G$200,B25,Buchungsjournal!$I$12:$I$200)</f>
        <v>4693</v>
      </c>
      <c r="J25" s="32">
        <f t="shared" si="0"/>
        <v>4693</v>
      </c>
      <c r="K25" s="13" t="s">
        <v>22</v>
      </c>
    </row>
    <row r="26" spans="1:11" ht="21" customHeight="1" x14ac:dyDescent="0.25">
      <c r="A26" s="21">
        <v>16</v>
      </c>
      <c r="B26" s="22" t="s">
        <v>53</v>
      </c>
      <c r="C26" s="23" t="s">
        <v>54</v>
      </c>
      <c r="D26" s="24">
        <v>3</v>
      </c>
      <c r="E26" s="31" t="s">
        <v>48</v>
      </c>
      <c r="F26" s="24">
        <v>7</v>
      </c>
      <c r="G26" s="25">
        <v>0</v>
      </c>
      <c r="H26" s="26">
        <f>SUMIF(Buchungsjournal!$E$12:$E$200,B26,Buchungsjournal!$I$12:$I$200)</f>
        <v>0</v>
      </c>
      <c r="I26" s="26">
        <f>SUMIF(Buchungsjournal!$G$12:$G$200,B26,Buchungsjournal!$I$12:$I$200)</f>
        <v>0</v>
      </c>
      <c r="J26" s="33">
        <f t="shared" si="0"/>
        <v>0</v>
      </c>
      <c r="K26" s="21" t="s">
        <v>22</v>
      </c>
    </row>
    <row r="27" spans="1:11" ht="21" customHeight="1" x14ac:dyDescent="0.25">
      <c r="A27" s="13">
        <v>17</v>
      </c>
      <c r="B27" s="14" t="s">
        <v>55</v>
      </c>
      <c r="C27" s="15" t="s">
        <v>56</v>
      </c>
      <c r="D27" s="16">
        <v>4</v>
      </c>
      <c r="E27" s="34" t="s">
        <v>57</v>
      </c>
      <c r="F27" s="16">
        <v>19</v>
      </c>
      <c r="G27" s="18">
        <v>0</v>
      </c>
      <c r="H27" s="19">
        <f>SUMIF(Buchungsjournal!$E$12:$E$200,B27,Buchungsjournal!$I$12:$I$200)</f>
        <v>0</v>
      </c>
      <c r="I27" s="19">
        <f>SUMIF(Buchungsjournal!$G$12:$G$200,B27,Buchungsjournal!$I$12:$I$200)</f>
        <v>24700</v>
      </c>
      <c r="J27" s="35">
        <f t="shared" si="0"/>
        <v>24700</v>
      </c>
      <c r="K27" s="13" t="s">
        <v>22</v>
      </c>
    </row>
    <row r="28" spans="1:11" ht="21" customHeight="1" x14ac:dyDescent="0.25">
      <c r="A28" s="21">
        <v>18</v>
      </c>
      <c r="B28" s="22" t="s">
        <v>58</v>
      </c>
      <c r="C28" s="23" t="s">
        <v>59</v>
      </c>
      <c r="D28" s="24">
        <v>4</v>
      </c>
      <c r="E28" s="34" t="s">
        <v>57</v>
      </c>
      <c r="F28" s="24">
        <v>7</v>
      </c>
      <c r="G28" s="25">
        <v>0</v>
      </c>
      <c r="H28" s="26">
        <f>SUMIF(Buchungsjournal!$E$12:$E$200,B28,Buchungsjournal!$I$12:$I$200)</f>
        <v>0</v>
      </c>
      <c r="I28" s="26">
        <f>SUMIF(Buchungsjournal!$G$12:$G$200,B28,Buchungsjournal!$I$12:$I$200)</f>
        <v>0</v>
      </c>
      <c r="J28" s="36">
        <f t="shared" si="0"/>
        <v>0</v>
      </c>
      <c r="K28" s="21" t="s">
        <v>22</v>
      </c>
    </row>
    <row r="29" spans="1:11" ht="21" customHeight="1" x14ac:dyDescent="0.25">
      <c r="A29" s="13">
        <v>19</v>
      </c>
      <c r="B29" s="14" t="s">
        <v>60</v>
      </c>
      <c r="C29" s="15" t="s">
        <v>61</v>
      </c>
      <c r="D29" s="16">
        <v>4</v>
      </c>
      <c r="E29" s="34" t="s">
        <v>57</v>
      </c>
      <c r="F29" s="16" t="s">
        <v>23</v>
      </c>
      <c r="G29" s="18">
        <v>0</v>
      </c>
      <c r="H29" s="19">
        <f>SUMIF(Buchungsjournal!$E$12:$E$200,B29,Buchungsjournal!$I$12:$I$200)</f>
        <v>0</v>
      </c>
      <c r="I29" s="19">
        <f>SUMIF(Buchungsjournal!$G$12:$G$200,B29,Buchungsjournal!$I$12:$I$200)</f>
        <v>0</v>
      </c>
      <c r="J29" s="35">
        <f t="shared" si="0"/>
        <v>0</v>
      </c>
      <c r="K29" s="13" t="s">
        <v>22</v>
      </c>
    </row>
    <row r="30" spans="1:11" ht="21" customHeight="1" x14ac:dyDescent="0.25">
      <c r="A30" s="21">
        <v>20</v>
      </c>
      <c r="B30" s="22" t="s">
        <v>62</v>
      </c>
      <c r="C30" s="23" t="s">
        <v>63</v>
      </c>
      <c r="D30" s="24">
        <v>4</v>
      </c>
      <c r="E30" s="34" t="s">
        <v>57</v>
      </c>
      <c r="F30" s="24" t="s">
        <v>23</v>
      </c>
      <c r="G30" s="25">
        <v>0</v>
      </c>
      <c r="H30" s="26">
        <f>SUMIF(Buchungsjournal!$E$12:$E$200,B30,Buchungsjournal!$I$12:$I$200)</f>
        <v>0</v>
      </c>
      <c r="I30" s="26">
        <f>SUMIF(Buchungsjournal!$G$12:$G$200,B30,Buchungsjournal!$I$12:$I$200)</f>
        <v>0</v>
      </c>
      <c r="J30" s="36">
        <f t="shared" si="0"/>
        <v>0</v>
      </c>
      <c r="K30" s="21" t="s">
        <v>22</v>
      </c>
    </row>
    <row r="31" spans="1:11" ht="21" customHeight="1" x14ac:dyDescent="0.25">
      <c r="A31" s="13">
        <v>21</v>
      </c>
      <c r="B31" s="14" t="s">
        <v>64</v>
      </c>
      <c r="C31" s="15" t="s">
        <v>65</v>
      </c>
      <c r="D31" s="16">
        <v>5</v>
      </c>
      <c r="E31" s="37" t="s">
        <v>66</v>
      </c>
      <c r="F31" s="16">
        <v>19</v>
      </c>
      <c r="G31" s="18">
        <v>0</v>
      </c>
      <c r="H31" s="19">
        <f>SUMIF(Buchungsjournal!$E$12:$E$200,B31,Buchungsjournal!$I$12:$I$200)</f>
        <v>2300</v>
      </c>
      <c r="I31" s="19">
        <f>SUMIF(Buchungsjournal!$G$12:$G$200,B31,Buchungsjournal!$I$12:$I$200)</f>
        <v>0</v>
      </c>
      <c r="J31" s="38">
        <f t="shared" si="0"/>
        <v>2300</v>
      </c>
      <c r="K31" s="13" t="s">
        <v>22</v>
      </c>
    </row>
    <row r="32" spans="1:11" ht="21" customHeight="1" x14ac:dyDescent="0.25">
      <c r="A32" s="21">
        <v>22</v>
      </c>
      <c r="B32" s="22" t="s">
        <v>67</v>
      </c>
      <c r="C32" s="23" t="s">
        <v>68</v>
      </c>
      <c r="D32" s="24">
        <v>6</v>
      </c>
      <c r="E32" s="37" t="s">
        <v>66</v>
      </c>
      <c r="F32" s="24" t="s">
        <v>23</v>
      </c>
      <c r="G32" s="25">
        <v>0</v>
      </c>
      <c r="H32" s="26">
        <f>SUMIF(Buchungsjournal!$E$12:$E$200,B32,Buchungsjournal!$I$12:$I$200)</f>
        <v>14000</v>
      </c>
      <c r="I32" s="26">
        <f>SUMIF(Buchungsjournal!$G$12:$G$200,B32,Buchungsjournal!$I$12:$I$200)</f>
        <v>0</v>
      </c>
      <c r="J32" s="39">
        <f t="shared" si="0"/>
        <v>14000</v>
      </c>
      <c r="K32" s="21" t="s">
        <v>22</v>
      </c>
    </row>
    <row r="33" spans="1:11" ht="21" customHeight="1" x14ac:dyDescent="0.25">
      <c r="A33" s="13">
        <v>23</v>
      </c>
      <c r="B33" s="14" t="s">
        <v>69</v>
      </c>
      <c r="C33" s="15" t="s">
        <v>70</v>
      </c>
      <c r="D33" s="16">
        <v>6</v>
      </c>
      <c r="E33" s="37" t="s">
        <v>66</v>
      </c>
      <c r="F33" s="16" t="s">
        <v>23</v>
      </c>
      <c r="G33" s="18">
        <v>0</v>
      </c>
      <c r="H33" s="19">
        <f>SUMIF(Buchungsjournal!$E$12:$E$200,B33,Buchungsjournal!$I$12:$I$200)</f>
        <v>720</v>
      </c>
      <c r="I33" s="19">
        <f>SUMIF(Buchungsjournal!$G$12:$G$200,B33,Buchungsjournal!$I$12:$I$200)</f>
        <v>0</v>
      </c>
      <c r="J33" s="38">
        <f t="shared" si="0"/>
        <v>720</v>
      </c>
      <c r="K33" s="13" t="s">
        <v>22</v>
      </c>
    </row>
    <row r="34" spans="1:11" ht="21" customHeight="1" x14ac:dyDescent="0.25">
      <c r="A34" s="21">
        <v>24</v>
      </c>
      <c r="B34" s="22" t="s">
        <v>71</v>
      </c>
      <c r="C34" s="23" t="s">
        <v>72</v>
      </c>
      <c r="D34" s="24">
        <v>6</v>
      </c>
      <c r="E34" s="37" t="s">
        <v>66</v>
      </c>
      <c r="F34" s="24" t="s">
        <v>23</v>
      </c>
      <c r="G34" s="25">
        <v>0</v>
      </c>
      <c r="H34" s="26">
        <f>SUMIF(Buchungsjournal!$E$12:$E$200,B34,Buchungsjournal!$I$12:$I$200)</f>
        <v>4800</v>
      </c>
      <c r="I34" s="26">
        <f>SUMIF(Buchungsjournal!$G$12:$G$200,B34,Buchungsjournal!$I$12:$I$200)</f>
        <v>0</v>
      </c>
      <c r="J34" s="39">
        <f t="shared" si="0"/>
        <v>4800</v>
      </c>
      <c r="K34" s="21" t="s">
        <v>22</v>
      </c>
    </row>
    <row r="35" spans="1:11" ht="21" customHeight="1" x14ac:dyDescent="0.25">
      <c r="A35" s="13">
        <v>25</v>
      </c>
      <c r="B35" s="14" t="s">
        <v>73</v>
      </c>
      <c r="C35" s="15" t="s">
        <v>74</v>
      </c>
      <c r="D35" s="16">
        <v>6</v>
      </c>
      <c r="E35" s="37" t="s">
        <v>66</v>
      </c>
      <c r="F35" s="16" t="s">
        <v>23</v>
      </c>
      <c r="G35" s="18">
        <v>0</v>
      </c>
      <c r="H35" s="19">
        <f>SUMIF(Buchungsjournal!$E$12:$E$200,B35,Buchungsjournal!$I$12:$I$200)</f>
        <v>285</v>
      </c>
      <c r="I35" s="19">
        <f>SUMIF(Buchungsjournal!$G$12:$G$200,B35,Buchungsjournal!$I$12:$I$200)</f>
        <v>0</v>
      </c>
      <c r="J35" s="38">
        <f t="shared" si="0"/>
        <v>285</v>
      </c>
      <c r="K35" s="13" t="s">
        <v>22</v>
      </c>
    </row>
    <row r="36" spans="1:11" ht="21" customHeight="1" x14ac:dyDescent="0.25">
      <c r="A36" s="21">
        <v>26</v>
      </c>
      <c r="B36" s="22" t="s">
        <v>75</v>
      </c>
      <c r="C36" s="23" t="s">
        <v>76</v>
      </c>
      <c r="D36" s="24">
        <v>6</v>
      </c>
      <c r="E36" s="37" t="s">
        <v>66</v>
      </c>
      <c r="F36" s="24">
        <v>19</v>
      </c>
      <c r="G36" s="25">
        <v>0</v>
      </c>
      <c r="H36" s="26">
        <f>SUMIF(Buchungsjournal!$E$12:$E$200,B36,Buchungsjournal!$I$12:$I$200)</f>
        <v>89</v>
      </c>
      <c r="I36" s="26">
        <f>SUMIF(Buchungsjournal!$G$12:$G$200,B36,Buchungsjournal!$I$12:$I$200)</f>
        <v>0</v>
      </c>
      <c r="J36" s="39">
        <f t="shared" si="0"/>
        <v>89</v>
      </c>
      <c r="K36" s="21" t="s">
        <v>22</v>
      </c>
    </row>
    <row r="37" spans="1:11" ht="21" customHeight="1" x14ac:dyDescent="0.25">
      <c r="A37" s="13">
        <v>27</v>
      </c>
      <c r="B37" s="14" t="s">
        <v>77</v>
      </c>
      <c r="C37" s="15" t="s">
        <v>78</v>
      </c>
      <c r="D37" s="16">
        <v>6</v>
      </c>
      <c r="E37" s="37" t="s">
        <v>66</v>
      </c>
      <c r="F37" s="16">
        <v>19</v>
      </c>
      <c r="G37" s="18">
        <v>0</v>
      </c>
      <c r="H37" s="19">
        <f>SUMIF(Buchungsjournal!$E$12:$E$200,B37,Buchungsjournal!$I$12:$I$200)</f>
        <v>350</v>
      </c>
      <c r="I37" s="19">
        <f>SUMIF(Buchungsjournal!$G$12:$G$200,B37,Buchungsjournal!$I$12:$I$200)</f>
        <v>0</v>
      </c>
      <c r="J37" s="38">
        <f t="shared" si="0"/>
        <v>350</v>
      </c>
      <c r="K37" s="13" t="s">
        <v>22</v>
      </c>
    </row>
    <row r="38" spans="1:11" ht="21" customHeight="1" x14ac:dyDescent="0.25">
      <c r="A38" s="21">
        <v>28</v>
      </c>
      <c r="B38" s="22" t="s">
        <v>79</v>
      </c>
      <c r="C38" s="23" t="s">
        <v>80</v>
      </c>
      <c r="D38" s="24">
        <v>6</v>
      </c>
      <c r="E38" s="37" t="s">
        <v>66</v>
      </c>
      <c r="F38" s="24">
        <v>19</v>
      </c>
      <c r="G38" s="25">
        <v>0</v>
      </c>
      <c r="H38" s="26">
        <f>SUMIF(Buchungsjournal!$E$12:$E$200,B38,Buchungsjournal!$I$12:$I$200)</f>
        <v>87.4</v>
      </c>
      <c r="I38" s="26">
        <f>SUMIF(Buchungsjournal!$G$12:$G$200,B38,Buchungsjournal!$I$12:$I$200)</f>
        <v>0</v>
      </c>
      <c r="J38" s="39">
        <f t="shared" si="0"/>
        <v>87.4</v>
      </c>
      <c r="K38" s="21" t="s">
        <v>22</v>
      </c>
    </row>
    <row r="39" spans="1:11" ht="21" customHeight="1" x14ac:dyDescent="0.25">
      <c r="A39" s="13">
        <v>29</v>
      </c>
      <c r="B39" s="14" t="s">
        <v>81</v>
      </c>
      <c r="C39" s="15" t="s">
        <v>82</v>
      </c>
      <c r="D39" s="16">
        <v>6</v>
      </c>
      <c r="E39" s="37" t="s">
        <v>66</v>
      </c>
      <c r="F39" s="16" t="s">
        <v>23</v>
      </c>
      <c r="G39" s="18">
        <v>0</v>
      </c>
      <c r="H39" s="19">
        <f>SUMIF(Buchungsjournal!$E$12:$E$200,B39,Buchungsjournal!$I$12:$I$200)</f>
        <v>0</v>
      </c>
      <c r="I39" s="19">
        <f>SUMIF(Buchungsjournal!$G$12:$G$200,B39,Buchungsjournal!$I$12:$I$200)</f>
        <v>0</v>
      </c>
      <c r="J39" s="38">
        <f t="shared" si="0"/>
        <v>0</v>
      </c>
      <c r="K39" s="13" t="s">
        <v>22</v>
      </c>
    </row>
    <row r="40" spans="1:11" ht="21" customHeight="1" x14ac:dyDescent="0.25">
      <c r="A40" s="21">
        <v>30</v>
      </c>
      <c r="B40" s="22" t="s">
        <v>83</v>
      </c>
      <c r="C40" s="23" t="s">
        <v>84</v>
      </c>
      <c r="D40" s="24">
        <v>6</v>
      </c>
      <c r="E40" s="37" t="s">
        <v>66</v>
      </c>
      <c r="F40" s="24" t="s">
        <v>23</v>
      </c>
      <c r="G40" s="25">
        <v>0</v>
      </c>
      <c r="H40" s="26">
        <f>SUMIF(Buchungsjournal!$E$12:$E$200,B40,Buchungsjournal!$I$12:$I$200)</f>
        <v>425</v>
      </c>
      <c r="I40" s="26">
        <f>SUMIF(Buchungsjournal!$G$12:$G$200,B40,Buchungsjournal!$I$12:$I$200)</f>
        <v>0</v>
      </c>
      <c r="J40" s="39">
        <f t="shared" si="0"/>
        <v>425</v>
      </c>
      <c r="K40" s="21" t="s">
        <v>22</v>
      </c>
    </row>
    <row r="41" spans="1:11" ht="21" customHeight="1" x14ac:dyDescent="0.25">
      <c r="A41" s="13">
        <v>31</v>
      </c>
      <c r="B41" s="14" t="s">
        <v>85</v>
      </c>
      <c r="C41" s="15" t="s">
        <v>86</v>
      </c>
      <c r="D41" s="16">
        <v>6</v>
      </c>
      <c r="E41" s="37" t="s">
        <v>66</v>
      </c>
      <c r="F41" s="16">
        <v>19</v>
      </c>
      <c r="G41" s="18">
        <v>0</v>
      </c>
      <c r="H41" s="19">
        <f>SUMIF(Buchungsjournal!$E$12:$E$200,B41,Buchungsjournal!$I$12:$I$200)</f>
        <v>0</v>
      </c>
      <c r="I41" s="19">
        <f>SUMIF(Buchungsjournal!$G$12:$G$200,B41,Buchungsjournal!$I$12:$I$200)</f>
        <v>0</v>
      </c>
      <c r="J41" s="38">
        <f t="shared" si="0"/>
        <v>0</v>
      </c>
      <c r="K41" s="13" t="s">
        <v>22</v>
      </c>
    </row>
    <row r="42" spans="1:11" ht="21" customHeight="1" x14ac:dyDescent="0.25">
      <c r="A42" s="21">
        <v>32</v>
      </c>
      <c r="B42" s="22" t="s">
        <v>87</v>
      </c>
      <c r="C42" s="23" t="s">
        <v>88</v>
      </c>
      <c r="D42" s="24">
        <v>6</v>
      </c>
      <c r="E42" s="37" t="s">
        <v>66</v>
      </c>
      <c r="F42" s="24" t="s">
        <v>23</v>
      </c>
      <c r="G42" s="25">
        <v>0</v>
      </c>
      <c r="H42" s="26">
        <f>SUMIF(Buchungsjournal!$E$12:$E$200,B42,Buchungsjournal!$I$12:$I$200)</f>
        <v>215.8</v>
      </c>
      <c r="I42" s="26">
        <f>SUMIF(Buchungsjournal!$G$12:$G$200,B42,Buchungsjournal!$I$12:$I$200)</f>
        <v>0</v>
      </c>
      <c r="J42" s="39">
        <f t="shared" si="0"/>
        <v>215.8</v>
      </c>
      <c r="K42" s="21" t="s">
        <v>22</v>
      </c>
    </row>
    <row r="43" spans="1:11" ht="21" customHeight="1" x14ac:dyDescent="0.25">
      <c r="A43" s="13">
        <v>33</v>
      </c>
      <c r="B43" s="14" t="s">
        <v>89</v>
      </c>
      <c r="C43" s="15" t="s">
        <v>90</v>
      </c>
      <c r="D43" s="16">
        <v>7</v>
      </c>
      <c r="E43" s="37" t="s">
        <v>66</v>
      </c>
      <c r="F43" s="16" t="s">
        <v>23</v>
      </c>
      <c r="G43" s="18">
        <v>0</v>
      </c>
      <c r="H43" s="19">
        <f>SUMIF(Buchungsjournal!$E$12:$E$200,B43,Buchungsjournal!$I$12:$I$200)</f>
        <v>178.5</v>
      </c>
      <c r="I43" s="19">
        <f>SUMIF(Buchungsjournal!$G$12:$G$200,B43,Buchungsjournal!$I$12:$I$200)</f>
        <v>0</v>
      </c>
      <c r="J43" s="38">
        <f t="shared" si="0"/>
        <v>178.5</v>
      </c>
      <c r="K43" s="13" t="s">
        <v>22</v>
      </c>
    </row>
    <row r="44" spans="1:11" ht="25.5" customHeight="1" x14ac:dyDescent="0.25">
      <c r="A44" s="40"/>
      <c r="B44" s="40"/>
      <c r="C44" s="40" t="s">
        <v>91</v>
      </c>
      <c r="D44" s="40"/>
      <c r="E44" s="40"/>
      <c r="F44" s="40"/>
      <c r="G44" s="41">
        <f>SUMIF(E11:E43,"Aktiv",G11:G43)-SUMIF(E11:E43,"Passiv",G11:G43)-SUMIF(E11:E43,"Eigenkapital",G11:G43)</f>
        <v>0</v>
      </c>
      <c r="H44" s="42">
        <f>SUM(H11:H43)</f>
        <v>63395.700000000004</v>
      </c>
      <c r="I44" s="42">
        <f>SUM(I11:I43)</f>
        <v>63395.7</v>
      </c>
      <c r="J44" s="43"/>
      <c r="K44" s="43"/>
    </row>
  </sheetData>
  <mergeCells count="9">
    <mergeCell ref="B6:E6"/>
    <mergeCell ref="F6:H6"/>
    <mergeCell ref="I6:K6"/>
    <mergeCell ref="B9:K9"/>
    <mergeCell ref="B2:K2"/>
    <mergeCell ref="B3:K3"/>
    <mergeCell ref="B5:E5"/>
    <mergeCell ref="F5:G5"/>
    <mergeCell ref="I5:J5"/>
  </mergeCells>
  <dataValidations count="3">
    <dataValidation type="list" errorTitle="Ungültiger Wert" error="Bitte gültige Kontoart auswählen" sqref="E11:E43" xr:uid="{00000000-0002-0000-0000-000000000000}">
      <formula1>"Aktiv,Passiv,Ertrag,Aufwand,Eigenkapital"</formula1>
      <formula2>0</formula2>
    </dataValidation>
    <dataValidation type="list" errorTitle="Ungültiger Wert" error="Bitte 'Aktiv' oder 'Inaktiv' wählen" sqref="K11:K43" xr:uid="{00000000-0002-0000-0000-000001000000}">
      <formula1>"Aktiv,Inaktiv"</formula1>
      <formula2>0</formula2>
    </dataValidation>
    <dataValidation type="whole" allowBlank="1" errorTitle="Ungültiger Wert" error="Bitte einen USt-Satz zwischen 0 und 25 % eingeben" sqref="F11:F43" xr:uid="{00000000-0002-0000-0000-000002000000}">
      <formula1>0</formula1>
      <formula2>25</formula2>
    </dataValidation>
  </dataValidations>
  <printOptions horizontalCentered="1"/>
  <pageMargins left="0.3" right="0.3" top="0.4" bottom="0.4" header="0.511811023622047" footer="0.511811023622047"/>
  <pageSetup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1"/>
  <sheetViews>
    <sheetView showGridLines="0" zoomScaleNormal="100" workbookViewId="0">
      <pane ySplit="11" topLeftCell="A12" activePane="bottomLeft" state="frozen"/>
      <selection pane="bottomLeft"/>
    </sheetView>
  </sheetViews>
  <sheetFormatPr baseColWidth="10" defaultColWidth="8.7109375" defaultRowHeight="15" x14ac:dyDescent="0.25"/>
  <cols>
    <col min="1" max="1" width="5" customWidth="1"/>
    <col min="2" max="2" width="11" customWidth="1"/>
    <col min="3" max="3" width="10" customWidth="1"/>
    <col min="4" max="4" width="30" customWidth="1"/>
    <col min="5" max="5" width="9" customWidth="1"/>
    <col min="6" max="6" width="24" customWidth="1"/>
    <col min="7" max="7" width="9" customWidth="1"/>
    <col min="8" max="8" width="24" customWidth="1"/>
    <col min="9" max="9" width="13" customWidth="1"/>
    <col min="10" max="10" width="8" customWidth="1"/>
  </cols>
  <sheetData>
    <row r="1" spans="1:10" ht="7.5" customHeight="1" x14ac:dyDescent="0.25"/>
    <row r="2" spans="1:10" ht="31.5" customHeight="1" x14ac:dyDescent="0.4">
      <c r="B2" s="11" t="s">
        <v>92</v>
      </c>
      <c r="C2" s="11"/>
      <c r="D2" s="11"/>
      <c r="E2" s="11"/>
      <c r="F2" s="11"/>
      <c r="G2" s="11"/>
      <c r="H2" s="11"/>
      <c r="I2" s="11"/>
      <c r="J2" s="11"/>
    </row>
    <row r="3" spans="1:10" x14ac:dyDescent="0.25">
      <c r="B3" s="10" t="s">
        <v>93</v>
      </c>
      <c r="C3" s="10"/>
      <c r="D3" s="10"/>
      <c r="E3" s="10"/>
      <c r="F3" s="10"/>
      <c r="G3" s="10"/>
      <c r="H3" s="10"/>
      <c r="I3" s="10"/>
      <c r="J3" s="10"/>
    </row>
    <row r="5" spans="1:10" ht="18" customHeight="1" x14ac:dyDescent="0.25">
      <c r="B5" s="6" t="s">
        <v>94</v>
      </c>
      <c r="C5" s="6"/>
      <c r="D5" s="6" t="s">
        <v>95</v>
      </c>
      <c r="E5" s="6"/>
      <c r="F5" s="6" t="s">
        <v>96</v>
      </c>
      <c r="G5" s="6"/>
      <c r="H5" s="6" t="s">
        <v>97</v>
      </c>
      <c r="I5" s="6"/>
      <c r="J5" s="6"/>
    </row>
    <row r="6" spans="1:10" ht="25.5" customHeight="1" x14ac:dyDescent="0.25">
      <c r="B6" s="5">
        <f>COUNTA(B12:B200)</f>
        <v>25</v>
      </c>
      <c r="C6" s="5"/>
      <c r="D6" s="4">
        <f>SUM(Kontenplan!H11:H43)</f>
        <v>63395.700000000004</v>
      </c>
      <c r="E6" s="4"/>
      <c r="F6" s="4">
        <f>SUM(Kontenplan!I11:I43)</f>
        <v>63395.7</v>
      </c>
      <c r="G6" s="4"/>
      <c r="H6" s="3" t="str">
        <f>IF(D6=F6,"✓ Soll = Haben","✗ Differenz")</f>
        <v>✓ Soll = Haben</v>
      </c>
      <c r="I6" s="3"/>
      <c r="J6" s="3"/>
    </row>
    <row r="8" spans="1:10" ht="9.75" customHeight="1" x14ac:dyDescent="0.25"/>
    <row r="10" spans="1:10" ht="21.75" customHeight="1" x14ac:dyDescent="0.25">
      <c r="B10" s="7" t="s">
        <v>98</v>
      </c>
      <c r="C10" s="7"/>
      <c r="D10" s="7"/>
      <c r="E10" s="7"/>
      <c r="F10" s="7"/>
      <c r="G10" s="7"/>
      <c r="H10" s="7"/>
      <c r="I10" s="7"/>
      <c r="J10" s="7"/>
    </row>
    <row r="11" spans="1:10" ht="36" customHeight="1" x14ac:dyDescent="0.25">
      <c r="A11" s="12" t="s">
        <v>9</v>
      </c>
      <c r="B11" s="12" t="s">
        <v>99</v>
      </c>
      <c r="C11" s="12" t="s">
        <v>100</v>
      </c>
      <c r="D11" s="12" t="s">
        <v>101</v>
      </c>
      <c r="E11" s="12" t="s">
        <v>102</v>
      </c>
      <c r="F11" s="12" t="s">
        <v>103</v>
      </c>
      <c r="G11" s="12" t="s">
        <v>104</v>
      </c>
      <c r="H11" s="12" t="s">
        <v>105</v>
      </c>
      <c r="I11" s="12" t="s">
        <v>106</v>
      </c>
      <c r="J11" s="12" t="s">
        <v>14</v>
      </c>
    </row>
    <row r="12" spans="1:10" ht="21" customHeight="1" x14ac:dyDescent="0.25">
      <c r="A12" s="13">
        <v>1</v>
      </c>
      <c r="B12" s="44">
        <v>46024</v>
      </c>
      <c r="C12" s="13" t="s">
        <v>107</v>
      </c>
      <c r="D12" s="15" t="s">
        <v>108</v>
      </c>
      <c r="E12" s="14" t="s">
        <v>71</v>
      </c>
      <c r="F12" s="45" t="str">
        <f>IFERROR(VLOOKUP(E12,Kontenplan!$B$11:$C$43,2,FALSE()),"—")</f>
        <v>Raumkosten / Miete</v>
      </c>
      <c r="G12" s="14" t="s">
        <v>36</v>
      </c>
      <c r="H12" s="45" t="str">
        <f>IFERROR(VLOOKUP(G12,Kontenplan!$B$11:$C$43,2,FALSE()),"—")</f>
        <v>Bank — Geschäftskonto</v>
      </c>
      <c r="I12" s="46">
        <v>1200</v>
      </c>
      <c r="J12" s="47"/>
    </row>
    <row r="13" spans="1:10" ht="21" customHeight="1" x14ac:dyDescent="0.25">
      <c r="A13" s="21">
        <v>2</v>
      </c>
      <c r="B13" s="48">
        <v>46025</v>
      </c>
      <c r="C13" s="21" t="s">
        <v>109</v>
      </c>
      <c r="D13" s="23" t="s">
        <v>110</v>
      </c>
      <c r="E13" s="22" t="s">
        <v>73</v>
      </c>
      <c r="F13" s="49" t="str">
        <f>IFERROR(VLOOKUP(E13,Kontenplan!$B$11:$C$43,2,FALSE()),"—")</f>
        <v>Heizung und Energie</v>
      </c>
      <c r="G13" s="22" t="s">
        <v>36</v>
      </c>
      <c r="H13" s="49" t="str">
        <f>IFERROR(VLOOKUP(G13,Kontenplan!$B$11:$C$43,2,FALSE()),"—")</f>
        <v>Bank — Geschäftskonto</v>
      </c>
      <c r="I13" s="50">
        <v>285</v>
      </c>
      <c r="J13" s="51"/>
    </row>
    <row r="14" spans="1:10" ht="21" customHeight="1" x14ac:dyDescent="0.25">
      <c r="A14" s="13">
        <v>3</v>
      </c>
      <c r="B14" s="44">
        <v>46029</v>
      </c>
      <c r="C14" s="13" t="s">
        <v>111</v>
      </c>
      <c r="D14" s="15" t="s">
        <v>112</v>
      </c>
      <c r="E14" s="14" t="s">
        <v>79</v>
      </c>
      <c r="F14" s="45" t="str">
        <f>IFERROR(VLOOKUP(E14,Kontenplan!$B$11:$C$43,2,FALSE()),"—")</f>
        <v>Bürobedarf</v>
      </c>
      <c r="G14" s="14" t="s">
        <v>38</v>
      </c>
      <c r="H14" s="45" t="str">
        <f>IFERROR(VLOOKUP(G14,Kontenplan!$B$11:$C$43,2,FALSE()),"—")</f>
        <v>Kasse</v>
      </c>
      <c r="I14" s="46">
        <v>87.4</v>
      </c>
      <c r="J14" s="47">
        <v>19</v>
      </c>
    </row>
    <row r="15" spans="1:10" ht="21" customHeight="1" x14ac:dyDescent="0.25">
      <c r="A15" s="21">
        <v>4</v>
      </c>
      <c r="B15" s="48">
        <v>46032</v>
      </c>
      <c r="C15" s="21" t="s">
        <v>113</v>
      </c>
      <c r="D15" s="23" t="s">
        <v>114</v>
      </c>
      <c r="E15" s="22" t="s">
        <v>75</v>
      </c>
      <c r="F15" s="49" t="str">
        <f>IFERROR(VLOOKUP(E15,Kontenplan!$B$11:$C$43,2,FALSE()),"—")</f>
        <v>Telefon und Internet</v>
      </c>
      <c r="G15" s="22" t="s">
        <v>36</v>
      </c>
      <c r="H15" s="49" t="str">
        <f>IFERROR(VLOOKUP(G15,Kontenplan!$B$11:$C$43,2,FALSE()),"—")</f>
        <v>Bank — Geschäftskonto</v>
      </c>
      <c r="I15" s="50">
        <v>89</v>
      </c>
      <c r="J15" s="51">
        <v>19</v>
      </c>
    </row>
    <row r="16" spans="1:10" ht="21" customHeight="1" x14ac:dyDescent="0.25">
      <c r="A16" s="13">
        <v>5</v>
      </c>
      <c r="B16" s="44">
        <v>46037</v>
      </c>
      <c r="C16" s="13" t="s">
        <v>115</v>
      </c>
      <c r="D16" s="15" t="s">
        <v>116</v>
      </c>
      <c r="E16" s="14" t="s">
        <v>28</v>
      </c>
      <c r="F16" s="45" t="str">
        <f>IFERROR(VLOOKUP(E16,Kontenplan!$B$11:$C$43,2,FALSE()),"—")</f>
        <v>Forderungen a. L+L</v>
      </c>
      <c r="G16" s="14" t="s">
        <v>55</v>
      </c>
      <c r="H16" s="45" t="str">
        <f>IFERROR(VLOOKUP(G16,Kontenplan!$B$11:$C$43,2,FALSE()),"—")</f>
        <v>Umsatzerlöse 19 % USt</v>
      </c>
      <c r="I16" s="46">
        <v>8500</v>
      </c>
      <c r="J16" s="47">
        <v>19</v>
      </c>
    </row>
    <row r="17" spans="1:10" ht="21" customHeight="1" x14ac:dyDescent="0.25">
      <c r="A17" s="21">
        <v>6</v>
      </c>
      <c r="B17" s="48">
        <v>46037</v>
      </c>
      <c r="C17" s="21" t="s">
        <v>117</v>
      </c>
      <c r="D17" s="23" t="s">
        <v>118</v>
      </c>
      <c r="E17" s="22" t="s">
        <v>28</v>
      </c>
      <c r="F17" s="49" t="str">
        <f>IFERROR(VLOOKUP(E17,Kontenplan!$B$11:$C$43,2,FALSE()),"—")</f>
        <v>Forderungen a. L+L</v>
      </c>
      <c r="G17" s="22" t="s">
        <v>51</v>
      </c>
      <c r="H17" s="49" t="str">
        <f>IFERROR(VLOOKUP(G17,Kontenplan!$B$11:$C$43,2,FALSE()),"—")</f>
        <v>Umsatzsteuer 19 %</v>
      </c>
      <c r="I17" s="50">
        <v>1615</v>
      </c>
      <c r="J17" s="51"/>
    </row>
    <row r="18" spans="1:10" ht="21" customHeight="1" x14ac:dyDescent="0.25">
      <c r="A18" s="13">
        <v>7</v>
      </c>
      <c r="B18" s="44">
        <v>46044</v>
      </c>
      <c r="C18" s="13" t="s">
        <v>119</v>
      </c>
      <c r="D18" s="15" t="s">
        <v>120</v>
      </c>
      <c r="E18" s="14" t="s">
        <v>64</v>
      </c>
      <c r="F18" s="45" t="str">
        <f>IFERROR(VLOOKUP(E18,Kontenplan!$B$11:$C$43,2,FALSE()),"—")</f>
        <v>Wareneinkauf 19 %</v>
      </c>
      <c r="G18" s="14" t="s">
        <v>46</v>
      </c>
      <c r="H18" s="45" t="str">
        <f>IFERROR(VLOOKUP(G18,Kontenplan!$B$11:$C$43,2,FALSE()),"—")</f>
        <v>Verbindlichkeiten a. L+L</v>
      </c>
      <c r="I18" s="46">
        <v>2300</v>
      </c>
      <c r="J18" s="47">
        <v>19</v>
      </c>
    </row>
    <row r="19" spans="1:10" ht="21" customHeight="1" x14ac:dyDescent="0.25">
      <c r="A19" s="21">
        <v>8</v>
      </c>
      <c r="B19" s="48">
        <v>46044</v>
      </c>
      <c r="C19" s="21" t="s">
        <v>121</v>
      </c>
      <c r="D19" s="23" t="s">
        <v>122</v>
      </c>
      <c r="E19" s="22" t="s">
        <v>32</v>
      </c>
      <c r="F19" s="49" t="str">
        <f>IFERROR(VLOOKUP(E19,Kontenplan!$B$11:$C$43,2,FALSE()),"—")</f>
        <v>Abziehbare Vorsteuer 19 %</v>
      </c>
      <c r="G19" s="22" t="s">
        <v>46</v>
      </c>
      <c r="H19" s="49" t="str">
        <f>IFERROR(VLOOKUP(G19,Kontenplan!$B$11:$C$43,2,FALSE()),"—")</f>
        <v>Verbindlichkeiten a. L+L</v>
      </c>
      <c r="I19" s="50">
        <v>437</v>
      </c>
      <c r="J19" s="51"/>
    </row>
    <row r="20" spans="1:10" ht="21" customHeight="1" x14ac:dyDescent="0.25">
      <c r="A20" s="13">
        <v>9</v>
      </c>
      <c r="B20" s="44">
        <v>46047</v>
      </c>
      <c r="C20" s="13" t="s">
        <v>123</v>
      </c>
      <c r="D20" s="15" t="s">
        <v>124</v>
      </c>
      <c r="E20" s="14" t="s">
        <v>67</v>
      </c>
      <c r="F20" s="45" t="str">
        <f>IFERROR(VLOOKUP(E20,Kontenplan!$B$11:$C$43,2,FALSE()),"—")</f>
        <v>Löhne und Gehälter</v>
      </c>
      <c r="G20" s="14" t="s">
        <v>36</v>
      </c>
      <c r="H20" s="45" t="str">
        <f>IFERROR(VLOOKUP(G20,Kontenplan!$B$11:$C$43,2,FALSE()),"—")</f>
        <v>Bank — Geschäftskonto</v>
      </c>
      <c r="I20" s="46">
        <v>3500</v>
      </c>
      <c r="J20" s="47"/>
    </row>
    <row r="21" spans="1:10" ht="21" customHeight="1" x14ac:dyDescent="0.25">
      <c r="A21" s="21">
        <v>10</v>
      </c>
      <c r="B21" s="48">
        <v>46047</v>
      </c>
      <c r="C21" s="21" t="s">
        <v>125</v>
      </c>
      <c r="D21" s="23" t="s">
        <v>126</v>
      </c>
      <c r="E21" s="22" t="s">
        <v>69</v>
      </c>
      <c r="F21" s="49" t="str">
        <f>IFERROR(VLOOKUP(E21,Kontenplan!$B$11:$C$43,2,FALSE()),"—")</f>
        <v>Sozialversicherungsbeiträge</v>
      </c>
      <c r="G21" s="22" t="s">
        <v>36</v>
      </c>
      <c r="H21" s="49" t="str">
        <f>IFERROR(VLOOKUP(G21,Kontenplan!$B$11:$C$43,2,FALSE()),"—")</f>
        <v>Bank — Geschäftskonto</v>
      </c>
      <c r="I21" s="50">
        <v>720</v>
      </c>
      <c r="J21" s="51"/>
    </row>
    <row r="22" spans="1:10" ht="21" customHeight="1" x14ac:dyDescent="0.25">
      <c r="A22" s="13">
        <v>11</v>
      </c>
      <c r="B22" s="44">
        <v>46056</v>
      </c>
      <c r="C22" s="13" t="s">
        <v>127</v>
      </c>
      <c r="D22" s="15" t="s">
        <v>128</v>
      </c>
      <c r="E22" s="14" t="s">
        <v>71</v>
      </c>
      <c r="F22" s="45" t="str">
        <f>IFERROR(VLOOKUP(E22,Kontenplan!$B$11:$C$43,2,FALSE()),"—")</f>
        <v>Raumkosten / Miete</v>
      </c>
      <c r="G22" s="14" t="s">
        <v>36</v>
      </c>
      <c r="H22" s="45" t="str">
        <f>IFERROR(VLOOKUP(G22,Kontenplan!$B$11:$C$43,2,FALSE()),"—")</f>
        <v>Bank — Geschäftskonto</v>
      </c>
      <c r="I22" s="46">
        <v>1200</v>
      </c>
      <c r="J22" s="47"/>
    </row>
    <row r="23" spans="1:10" ht="21" customHeight="1" x14ac:dyDescent="0.25">
      <c r="A23" s="21">
        <v>12</v>
      </c>
      <c r="B23" s="48">
        <v>46063</v>
      </c>
      <c r="C23" s="21" t="s">
        <v>129</v>
      </c>
      <c r="D23" s="23" t="s">
        <v>130</v>
      </c>
      <c r="E23" s="22" t="s">
        <v>36</v>
      </c>
      <c r="F23" s="49" t="str">
        <f>IFERROR(VLOOKUP(E23,Kontenplan!$B$11:$C$43,2,FALSE()),"—")</f>
        <v>Bank — Geschäftskonto</v>
      </c>
      <c r="G23" s="22" t="s">
        <v>28</v>
      </c>
      <c r="H23" s="49" t="str">
        <f>IFERROR(VLOOKUP(G23,Kontenplan!$B$11:$C$43,2,FALSE()),"—")</f>
        <v>Forderungen a. L+L</v>
      </c>
      <c r="I23" s="50">
        <v>10115</v>
      </c>
      <c r="J23" s="51"/>
    </row>
    <row r="24" spans="1:10" ht="21" customHeight="1" x14ac:dyDescent="0.25">
      <c r="A24" s="13">
        <v>13</v>
      </c>
      <c r="B24" s="44">
        <v>46067</v>
      </c>
      <c r="C24" s="13" t="s">
        <v>131</v>
      </c>
      <c r="D24" s="15" t="s">
        <v>132</v>
      </c>
      <c r="E24" s="14" t="s">
        <v>28</v>
      </c>
      <c r="F24" s="45" t="str">
        <f>IFERROR(VLOOKUP(E24,Kontenplan!$B$11:$C$43,2,FALSE()),"—")</f>
        <v>Forderungen a. L+L</v>
      </c>
      <c r="G24" s="14" t="s">
        <v>55</v>
      </c>
      <c r="H24" s="45" t="str">
        <f>IFERROR(VLOOKUP(G24,Kontenplan!$B$11:$C$43,2,FALSE()),"—")</f>
        <v>Umsatzerlöse 19 % USt</v>
      </c>
      <c r="I24" s="46">
        <v>5200</v>
      </c>
      <c r="J24" s="47">
        <v>19</v>
      </c>
    </row>
    <row r="25" spans="1:10" ht="21" customHeight="1" x14ac:dyDescent="0.25">
      <c r="A25" s="21">
        <v>14</v>
      </c>
      <c r="B25" s="48">
        <v>46067</v>
      </c>
      <c r="C25" s="21" t="s">
        <v>133</v>
      </c>
      <c r="D25" s="23" t="s">
        <v>134</v>
      </c>
      <c r="E25" s="22" t="s">
        <v>28</v>
      </c>
      <c r="F25" s="49" t="str">
        <f>IFERROR(VLOOKUP(E25,Kontenplan!$B$11:$C$43,2,FALSE()),"—")</f>
        <v>Forderungen a. L+L</v>
      </c>
      <c r="G25" s="22" t="s">
        <v>51</v>
      </c>
      <c r="H25" s="49" t="str">
        <f>IFERROR(VLOOKUP(G25,Kontenplan!$B$11:$C$43,2,FALSE()),"—")</f>
        <v>Umsatzsteuer 19 %</v>
      </c>
      <c r="I25" s="50">
        <v>988</v>
      </c>
      <c r="J25" s="51"/>
    </row>
    <row r="26" spans="1:10" ht="21" customHeight="1" x14ac:dyDescent="0.25">
      <c r="A26" s="13">
        <v>15</v>
      </c>
      <c r="B26" s="44">
        <v>46071</v>
      </c>
      <c r="C26" s="13" t="s">
        <v>135</v>
      </c>
      <c r="D26" s="15" t="s">
        <v>136</v>
      </c>
      <c r="E26" s="14" t="s">
        <v>77</v>
      </c>
      <c r="F26" s="45" t="str">
        <f>IFERROR(VLOOKUP(E26,Kontenplan!$B$11:$C$43,2,FALSE()),"—")</f>
        <v>Werbeaufwand</v>
      </c>
      <c r="G26" s="14" t="s">
        <v>36</v>
      </c>
      <c r="H26" s="45" t="str">
        <f>IFERROR(VLOOKUP(G26,Kontenplan!$B$11:$C$43,2,FALSE()),"—")</f>
        <v>Bank — Geschäftskonto</v>
      </c>
      <c r="I26" s="46">
        <v>350</v>
      </c>
      <c r="J26" s="47">
        <v>19</v>
      </c>
    </row>
    <row r="27" spans="1:10" ht="21" customHeight="1" x14ac:dyDescent="0.25">
      <c r="A27" s="21">
        <v>16</v>
      </c>
      <c r="B27" s="48">
        <v>46078</v>
      </c>
      <c r="C27" s="21" t="s">
        <v>137</v>
      </c>
      <c r="D27" s="23" t="s">
        <v>138</v>
      </c>
      <c r="E27" s="22" t="s">
        <v>67</v>
      </c>
      <c r="F27" s="49" t="str">
        <f>IFERROR(VLOOKUP(E27,Kontenplan!$B$11:$C$43,2,FALSE()),"—")</f>
        <v>Löhne und Gehälter</v>
      </c>
      <c r="G27" s="22" t="s">
        <v>36</v>
      </c>
      <c r="H27" s="49" t="str">
        <f>IFERROR(VLOOKUP(G27,Kontenplan!$B$11:$C$43,2,FALSE()),"—")</f>
        <v>Bank — Geschäftskonto</v>
      </c>
      <c r="I27" s="50">
        <v>3500</v>
      </c>
      <c r="J27" s="51"/>
    </row>
    <row r="28" spans="1:10" ht="21" customHeight="1" x14ac:dyDescent="0.25">
      <c r="A28" s="13">
        <v>17</v>
      </c>
      <c r="B28" s="44">
        <v>46084</v>
      </c>
      <c r="C28" s="13" t="s">
        <v>139</v>
      </c>
      <c r="D28" s="15" t="s">
        <v>140</v>
      </c>
      <c r="E28" s="14" t="s">
        <v>71</v>
      </c>
      <c r="F28" s="45" t="str">
        <f>IFERROR(VLOOKUP(E28,Kontenplan!$B$11:$C$43,2,FALSE()),"—")</f>
        <v>Raumkosten / Miete</v>
      </c>
      <c r="G28" s="14" t="s">
        <v>36</v>
      </c>
      <c r="H28" s="45" t="str">
        <f>IFERROR(VLOOKUP(G28,Kontenplan!$B$11:$C$43,2,FALSE()),"—")</f>
        <v>Bank — Geschäftskonto</v>
      </c>
      <c r="I28" s="46">
        <v>1200</v>
      </c>
      <c r="J28" s="47"/>
    </row>
    <row r="29" spans="1:10" ht="21" customHeight="1" x14ac:dyDescent="0.25">
      <c r="A29" s="21">
        <v>18</v>
      </c>
      <c r="B29" s="48">
        <v>46093</v>
      </c>
      <c r="C29" s="21" t="s">
        <v>141</v>
      </c>
      <c r="D29" s="23" t="s">
        <v>142</v>
      </c>
      <c r="E29" s="22" t="s">
        <v>28</v>
      </c>
      <c r="F29" s="49" t="str">
        <f>IFERROR(VLOOKUP(E29,Kontenplan!$B$11:$C$43,2,FALSE()),"—")</f>
        <v>Forderungen a. L+L</v>
      </c>
      <c r="G29" s="22" t="s">
        <v>55</v>
      </c>
      <c r="H29" s="49" t="str">
        <f>IFERROR(VLOOKUP(G29,Kontenplan!$B$11:$C$43,2,FALSE()),"—")</f>
        <v>Umsatzerlöse 19 % USt</v>
      </c>
      <c r="I29" s="50">
        <v>11000</v>
      </c>
      <c r="J29" s="51">
        <v>19</v>
      </c>
    </row>
    <row r="30" spans="1:10" ht="21" customHeight="1" x14ac:dyDescent="0.25">
      <c r="A30" s="13">
        <v>19</v>
      </c>
      <c r="B30" s="44">
        <v>46093</v>
      </c>
      <c r="C30" s="13" t="s">
        <v>143</v>
      </c>
      <c r="D30" s="15" t="s">
        <v>144</v>
      </c>
      <c r="E30" s="14" t="s">
        <v>28</v>
      </c>
      <c r="F30" s="45" t="str">
        <f>IFERROR(VLOOKUP(E30,Kontenplan!$B$11:$C$43,2,FALSE()),"—")</f>
        <v>Forderungen a. L+L</v>
      </c>
      <c r="G30" s="14" t="s">
        <v>51</v>
      </c>
      <c r="H30" s="45" t="str">
        <f>IFERROR(VLOOKUP(G30,Kontenplan!$B$11:$C$43,2,FALSE()),"—")</f>
        <v>Umsatzsteuer 19 %</v>
      </c>
      <c r="I30" s="46">
        <v>2090</v>
      </c>
      <c r="J30" s="47"/>
    </row>
    <row r="31" spans="1:10" ht="21" customHeight="1" x14ac:dyDescent="0.25">
      <c r="A31" s="21">
        <v>20</v>
      </c>
      <c r="B31" s="48">
        <v>46099</v>
      </c>
      <c r="C31" s="21" t="s">
        <v>145</v>
      </c>
      <c r="D31" s="23" t="s">
        <v>146</v>
      </c>
      <c r="E31" s="22" t="s">
        <v>83</v>
      </c>
      <c r="F31" s="49" t="str">
        <f>IFERROR(VLOOKUP(E31,Kontenplan!$B$11:$C$43,2,FALSE()),"—")</f>
        <v>Versicherungen / Beiträge</v>
      </c>
      <c r="G31" s="22" t="s">
        <v>36</v>
      </c>
      <c r="H31" s="49" t="str">
        <f>IFERROR(VLOOKUP(G31,Kontenplan!$B$11:$C$43,2,FALSE()),"—")</f>
        <v>Bank — Geschäftskonto</v>
      </c>
      <c r="I31" s="50">
        <v>425</v>
      </c>
      <c r="J31" s="51"/>
    </row>
    <row r="32" spans="1:10" ht="21" customHeight="1" x14ac:dyDescent="0.25">
      <c r="A32" s="13">
        <v>21</v>
      </c>
      <c r="B32" s="44">
        <v>46106</v>
      </c>
      <c r="C32" s="13" t="s">
        <v>147</v>
      </c>
      <c r="D32" s="15" t="s">
        <v>148</v>
      </c>
      <c r="E32" s="14" t="s">
        <v>67</v>
      </c>
      <c r="F32" s="45" t="str">
        <f>IFERROR(VLOOKUP(E32,Kontenplan!$B$11:$C$43,2,FALSE()),"—")</f>
        <v>Löhne und Gehälter</v>
      </c>
      <c r="G32" s="14" t="s">
        <v>36</v>
      </c>
      <c r="H32" s="45" t="str">
        <f>IFERROR(VLOOKUP(G32,Kontenplan!$B$11:$C$43,2,FALSE()),"—")</f>
        <v>Bank — Geschäftskonto</v>
      </c>
      <c r="I32" s="46">
        <v>3500</v>
      </c>
      <c r="J32" s="47"/>
    </row>
    <row r="33" spans="1:10" ht="21" customHeight="1" x14ac:dyDescent="0.25">
      <c r="A33" s="21">
        <v>22</v>
      </c>
      <c r="B33" s="48">
        <v>46114</v>
      </c>
      <c r="C33" s="21" t="s">
        <v>149</v>
      </c>
      <c r="D33" s="23" t="s">
        <v>150</v>
      </c>
      <c r="E33" s="22" t="s">
        <v>71</v>
      </c>
      <c r="F33" s="49" t="str">
        <f>IFERROR(VLOOKUP(E33,Kontenplan!$B$11:$C$43,2,FALSE()),"—")</f>
        <v>Raumkosten / Miete</v>
      </c>
      <c r="G33" s="22" t="s">
        <v>36</v>
      </c>
      <c r="H33" s="49" t="str">
        <f>IFERROR(VLOOKUP(G33,Kontenplan!$B$11:$C$43,2,FALSE()),"—")</f>
        <v>Bank — Geschäftskonto</v>
      </c>
      <c r="I33" s="50">
        <v>1200</v>
      </c>
      <c r="J33" s="51"/>
    </row>
    <row r="34" spans="1:10" ht="21" customHeight="1" x14ac:dyDescent="0.25">
      <c r="A34" s="13">
        <v>23</v>
      </c>
      <c r="B34" s="44">
        <v>46122</v>
      </c>
      <c r="C34" s="13" t="s">
        <v>151</v>
      </c>
      <c r="D34" s="15" t="s">
        <v>152</v>
      </c>
      <c r="E34" s="14" t="s">
        <v>89</v>
      </c>
      <c r="F34" s="45" t="str">
        <f>IFERROR(VLOOKUP(E34,Kontenplan!$B$11:$C$43,2,FALSE()),"—")</f>
        <v>Zinsaufwendungen</v>
      </c>
      <c r="G34" s="14" t="s">
        <v>36</v>
      </c>
      <c r="H34" s="45" t="str">
        <f>IFERROR(VLOOKUP(G34,Kontenplan!$B$11:$C$43,2,FALSE()),"—")</f>
        <v>Bank — Geschäftskonto</v>
      </c>
      <c r="I34" s="46">
        <v>178.5</v>
      </c>
      <c r="J34" s="47"/>
    </row>
    <row r="35" spans="1:10" ht="21" customHeight="1" x14ac:dyDescent="0.25">
      <c r="A35" s="21">
        <v>24</v>
      </c>
      <c r="B35" s="48">
        <v>46130</v>
      </c>
      <c r="C35" s="21" t="s">
        <v>153</v>
      </c>
      <c r="D35" s="23" t="s">
        <v>154</v>
      </c>
      <c r="E35" s="22" t="s">
        <v>87</v>
      </c>
      <c r="F35" s="49" t="str">
        <f>IFERROR(VLOOKUP(E35,Kontenplan!$B$11:$C$43,2,FALSE()),"—")</f>
        <v>Reisekosten Unternehmer</v>
      </c>
      <c r="G35" s="22" t="s">
        <v>38</v>
      </c>
      <c r="H35" s="49" t="str">
        <f>IFERROR(VLOOKUP(G35,Kontenplan!$B$11:$C$43,2,FALSE()),"—")</f>
        <v>Kasse</v>
      </c>
      <c r="I35" s="50">
        <v>215.8</v>
      </c>
      <c r="J35" s="51"/>
    </row>
    <row r="36" spans="1:10" ht="21" customHeight="1" x14ac:dyDescent="0.25">
      <c r="A36" s="13">
        <v>25</v>
      </c>
      <c r="B36" s="44">
        <v>46137</v>
      </c>
      <c r="C36" s="13" t="s">
        <v>155</v>
      </c>
      <c r="D36" s="15" t="s">
        <v>156</v>
      </c>
      <c r="E36" s="14" t="s">
        <v>67</v>
      </c>
      <c r="F36" s="45" t="str">
        <f>IFERROR(VLOOKUP(E36,Kontenplan!$B$11:$C$43,2,FALSE()),"—")</f>
        <v>Löhne und Gehälter</v>
      </c>
      <c r="G36" s="14" t="s">
        <v>36</v>
      </c>
      <c r="H36" s="45" t="str">
        <f>IFERROR(VLOOKUP(G36,Kontenplan!$B$11:$C$43,2,FALSE()),"—")</f>
        <v>Bank — Geschäftskonto</v>
      </c>
      <c r="I36" s="46">
        <v>3500</v>
      </c>
      <c r="J36" s="47"/>
    </row>
    <row r="37" spans="1:10" ht="21" customHeight="1" x14ac:dyDescent="0.25">
      <c r="A37" s="52">
        <v>26</v>
      </c>
      <c r="B37" s="53"/>
      <c r="C37" s="54"/>
      <c r="D37" s="54"/>
      <c r="E37" s="52"/>
      <c r="F37" s="54" t="str">
        <f>IFERROR(IF(E37="","",VLOOKUP(E37,Kontenplan!$B$11:$C$43,2,FALSE())),"—")</f>
        <v/>
      </c>
      <c r="G37" s="52"/>
      <c r="H37" s="54" t="str">
        <f>IFERROR(IF(G37="","",VLOOKUP(G37,Kontenplan!$B$11:$C$43,2,FALSE())),"—")</f>
        <v/>
      </c>
      <c r="I37" s="55"/>
      <c r="J37" s="56"/>
    </row>
    <row r="38" spans="1:10" ht="21" customHeight="1" x14ac:dyDescent="0.25">
      <c r="A38" s="57">
        <v>27</v>
      </c>
      <c r="B38" s="58"/>
      <c r="C38" s="59"/>
      <c r="D38" s="59"/>
      <c r="E38" s="57"/>
      <c r="F38" s="59" t="str">
        <f>IFERROR(IF(E38="","",VLOOKUP(E38,Kontenplan!$B$11:$C$43,2,FALSE())),"—")</f>
        <v/>
      </c>
      <c r="G38" s="57"/>
      <c r="H38" s="59" t="str">
        <f>IFERROR(IF(G38="","",VLOOKUP(G38,Kontenplan!$B$11:$C$43,2,FALSE())),"—")</f>
        <v/>
      </c>
      <c r="I38" s="60"/>
      <c r="J38" s="61"/>
    </row>
    <row r="39" spans="1:10" ht="21" customHeight="1" x14ac:dyDescent="0.25">
      <c r="A39" s="52">
        <v>28</v>
      </c>
      <c r="B39" s="53"/>
      <c r="C39" s="54"/>
      <c r="D39" s="54"/>
      <c r="E39" s="52"/>
      <c r="F39" s="54" t="str">
        <f>IFERROR(IF(E39="","",VLOOKUP(E39,Kontenplan!$B$11:$C$43,2,FALSE())),"—")</f>
        <v/>
      </c>
      <c r="G39" s="52"/>
      <c r="H39" s="54" t="str">
        <f>IFERROR(IF(G39="","",VLOOKUP(G39,Kontenplan!$B$11:$C$43,2,FALSE())),"—")</f>
        <v/>
      </c>
      <c r="I39" s="55"/>
      <c r="J39" s="56"/>
    </row>
    <row r="40" spans="1:10" ht="21" customHeight="1" x14ac:dyDescent="0.25">
      <c r="A40" s="57">
        <v>29</v>
      </c>
      <c r="B40" s="58"/>
      <c r="C40" s="59"/>
      <c r="D40" s="59"/>
      <c r="E40" s="57"/>
      <c r="F40" s="59" t="str">
        <f>IFERROR(IF(E40="","",VLOOKUP(E40,Kontenplan!$B$11:$C$43,2,FALSE())),"—")</f>
        <v/>
      </c>
      <c r="G40" s="57"/>
      <c r="H40" s="59" t="str">
        <f>IFERROR(IF(G40="","",VLOOKUP(G40,Kontenplan!$B$11:$C$43,2,FALSE())),"—")</f>
        <v/>
      </c>
      <c r="I40" s="60"/>
      <c r="J40" s="61"/>
    </row>
    <row r="41" spans="1:10" ht="21" customHeight="1" x14ac:dyDescent="0.25">
      <c r="A41" s="52">
        <v>30</v>
      </c>
      <c r="B41" s="53"/>
      <c r="C41" s="54"/>
      <c r="D41" s="54"/>
      <c r="E41" s="52"/>
      <c r="F41" s="54" t="str">
        <f>IFERROR(IF(E41="","",VLOOKUP(E41,Kontenplan!$B$11:$C$43,2,FALSE())),"—")</f>
        <v/>
      </c>
      <c r="G41" s="52"/>
      <c r="H41" s="54" t="str">
        <f>IFERROR(IF(G41="","",VLOOKUP(G41,Kontenplan!$B$11:$C$43,2,FALSE())),"—")</f>
        <v/>
      </c>
      <c r="I41" s="55"/>
      <c r="J41" s="56"/>
    </row>
  </sheetData>
  <mergeCells count="11">
    <mergeCell ref="B6:C6"/>
    <mergeCell ref="D6:E6"/>
    <mergeCell ref="F6:G6"/>
    <mergeCell ref="H6:J6"/>
    <mergeCell ref="B10:J10"/>
    <mergeCell ref="B2:J2"/>
    <mergeCell ref="B3:J3"/>
    <mergeCell ref="B5:C5"/>
    <mergeCell ref="D5:E5"/>
    <mergeCell ref="F5:G5"/>
    <mergeCell ref="H5:J5"/>
  </mergeCells>
  <conditionalFormatting sqref="H6">
    <cfRule type="expression" dxfId="3" priority="2">
      <formula>$D$6=$F$6</formula>
    </cfRule>
    <cfRule type="expression" dxfId="2" priority="3">
      <formula>$D$6&lt;&gt;$F$6</formula>
    </cfRule>
  </conditionalFormatting>
  <printOptions horizontalCentered="1"/>
  <pageMargins left="0.3" right="0.3" top="0.4" bottom="0.4" header="0.511811023622047" footer="0.511811023622047"/>
  <pageSetup orientation="landscape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errorTitle="Ungültiges Konto" error="Bitte ein gültiges Konto aus dem Kontenplan auswählen" prompt="Konto-Nr. aus dem Kontenplan wählen" xr:uid="{00000000-0002-0000-0100-000000000000}">
          <x14:formula1>
            <xm:f>Kontenplan!$B$11:$B$43</xm:f>
          </x14:formula1>
          <x14:formula2>
            <xm:f>0</xm:f>
          </x14:formula2>
          <xm:sqref>E12:E41 G12:G41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9"/>
  <sheetViews>
    <sheetView showGridLines="0" zoomScaleNormal="100" workbookViewId="0"/>
  </sheetViews>
  <sheetFormatPr baseColWidth="10" defaultColWidth="8.7109375" defaultRowHeight="15" x14ac:dyDescent="0.25"/>
  <cols>
    <col min="1" max="1" width="3" customWidth="1"/>
    <col min="2" max="2" width="34" customWidth="1"/>
    <col min="3" max="3" width="14" customWidth="1"/>
    <col min="4" max="4" width="3" customWidth="1"/>
    <col min="5" max="5" width="34" customWidth="1"/>
    <col min="6" max="6" width="14" customWidth="1"/>
    <col min="7" max="7" width="2" customWidth="1"/>
    <col min="8" max="8" width="11" customWidth="1"/>
    <col min="9" max="9" width="13" customWidth="1"/>
  </cols>
  <sheetData>
    <row r="1" spans="2:9" ht="7.5" customHeight="1" x14ac:dyDescent="0.25"/>
    <row r="2" spans="2:9" ht="31.5" customHeight="1" x14ac:dyDescent="0.4">
      <c r="B2" s="11" t="s">
        <v>157</v>
      </c>
      <c r="C2" s="11"/>
      <c r="D2" s="11"/>
      <c r="E2" s="11"/>
      <c r="F2" s="11"/>
      <c r="G2" s="11"/>
      <c r="H2" s="11"/>
      <c r="I2" s="11"/>
    </row>
    <row r="3" spans="2:9" x14ac:dyDescent="0.25">
      <c r="B3" s="10" t="s">
        <v>158</v>
      </c>
      <c r="C3" s="10"/>
      <c r="D3" s="10"/>
      <c r="E3" s="10"/>
      <c r="F3" s="10"/>
      <c r="G3" s="10"/>
      <c r="H3" s="10"/>
      <c r="I3" s="10"/>
    </row>
    <row r="5" spans="2:9" ht="18" customHeight="1" x14ac:dyDescent="0.25">
      <c r="B5" s="6" t="s">
        <v>159</v>
      </c>
      <c r="C5" s="6"/>
      <c r="E5" s="6" t="s">
        <v>160</v>
      </c>
      <c r="F5" s="6"/>
      <c r="H5" s="6" t="s">
        <v>161</v>
      </c>
      <c r="I5" s="6"/>
    </row>
    <row r="6" spans="2:9" ht="27.75" customHeight="1" x14ac:dyDescent="0.25">
      <c r="B6" s="2">
        <f>SUMIF(Kontenplan!$E$11:$E$43,"Aktiv",Kontenplan!$J$11:$J$43)</f>
        <v>98379.3</v>
      </c>
      <c r="C6" s="2"/>
      <c r="E6" s="2">
        <f>SUMIF(Kontenplan!$E$11:$E$43,"Passiv",Kontenplan!$J$11:$J$43)+SUMIF(Kontenplan!$E$11:$E$43,"Eigenkapital",Kontenplan!$J$11:$J$43)</f>
        <v>97130</v>
      </c>
      <c r="F6" s="2"/>
      <c r="H6" s="1">
        <f>SUMIF(Kontenplan!$E$11:$E$43,"Ertrag",Kontenplan!$J$11:$J$43)-SUMIF(Kontenplan!$E$11:$E$43,"Aufwand",Kontenplan!$J$11:$J$43)</f>
        <v>1249.2999999999993</v>
      </c>
      <c r="I6" s="1"/>
    </row>
    <row r="8" spans="2:9" ht="9.75" customHeight="1" x14ac:dyDescent="0.25"/>
    <row r="9" spans="2:9" ht="21.75" customHeight="1" x14ac:dyDescent="0.25">
      <c r="B9" s="7" t="s">
        <v>162</v>
      </c>
      <c r="C9" s="7"/>
      <c r="D9" s="7"/>
      <c r="E9" s="7"/>
      <c r="F9" s="7"/>
    </row>
    <row r="10" spans="2:9" ht="21.75" customHeight="1" x14ac:dyDescent="0.25">
      <c r="B10" s="62" t="s">
        <v>163</v>
      </c>
      <c r="C10" s="63" t="s">
        <v>164</v>
      </c>
      <c r="E10" s="64" t="s">
        <v>165</v>
      </c>
      <c r="F10" s="65" t="s">
        <v>164</v>
      </c>
    </row>
    <row r="11" spans="2:9" ht="19.5" customHeight="1" x14ac:dyDescent="0.25">
      <c r="B11" s="15" t="s">
        <v>166</v>
      </c>
      <c r="C11" s="18">
        <f>Kontenplan!J11</f>
        <v>25000</v>
      </c>
      <c r="E11" s="15" t="s">
        <v>167</v>
      </c>
      <c r="F11" s="18">
        <f>Kontenplan!J20</f>
        <v>45000</v>
      </c>
    </row>
    <row r="12" spans="2:9" ht="19.5" customHeight="1" x14ac:dyDescent="0.25">
      <c r="B12" s="23" t="s">
        <v>168</v>
      </c>
      <c r="C12" s="25">
        <f>Kontenplan!J12</f>
        <v>8500</v>
      </c>
      <c r="E12" s="23" t="s">
        <v>169</v>
      </c>
      <c r="F12" s="25">
        <f>Kontenplan!J21</f>
        <v>0</v>
      </c>
    </row>
    <row r="13" spans="2:9" ht="19.5" customHeight="1" x14ac:dyDescent="0.25">
      <c r="B13" s="15" t="s">
        <v>170</v>
      </c>
      <c r="C13" s="18">
        <f>Kontenplan!J13</f>
        <v>4200</v>
      </c>
      <c r="E13" s="15" t="s">
        <v>171</v>
      </c>
      <c r="F13" s="18">
        <f>Kontenplan!J22</f>
        <v>0</v>
      </c>
    </row>
    <row r="14" spans="2:9" ht="19.5" customHeight="1" x14ac:dyDescent="0.25">
      <c r="B14" s="23" t="s">
        <v>172</v>
      </c>
      <c r="C14" s="25">
        <f>Kontenplan!J14</f>
        <v>38028</v>
      </c>
      <c r="E14" s="23" t="s">
        <v>173</v>
      </c>
      <c r="F14" s="25">
        <f>Kontenplan!J23</f>
        <v>15537</v>
      </c>
    </row>
    <row r="15" spans="2:9" ht="19.5" customHeight="1" x14ac:dyDescent="0.25">
      <c r="B15" s="15" t="s">
        <v>174</v>
      </c>
      <c r="C15" s="18">
        <f>Kontenplan!J15</f>
        <v>0</v>
      </c>
      <c r="E15" s="15" t="s">
        <v>175</v>
      </c>
      <c r="F15" s="18">
        <f>Kontenplan!J24</f>
        <v>31900</v>
      </c>
    </row>
    <row r="16" spans="2:9" ht="19.5" customHeight="1" x14ac:dyDescent="0.25">
      <c r="B16" s="23" t="s">
        <v>176</v>
      </c>
      <c r="C16" s="25">
        <f>Kontenplan!J16</f>
        <v>437</v>
      </c>
      <c r="E16" s="23" t="s">
        <v>177</v>
      </c>
      <c r="F16" s="25">
        <f>Kontenplan!J25</f>
        <v>4693</v>
      </c>
    </row>
    <row r="17" spans="2:9" ht="19.5" customHeight="1" x14ac:dyDescent="0.25">
      <c r="B17" s="15" t="s">
        <v>178</v>
      </c>
      <c r="C17" s="18">
        <f>Kontenplan!J17</f>
        <v>0</v>
      </c>
      <c r="E17" s="15" t="s">
        <v>179</v>
      </c>
      <c r="F17" s="18">
        <f>Kontenplan!J26</f>
        <v>0</v>
      </c>
    </row>
    <row r="18" spans="2:9" ht="19.5" customHeight="1" x14ac:dyDescent="0.25">
      <c r="B18" s="23" t="s">
        <v>180</v>
      </c>
      <c r="C18" s="25">
        <f>Kontenplan!J18</f>
        <v>21667.5</v>
      </c>
      <c r="E18" s="23"/>
      <c r="F18" s="25"/>
    </row>
    <row r="19" spans="2:9" ht="19.5" customHeight="1" x14ac:dyDescent="0.25">
      <c r="B19" s="15" t="s">
        <v>181</v>
      </c>
      <c r="C19" s="18">
        <f>Kontenplan!J19</f>
        <v>546.79999999999995</v>
      </c>
      <c r="E19" s="15"/>
      <c r="F19" s="18"/>
    </row>
    <row r="20" spans="2:9" ht="24" customHeight="1" x14ac:dyDescent="0.25">
      <c r="B20" s="66" t="s">
        <v>182</v>
      </c>
      <c r="C20" s="67">
        <f>SUMIF(Kontenplan!$E$11:$E$43,"Aktiv",Kontenplan!$J$11:$J$43)</f>
        <v>98379.3</v>
      </c>
      <c r="E20" s="68" t="s">
        <v>183</v>
      </c>
      <c r="F20" s="69">
        <f>SUMIF(Kontenplan!$E$11:$E$43,"Passiv",Kontenplan!$J$11:$J$43)+SUMIF(Kontenplan!$E$11:$E$43,"Eigenkapital",Kontenplan!$J$11:$J$43)+(SUMIF(Kontenplan!$E$11:$E$43,"Ertrag",Kontenplan!$J$11:$J$43)-SUMIF(Kontenplan!$E$11:$E$43,"Aufwand",Kontenplan!$J$11:$J$43))</f>
        <v>98379.3</v>
      </c>
    </row>
    <row r="22" spans="2:9" ht="9.75" customHeight="1" x14ac:dyDescent="0.25"/>
    <row r="23" spans="2:9" ht="21.75" customHeight="1" x14ac:dyDescent="0.25">
      <c r="B23" s="7" t="s">
        <v>184</v>
      </c>
      <c r="C23" s="7"/>
      <c r="D23" s="7"/>
      <c r="E23" s="7"/>
      <c r="F23" s="7"/>
      <c r="H23" s="70" t="s">
        <v>185</v>
      </c>
      <c r="I23" s="70" t="s">
        <v>106</v>
      </c>
    </row>
    <row r="24" spans="2:9" ht="21.75" customHeight="1" x14ac:dyDescent="0.25">
      <c r="B24" s="71" t="s">
        <v>186</v>
      </c>
      <c r="C24" s="72" t="s">
        <v>164</v>
      </c>
      <c r="E24" s="73" t="s">
        <v>187</v>
      </c>
      <c r="F24" s="74" t="s">
        <v>164</v>
      </c>
      <c r="H24" s="75" t="s">
        <v>188</v>
      </c>
      <c r="I24" s="76">
        <f>SUMIF(Kontenplan!$E$11:$E$43,"Aktiv",Kontenplan!$J$11:$J$43)</f>
        <v>98379.3</v>
      </c>
    </row>
    <row r="25" spans="2:9" ht="19.5" customHeight="1" x14ac:dyDescent="0.25">
      <c r="B25" s="15" t="s">
        <v>189</v>
      </c>
      <c r="C25" s="18">
        <f>Kontenplan!J27</f>
        <v>24700</v>
      </c>
      <c r="E25" s="15" t="s">
        <v>190</v>
      </c>
      <c r="F25" s="18">
        <f>Kontenplan!J31</f>
        <v>2300</v>
      </c>
      <c r="H25" s="75" t="s">
        <v>191</v>
      </c>
      <c r="I25" s="76">
        <f>SUMIF(Kontenplan!$E$11:$E$43,"Passiv",Kontenplan!$J$11:$J$43)</f>
        <v>52130</v>
      </c>
    </row>
    <row r="26" spans="2:9" ht="19.5" customHeight="1" x14ac:dyDescent="0.25">
      <c r="B26" s="23" t="s">
        <v>192</v>
      </c>
      <c r="C26" s="25">
        <f>Kontenplan!J28</f>
        <v>0</v>
      </c>
      <c r="E26" s="23" t="s">
        <v>193</v>
      </c>
      <c r="F26" s="25">
        <f>Kontenplan!J32</f>
        <v>14000</v>
      </c>
      <c r="H26" s="75" t="s">
        <v>194</v>
      </c>
      <c r="I26" s="76">
        <f>SUMIF(Kontenplan!$E$11:$E$43,"Eigenkapital",Kontenplan!$J$11:$J$43)</f>
        <v>45000</v>
      </c>
    </row>
    <row r="27" spans="2:9" ht="19.5" customHeight="1" x14ac:dyDescent="0.25">
      <c r="B27" s="15" t="s">
        <v>195</v>
      </c>
      <c r="C27" s="18">
        <f>Kontenplan!J29</f>
        <v>0</v>
      </c>
      <c r="E27" s="15" t="s">
        <v>196</v>
      </c>
      <c r="F27" s="18">
        <f>Kontenplan!J33</f>
        <v>720</v>
      </c>
      <c r="H27" s="75" t="s">
        <v>197</v>
      </c>
      <c r="I27" s="76">
        <f>SUMIF(Kontenplan!$E$11:$E$43,"Ertrag",Kontenplan!$J$11:$J$43)</f>
        <v>24700</v>
      </c>
    </row>
    <row r="28" spans="2:9" ht="19.5" customHeight="1" x14ac:dyDescent="0.25">
      <c r="B28" s="23" t="s">
        <v>198</v>
      </c>
      <c r="C28" s="25">
        <f>Kontenplan!J30</f>
        <v>0</v>
      </c>
      <c r="E28" s="23" t="s">
        <v>199</v>
      </c>
      <c r="F28" s="25">
        <f>Kontenplan!J34</f>
        <v>4800</v>
      </c>
      <c r="H28" s="75" t="s">
        <v>200</v>
      </c>
      <c r="I28" s="76">
        <f>SUMIF(Kontenplan!$E$11:$E$43,"Aufwand",Kontenplan!$J$11:$J$43)</f>
        <v>23450.7</v>
      </c>
    </row>
    <row r="29" spans="2:9" ht="19.5" customHeight="1" x14ac:dyDescent="0.25">
      <c r="B29" s="15"/>
      <c r="C29" s="18"/>
      <c r="E29" s="15" t="s">
        <v>201</v>
      </c>
      <c r="F29" s="18">
        <f>Kontenplan!J35</f>
        <v>285</v>
      </c>
    </row>
    <row r="30" spans="2:9" ht="19.5" customHeight="1" x14ac:dyDescent="0.25">
      <c r="B30" s="23"/>
      <c r="C30" s="25"/>
      <c r="E30" s="23" t="s">
        <v>202</v>
      </c>
      <c r="F30" s="25">
        <f>Kontenplan!J36</f>
        <v>89</v>
      </c>
    </row>
    <row r="31" spans="2:9" ht="19.5" customHeight="1" x14ac:dyDescent="0.25">
      <c r="B31" s="15"/>
      <c r="C31" s="18"/>
      <c r="E31" s="15" t="s">
        <v>203</v>
      </c>
      <c r="F31" s="18">
        <f>Kontenplan!J37</f>
        <v>350</v>
      </c>
    </row>
    <row r="32" spans="2:9" ht="19.5" customHeight="1" x14ac:dyDescent="0.25">
      <c r="B32" s="23"/>
      <c r="C32" s="25"/>
      <c r="E32" s="23" t="s">
        <v>204</v>
      </c>
      <c r="F32" s="25">
        <f>Kontenplan!J38</f>
        <v>87.4</v>
      </c>
    </row>
    <row r="33" spans="2:6" ht="19.5" customHeight="1" x14ac:dyDescent="0.25">
      <c r="B33" s="15"/>
      <c r="C33" s="18"/>
      <c r="E33" s="15" t="s">
        <v>205</v>
      </c>
      <c r="F33" s="18">
        <f>Kontenplan!J39</f>
        <v>0</v>
      </c>
    </row>
    <row r="34" spans="2:6" ht="19.5" customHeight="1" x14ac:dyDescent="0.25">
      <c r="B34" s="23"/>
      <c r="C34" s="25"/>
      <c r="E34" s="23" t="s">
        <v>206</v>
      </c>
      <c r="F34" s="25">
        <f>Kontenplan!J40</f>
        <v>425</v>
      </c>
    </row>
    <row r="35" spans="2:6" ht="19.5" customHeight="1" x14ac:dyDescent="0.25">
      <c r="B35" s="15"/>
      <c r="C35" s="18"/>
      <c r="E35" s="15" t="s">
        <v>207</v>
      </c>
      <c r="F35" s="18">
        <f>Kontenplan!J41</f>
        <v>0</v>
      </c>
    </row>
    <row r="36" spans="2:6" ht="19.5" customHeight="1" x14ac:dyDescent="0.25">
      <c r="B36" s="23"/>
      <c r="C36" s="25"/>
      <c r="E36" s="23" t="s">
        <v>208</v>
      </c>
      <c r="F36" s="25">
        <f>Kontenplan!J42</f>
        <v>215.8</v>
      </c>
    </row>
    <row r="37" spans="2:6" ht="19.5" customHeight="1" x14ac:dyDescent="0.25">
      <c r="B37" s="15"/>
      <c r="C37" s="18"/>
      <c r="E37" s="15" t="s">
        <v>209</v>
      </c>
      <c r="F37" s="18">
        <f>Kontenplan!J43</f>
        <v>178.5</v>
      </c>
    </row>
    <row r="38" spans="2:6" ht="24" customHeight="1" x14ac:dyDescent="0.25">
      <c r="B38" s="77" t="s">
        <v>210</v>
      </c>
      <c r="C38" s="78">
        <f>SUMIF(Kontenplan!$E$11:$E$43,"Ertrag",Kontenplan!$J$11:$J$43)</f>
        <v>24700</v>
      </c>
      <c r="E38" s="79" t="s">
        <v>211</v>
      </c>
      <c r="F38" s="80">
        <f>SUMIF(Kontenplan!$E$11:$E$43,"Aufwand",Kontenplan!$J$11:$J$43)</f>
        <v>23450.7</v>
      </c>
    </row>
    <row r="39" spans="2:6" ht="27.75" customHeight="1" x14ac:dyDescent="0.25">
      <c r="B39" s="81" t="s">
        <v>212</v>
      </c>
      <c r="C39" s="82">
        <f>SUMIF(Kontenplan!$E$11:$E$43,"Ertrag",Kontenplan!$J$11:$J$43)-SUMIF(Kontenplan!$E$11:$E$43,"Aufwand",Kontenplan!$J$11:$J$43)</f>
        <v>1249.2999999999993</v>
      </c>
    </row>
  </sheetData>
  <mergeCells count="10">
    <mergeCell ref="B6:C6"/>
    <mergeCell ref="E6:F6"/>
    <mergeCell ref="H6:I6"/>
    <mergeCell ref="B9:F9"/>
    <mergeCell ref="B23:F23"/>
    <mergeCell ref="B2:I2"/>
    <mergeCell ref="B3:I3"/>
    <mergeCell ref="B5:C5"/>
    <mergeCell ref="E5:F5"/>
    <mergeCell ref="H5:I5"/>
  </mergeCells>
  <conditionalFormatting sqref="H6">
    <cfRule type="cellIs" dxfId="1" priority="2" operator="greaterThan">
      <formula>0</formula>
    </cfRule>
    <cfRule type="cellIs" dxfId="0" priority="3" operator="lessThan">
      <formula>0</formula>
    </cfRule>
  </conditionalFormatting>
  <printOptions horizontalCentered="1"/>
  <pageMargins left="0.3" right="0.3" top="0.4" bottom="0.4" header="0.511811023622047" footer="0.511811023622047"/>
  <pageSetup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Kontenplan</vt:lpstr>
      <vt:lpstr>Buchungsjournal</vt:lpstr>
      <vt:lpstr>Saldenliste &amp; Auswertung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1</cp:revision>
  <dcterms:created xsi:type="dcterms:W3CDTF">2026-06-15T11:10:31Z</dcterms:created>
  <dcterms:modified xsi:type="dcterms:W3CDTF">2026-06-17T06:03:44Z</dcterms:modified>
  <dc:language>en-US</dc:language>
</cp:coreProperties>
</file>