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BF1D33EC-2E2C-402C-B1AE-2F24B885214D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Kostenartenrechnung" sheetId="1" r:id="rId1"/>
    <sheet name="BAB" sheetId="2" r:id="rId2"/>
    <sheet name="Kostenträgerrechnung" sheetId="3" r:id="rId3"/>
    <sheet name="Deckungsbeitragsrechnung" sheetId="4" r:id="rId4"/>
    <sheet name="Plan-Ist-Vergleich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0" i="5" l="1"/>
  <c r="C39" i="5"/>
  <c r="D39" i="5" s="1"/>
  <c r="C38" i="5"/>
  <c r="D38" i="5" s="1"/>
  <c r="C37" i="5"/>
  <c r="D37" i="5" s="1"/>
  <c r="D36" i="5"/>
  <c r="G36" i="5" s="1"/>
  <c r="C36" i="5"/>
  <c r="C35" i="5"/>
  <c r="D35" i="5" s="1"/>
  <c r="C34" i="5"/>
  <c r="C40" i="5" s="1"/>
  <c r="D30" i="5"/>
  <c r="F30" i="5" s="1"/>
  <c r="C30" i="5"/>
  <c r="F29" i="5"/>
  <c r="E29" i="5"/>
  <c r="F28" i="5"/>
  <c r="E28" i="5"/>
  <c r="F27" i="5"/>
  <c r="E27" i="5"/>
  <c r="F25" i="5"/>
  <c r="E25" i="5"/>
  <c r="F24" i="5"/>
  <c r="E24" i="5"/>
  <c r="F23" i="5"/>
  <c r="E23" i="5"/>
  <c r="F21" i="5"/>
  <c r="E21" i="5"/>
  <c r="F20" i="5"/>
  <c r="E20" i="5"/>
  <c r="F19" i="5"/>
  <c r="E19" i="5"/>
  <c r="F17" i="5"/>
  <c r="E17" i="5"/>
  <c r="F16" i="5"/>
  <c r="E16" i="5"/>
  <c r="F14" i="5"/>
  <c r="E14" i="5"/>
  <c r="F13" i="5"/>
  <c r="E13" i="5"/>
  <c r="F12" i="5"/>
  <c r="E12" i="5"/>
  <c r="F10" i="5"/>
  <c r="E10" i="5"/>
  <c r="F9" i="5"/>
  <c r="E9" i="5"/>
  <c r="F8" i="5"/>
  <c r="E8" i="5"/>
  <c r="G27" i="4"/>
  <c r="F21" i="4"/>
  <c r="G21" i="4" s="1"/>
  <c r="E21" i="4"/>
  <c r="D21" i="4"/>
  <c r="C21" i="4"/>
  <c r="F14" i="4"/>
  <c r="E14" i="4"/>
  <c r="D14" i="4"/>
  <c r="C14" i="4"/>
  <c r="G14" i="4" s="1"/>
  <c r="F9" i="4"/>
  <c r="F15" i="4" s="1"/>
  <c r="E9" i="4"/>
  <c r="G9" i="4" s="1"/>
  <c r="D9" i="4"/>
  <c r="D15" i="4" s="1"/>
  <c r="C9" i="4"/>
  <c r="C15" i="4" s="1"/>
  <c r="G7" i="4"/>
  <c r="F35" i="3"/>
  <c r="E35" i="3"/>
  <c r="D35" i="3"/>
  <c r="C35" i="3"/>
  <c r="D19" i="3"/>
  <c r="C19" i="3"/>
  <c r="F17" i="3"/>
  <c r="F19" i="3" s="1"/>
  <c r="E17" i="3"/>
  <c r="E19" i="3" s="1"/>
  <c r="D17" i="3"/>
  <c r="C17" i="3"/>
  <c r="E12" i="3"/>
  <c r="E13" i="3" s="1"/>
  <c r="E20" i="3" s="1"/>
  <c r="D12" i="3"/>
  <c r="D13" i="3" s="1"/>
  <c r="D20" i="3" s="1"/>
  <c r="C12" i="3"/>
  <c r="C13" i="3" s="1"/>
  <c r="C20" i="3" s="1"/>
  <c r="F10" i="3"/>
  <c r="F12" i="3" s="1"/>
  <c r="E10" i="3"/>
  <c r="D10" i="3"/>
  <c r="C10" i="3"/>
  <c r="C40" i="2"/>
  <c r="H39" i="2"/>
  <c r="G39" i="2"/>
  <c r="F39" i="2"/>
  <c r="E39" i="2"/>
  <c r="D39" i="2"/>
  <c r="H38" i="2"/>
  <c r="G38" i="2"/>
  <c r="F38" i="2"/>
  <c r="E38" i="2"/>
  <c r="D38" i="2"/>
  <c r="H37" i="2"/>
  <c r="G37" i="2"/>
  <c r="F37" i="2"/>
  <c r="E37" i="2"/>
  <c r="D37" i="2"/>
  <c r="H35" i="2"/>
  <c r="G35" i="2"/>
  <c r="F35" i="2"/>
  <c r="E35" i="2"/>
  <c r="D35" i="2"/>
  <c r="H34" i="2"/>
  <c r="G34" i="2"/>
  <c r="F34" i="2"/>
  <c r="E34" i="2"/>
  <c r="D34" i="2"/>
  <c r="H33" i="2"/>
  <c r="G33" i="2"/>
  <c r="F33" i="2"/>
  <c r="E33" i="2"/>
  <c r="D33" i="2"/>
  <c r="H32" i="2"/>
  <c r="G32" i="2"/>
  <c r="F32" i="2"/>
  <c r="E32" i="2"/>
  <c r="D32" i="2"/>
  <c r="H31" i="2"/>
  <c r="G31" i="2"/>
  <c r="F31" i="2"/>
  <c r="E31" i="2"/>
  <c r="D31" i="2"/>
  <c r="H29" i="2"/>
  <c r="G29" i="2"/>
  <c r="F29" i="2"/>
  <c r="E29" i="2"/>
  <c r="D29" i="2"/>
  <c r="H28" i="2"/>
  <c r="G28" i="2"/>
  <c r="F28" i="2"/>
  <c r="E28" i="2"/>
  <c r="D28" i="2"/>
  <c r="H27" i="2"/>
  <c r="G27" i="2"/>
  <c r="F27" i="2"/>
  <c r="E27" i="2"/>
  <c r="D27" i="2"/>
  <c r="H26" i="2"/>
  <c r="G26" i="2"/>
  <c r="F26" i="2"/>
  <c r="E26" i="2"/>
  <c r="D26" i="2"/>
  <c r="H24" i="2"/>
  <c r="G24" i="2"/>
  <c r="F24" i="2"/>
  <c r="E24" i="2"/>
  <c r="D24" i="2"/>
  <c r="H23" i="2"/>
  <c r="G23" i="2"/>
  <c r="F23" i="2"/>
  <c r="E23" i="2"/>
  <c r="D23" i="2"/>
  <c r="H22" i="2"/>
  <c r="G22" i="2"/>
  <c r="F22" i="2"/>
  <c r="E22" i="2"/>
  <c r="D22" i="2"/>
  <c r="H21" i="2"/>
  <c r="G21" i="2"/>
  <c r="F21" i="2"/>
  <c r="E21" i="2"/>
  <c r="D21" i="2"/>
  <c r="H19" i="2"/>
  <c r="G19" i="2"/>
  <c r="F19" i="2"/>
  <c r="E19" i="2"/>
  <c r="D19" i="2"/>
  <c r="H18" i="2"/>
  <c r="G18" i="2"/>
  <c r="F18" i="2"/>
  <c r="E18" i="2"/>
  <c r="D18" i="2"/>
  <c r="H17" i="2"/>
  <c r="G17" i="2"/>
  <c r="F17" i="2"/>
  <c r="E17" i="2"/>
  <c r="D17" i="2"/>
  <c r="H16" i="2"/>
  <c r="G16" i="2"/>
  <c r="F16" i="2"/>
  <c r="E16" i="2"/>
  <c r="D16" i="2"/>
  <c r="H14" i="2"/>
  <c r="G14" i="2"/>
  <c r="F14" i="2"/>
  <c r="E14" i="2"/>
  <c r="D14" i="2"/>
  <c r="H13" i="2"/>
  <c r="G13" i="2"/>
  <c r="F13" i="2"/>
  <c r="E13" i="2"/>
  <c r="D13" i="2"/>
  <c r="H12" i="2"/>
  <c r="G12" i="2"/>
  <c r="F12" i="2"/>
  <c r="E12" i="2"/>
  <c r="D12" i="2"/>
  <c r="H11" i="2"/>
  <c r="G11" i="2"/>
  <c r="F11" i="2"/>
  <c r="E11" i="2"/>
  <c r="D11" i="2"/>
  <c r="H9" i="2"/>
  <c r="G9" i="2"/>
  <c r="F9" i="2"/>
  <c r="E9" i="2"/>
  <c r="D9" i="2"/>
  <c r="H8" i="2"/>
  <c r="H40" i="2" s="1"/>
  <c r="H45" i="2" s="1"/>
  <c r="G8" i="2"/>
  <c r="G40" i="2" s="1"/>
  <c r="G45" i="2" s="1"/>
  <c r="F8" i="2"/>
  <c r="F40" i="2" s="1"/>
  <c r="F45" i="2" s="1"/>
  <c r="E8" i="2"/>
  <c r="E40" i="2" s="1"/>
  <c r="E45" i="2" s="1"/>
  <c r="D8" i="2"/>
  <c r="D40" i="2" s="1"/>
  <c r="D45" i="2" s="1"/>
  <c r="C6" i="2"/>
  <c r="G48" i="1"/>
  <c r="I48" i="1" s="1"/>
  <c r="F48" i="1"/>
  <c r="G47" i="1"/>
  <c r="I47" i="1" s="1"/>
  <c r="F47" i="1"/>
  <c r="G46" i="1"/>
  <c r="I46" i="1" s="1"/>
  <c r="F46" i="1"/>
  <c r="G45" i="1"/>
  <c r="I45" i="1" s="1"/>
  <c r="F45" i="1"/>
  <c r="G44" i="1"/>
  <c r="I44" i="1" s="1"/>
  <c r="F44" i="1"/>
  <c r="G43" i="1"/>
  <c r="I43" i="1" s="1"/>
  <c r="F43" i="1"/>
  <c r="G42" i="1"/>
  <c r="G50" i="1" s="1"/>
  <c r="F42" i="1"/>
  <c r="F50" i="1" s="1"/>
  <c r="I41" i="1"/>
  <c r="H41" i="1"/>
  <c r="I40" i="1"/>
  <c r="H40" i="1"/>
  <c r="I38" i="1"/>
  <c r="H38" i="1"/>
  <c r="I37" i="1"/>
  <c r="H37" i="1"/>
  <c r="I36" i="1"/>
  <c r="H36" i="1"/>
  <c r="I35" i="1"/>
  <c r="H35" i="1"/>
  <c r="I34" i="1"/>
  <c r="H34" i="1"/>
  <c r="I32" i="1"/>
  <c r="H32" i="1"/>
  <c r="I31" i="1"/>
  <c r="H31" i="1"/>
  <c r="I30" i="1"/>
  <c r="H30" i="1"/>
  <c r="I29" i="1"/>
  <c r="H29" i="1"/>
  <c r="I27" i="1"/>
  <c r="H27" i="1"/>
  <c r="I26" i="1"/>
  <c r="H26" i="1"/>
  <c r="I25" i="1"/>
  <c r="H25" i="1"/>
  <c r="I24" i="1"/>
  <c r="H24" i="1"/>
  <c r="I22" i="1"/>
  <c r="H22" i="1"/>
  <c r="I21" i="1"/>
  <c r="H21" i="1"/>
  <c r="I20" i="1"/>
  <c r="H20" i="1"/>
  <c r="I19" i="1"/>
  <c r="H19" i="1"/>
  <c r="I17" i="1"/>
  <c r="H17" i="1"/>
  <c r="I16" i="1"/>
  <c r="H16" i="1"/>
  <c r="I15" i="1"/>
  <c r="H15" i="1"/>
  <c r="I14" i="1"/>
  <c r="H14" i="1"/>
  <c r="I13" i="1"/>
  <c r="H13" i="1"/>
  <c r="I11" i="1"/>
  <c r="H11" i="1"/>
  <c r="I10" i="1"/>
  <c r="H10" i="1"/>
  <c r="I9" i="1"/>
  <c r="H9" i="1"/>
  <c r="I8" i="1"/>
  <c r="H8" i="1"/>
  <c r="C22" i="3" l="1"/>
  <c r="C24" i="3"/>
  <c r="C26" i="3" s="1"/>
  <c r="H50" i="1"/>
  <c r="I50" i="1"/>
  <c r="C16" i="4"/>
  <c r="C22" i="4"/>
  <c r="D22" i="3"/>
  <c r="D24" i="3"/>
  <c r="D26" i="3" s="1"/>
  <c r="G35" i="5"/>
  <c r="F35" i="5"/>
  <c r="G37" i="5"/>
  <c r="F37" i="5"/>
  <c r="G38" i="5"/>
  <c r="F38" i="5"/>
  <c r="G39" i="5"/>
  <c r="F39" i="5"/>
  <c r="D22" i="4"/>
  <c r="D23" i="4" s="1"/>
  <c r="D16" i="4"/>
  <c r="F16" i="4"/>
  <c r="F22" i="4"/>
  <c r="F23" i="4" s="1"/>
  <c r="E22" i="3"/>
  <c r="E24" i="3"/>
  <c r="E26" i="3" s="1"/>
  <c r="H42" i="1"/>
  <c r="H47" i="1"/>
  <c r="I42" i="1"/>
  <c r="F13" i="3"/>
  <c r="F20" i="3" s="1"/>
  <c r="H43" i="1"/>
  <c r="H48" i="1"/>
  <c r="E30" i="5"/>
  <c r="E15" i="4"/>
  <c r="G15" i="4" s="1"/>
  <c r="H44" i="1"/>
  <c r="H45" i="1"/>
  <c r="H46" i="1"/>
  <c r="F36" i="5"/>
  <c r="D34" i="5"/>
  <c r="D29" i="3" l="1"/>
  <c r="D30" i="3" s="1"/>
  <c r="D36" i="3"/>
  <c r="D37" i="3" s="1"/>
  <c r="D38" i="3" s="1"/>
  <c r="E29" i="3"/>
  <c r="E30" i="3" s="1"/>
  <c r="E36" i="3"/>
  <c r="E37" i="3" s="1"/>
  <c r="E38" i="3" s="1"/>
  <c r="C29" i="3"/>
  <c r="C30" i="3" s="1"/>
  <c r="C36" i="3"/>
  <c r="C37" i="3" s="1"/>
  <c r="C38" i="3" s="1"/>
  <c r="F22" i="3"/>
  <c r="F26" i="3" s="1"/>
  <c r="F24" i="3"/>
  <c r="E16" i="4"/>
  <c r="E22" i="4"/>
  <c r="E23" i="4" s="1"/>
  <c r="F34" i="5"/>
  <c r="F40" i="5" s="1"/>
  <c r="G34" i="5"/>
  <c r="G40" i="5" s="1"/>
  <c r="D40" i="5"/>
  <c r="C23" i="4"/>
  <c r="G22" i="4"/>
  <c r="G28" i="4" s="1"/>
  <c r="F29" i="3" l="1"/>
  <c r="F30" i="3" s="1"/>
  <c r="F36" i="3"/>
  <c r="F37" i="3" s="1"/>
  <c r="F38" i="3" s="1"/>
</calcChain>
</file>

<file path=xl/sharedStrings.xml><?xml version="1.0" encoding="utf-8"?>
<sst xmlns="http://schemas.openxmlformats.org/spreadsheetml/2006/main" count="357" uniqueCount="227">
  <si>
    <t>Blauschrift = Eingabefelder  |  Schwarzschrift = automatisch berechnet  |  Alle Beträge in EUR</t>
  </si>
  <si>
    <t xml:space="preserve">  ▶  ÜBERSICHT ALLER KOSTENARTEN – PLAN / IST-VERGLEICH</t>
  </si>
  <si>
    <t>Nr.</t>
  </si>
  <si>
    <t>Kostenart</t>
  </si>
  <si>
    <t>Kostenbereich</t>
  </si>
  <si>
    <t>F / V</t>
  </si>
  <si>
    <t>Jahresplan (€)</t>
  </si>
  <si>
    <t>Jahres-Ist (€)</t>
  </si>
  <si>
    <t>Abweichung (€)</t>
  </si>
  <si>
    <t>Abw. (%)</t>
  </si>
  <si>
    <t xml:space="preserve">    MATERIALKOSTEN</t>
  </si>
  <si>
    <t>1000</t>
  </si>
  <si>
    <t xml:space="preserve">  Rohstoffe &amp; Grundstoffe</t>
  </si>
  <si>
    <t>Produktion</t>
  </si>
  <si>
    <t>V</t>
  </si>
  <si>
    <t>1010</t>
  </si>
  <si>
    <t xml:space="preserve">  Hilfsstoffe</t>
  </si>
  <si>
    <t>1020</t>
  </si>
  <si>
    <t xml:space="preserve">  Betriebsstoffe</t>
  </si>
  <si>
    <t>Infrastruktur</t>
  </si>
  <si>
    <t>F</t>
  </si>
  <si>
    <t>1030</t>
  </si>
  <si>
    <t xml:space="preserve">  Handelswaren / Fremdbezug</t>
  </si>
  <si>
    <t>Beschaffung</t>
  </si>
  <si>
    <t xml:space="preserve">    PERSONALKOSTEN</t>
  </si>
  <si>
    <t>2000</t>
  </si>
  <si>
    <t xml:space="preserve">  Löhne &amp; Gehälter</t>
  </si>
  <si>
    <t>Alle Bereiche</t>
  </si>
  <si>
    <t>2010</t>
  </si>
  <si>
    <t xml:space="preserve">  Sozialversicherung (AG-Anteil)</t>
  </si>
  <si>
    <t>2020</t>
  </si>
  <si>
    <t xml:space="preserve">  Sonderzahlungen / Prämien</t>
  </si>
  <si>
    <t>2030</t>
  </si>
  <si>
    <t xml:space="preserve">  Fremdpersonal &amp; Zeitarbeit</t>
  </si>
  <si>
    <t>2040</t>
  </si>
  <si>
    <t xml:space="preserve">  Personalentwicklung &amp; Schulung</t>
  </si>
  <si>
    <t>Verwaltung</t>
  </si>
  <si>
    <t xml:space="preserve">    ABSCHREIBUNGEN (KALK.)</t>
  </si>
  <si>
    <t>3000</t>
  </si>
  <si>
    <t xml:space="preserve">  Abschr. Maschinen &amp; Anlagen</t>
  </si>
  <si>
    <t>3010</t>
  </si>
  <si>
    <t xml:space="preserve">  Abschr. Fuhrpark</t>
  </si>
  <si>
    <t>Vertrieb</t>
  </si>
  <si>
    <t>3020</t>
  </si>
  <si>
    <t xml:space="preserve">  Abschr. Betriebs- &amp; GG-Ausstattung</t>
  </si>
  <si>
    <t>3030</t>
  </si>
  <si>
    <t xml:space="preserve">  Abschr. EDV &amp; Software (kalk.)</t>
  </si>
  <si>
    <t>IT</t>
  </si>
  <si>
    <t xml:space="preserve">    RAUMKOSTEN</t>
  </si>
  <si>
    <t>4000</t>
  </si>
  <si>
    <t xml:space="preserve">  Miete &amp; Nebenkosten</t>
  </si>
  <si>
    <t>4010</t>
  </si>
  <si>
    <t xml:space="preserve">  Energie (Strom, Gas, Wasser)</t>
  </si>
  <si>
    <t>4020</t>
  </si>
  <si>
    <t xml:space="preserve">  Instandhaltung &amp; Reparaturen</t>
  </si>
  <si>
    <t>4030</t>
  </si>
  <si>
    <t xml:space="preserve">  Reinigung &amp; Sicherheitsdienst</t>
  </si>
  <si>
    <t xml:space="preserve">    VERTRIEBSKOSTEN</t>
  </si>
  <si>
    <t>5000</t>
  </si>
  <si>
    <t xml:space="preserve">  Marketing &amp; Werbung</t>
  </si>
  <si>
    <t>5010</t>
  </si>
  <si>
    <t xml:space="preserve">  Versand- &amp; Frachtkosten</t>
  </si>
  <si>
    <t>5020</t>
  </si>
  <si>
    <t xml:space="preserve">  Reisekosten Außendienst</t>
  </si>
  <si>
    <t>5030</t>
  </si>
  <si>
    <t xml:space="preserve">  Provisionen &amp; Vermittlung</t>
  </si>
  <si>
    <t xml:space="preserve">    VERWALTUNGSKOSTEN</t>
  </si>
  <si>
    <t>6000</t>
  </si>
  <si>
    <t xml:space="preserve">  Büro- &amp; Kommunikationsbedarf</t>
  </si>
  <si>
    <t>6010</t>
  </si>
  <si>
    <t xml:space="preserve">  IT-Betrieb &amp; Lizenzen</t>
  </si>
  <si>
    <t>6020</t>
  </si>
  <si>
    <t xml:space="preserve">  Versicherungen &amp; Beiträge</t>
  </si>
  <si>
    <t>6030</t>
  </si>
  <si>
    <t xml:space="preserve">  Rechts- &amp; Steuerberatung</t>
  </si>
  <si>
    <t>6040</t>
  </si>
  <si>
    <t xml:space="preserve">  Zinsen &amp; Kapitalkosten (kalk.)</t>
  </si>
  <si>
    <t>Finanzen</t>
  </si>
  <si>
    <t xml:space="preserve">    SONSTIGE KOSTEN</t>
  </si>
  <si>
    <t>7000</t>
  </si>
  <si>
    <t xml:space="preserve">  Sonstige betriebliche Aufwendungen</t>
  </si>
  <si>
    <t>Allgemein</t>
  </si>
  <si>
    <t>7010</t>
  </si>
  <si>
    <t xml:space="preserve">  Risiko- &amp; Wagniskosten (kalk.)</t>
  </si>
  <si>
    <t xml:space="preserve">  ∑ MATERIALKOSTEN</t>
  </si>
  <si>
    <t xml:space="preserve">  ∑ PERSONALKOSTEN</t>
  </si>
  <si>
    <t xml:space="preserve">  ∑ ABSCHREIBUNGEN (KALK.)</t>
  </si>
  <si>
    <t xml:space="preserve">  ∑ RAUMKOSTEN</t>
  </si>
  <si>
    <t xml:space="preserve">  ∑ VERTRIEBSKOSTEN</t>
  </si>
  <si>
    <t xml:space="preserve">  ∑ VERWALTUNGSKOSTEN</t>
  </si>
  <si>
    <t xml:space="preserve">  ∑ SONSTIGE KOSTEN</t>
  </si>
  <si>
    <t xml:space="preserve">  GESAMTKOSTEN  (PLAN / IST)</t>
  </si>
  <si>
    <t>BETRIEBSABRECHNUNGSBOGEN (BAB)  |  Gemeinkostenverteilung auf Kostenstellen  |  2026</t>
  </si>
  <si>
    <t>Gemeinkosten-Umlage auf Kostenstellen über Verteilungsschlüssel  |  Schlüssel in Zeile 7 anpassbar (gelb = Eingabe)</t>
  </si>
  <si>
    <t>Kostenart (Gemeinkosten)</t>
  </si>
  <si>
    <t>Gesamt (€)</t>
  </si>
  <si>
    <t>Beschaffung
(KSt 100)</t>
  </si>
  <si>
    <t>Produktion
(KSt 200)</t>
  </si>
  <si>
    <t>Vertrieb
(KSt 300)</t>
  </si>
  <si>
    <t>Verwaltung
(KSt 400)</t>
  </si>
  <si>
    <t>IT &amp; Infrastr.
(KSt 500)</t>
  </si>
  <si>
    <t xml:space="preserve">  Verteilungsschlüssel (Summe = 100 %)</t>
  </si>
  <si>
    <t xml:space="preserve">    PRIMÄRKOSTEN MATERIAL</t>
  </si>
  <si>
    <t xml:space="preserve">    PRIMÄRKOSTEN PERSONAL</t>
  </si>
  <si>
    <t xml:space="preserve">  Löhne &amp; Gehälter (GK-Anteil)</t>
  </si>
  <si>
    <t xml:space="preserve">  Sozialversicherung (GK)</t>
  </si>
  <si>
    <t xml:space="preserve">  Sonderzahlungen</t>
  </si>
  <si>
    <t xml:space="preserve">  Fremdpersonal</t>
  </si>
  <si>
    <t xml:space="preserve">    ABSCHREIBUNGEN</t>
  </si>
  <si>
    <t xml:space="preserve">  Abschr. EDV &amp; Software</t>
  </si>
  <si>
    <t xml:space="preserve">  Energie</t>
  </si>
  <si>
    <t xml:space="preserve">  Reinigung &amp; Sicherheit</t>
  </si>
  <si>
    <t xml:space="preserve">  Versand &amp; Fracht</t>
  </si>
  <si>
    <t xml:space="preserve">  Provisionen</t>
  </si>
  <si>
    <t xml:space="preserve">  Zinsen &amp; Kapitalkosten</t>
  </si>
  <si>
    <t xml:space="preserve">  Risiko- &amp; Wagniskosten</t>
  </si>
  <si>
    <t xml:space="preserve">  ∑ GEMEINKOSTEN JE KOSTENSTELLE (IST)</t>
  </si>
  <si>
    <t xml:space="preserve">  ▶  GEMEINKOSTENZUSCHLAGSSÄTZE (GKZ) JE KOSTENSTELLE</t>
  </si>
  <si>
    <t>Bezugsgröße (Zuschlagsbasis)</t>
  </si>
  <si>
    <t>Basis-Beschreibung</t>
  </si>
  <si>
    <t>Einkaufsvolumen</t>
  </si>
  <si>
    <t>Fertigungskosten</t>
  </si>
  <si>
    <t>Herstellkosten</t>
  </si>
  <si>
    <t xml:space="preserve">  Bezugsgrößenwert Plan (€)</t>
  </si>
  <si>
    <t>—</t>
  </si>
  <si>
    <t xml:space="preserve">  ▶ GEMEINKOSTENZUSCHLAGSSATZ (%)</t>
  </si>
  <si>
    <t>KOSTENTRÄGERRECHNUNG  |  Selbstkostenkalkulation je Kostenträger  |  2026</t>
  </si>
  <si>
    <t>Kalkulation der Selbstkosten auf Basis von Einzelkosten + Gemeinkostenzuschlägen aus dem BAB</t>
  </si>
  <si>
    <t>Kalkulationsschema</t>
  </si>
  <si>
    <t>Leistung A
(pro Stk.)</t>
  </si>
  <si>
    <t>Leistung B
(pro Stk.)</t>
  </si>
  <si>
    <t>Leistung C
(pro Stk.)</t>
  </si>
  <si>
    <t>Dienstl. D
(pro Std.)</t>
  </si>
  <si>
    <t xml:space="preserve">  Absatzmenge / Stückzahl (Plan)</t>
  </si>
  <si>
    <t xml:space="preserve">    MATERIALEINZELKOSTEN</t>
  </si>
  <si>
    <t xml:space="preserve">  ∑ ∑ Materialeinzelkosten</t>
  </si>
  <si>
    <t xml:space="preserve">    MATERIALGEMEINKOSTEN</t>
  </si>
  <si>
    <t xml:space="preserve">  MGK-Zuschlag (aus BAB, 21.1 %)</t>
  </si>
  <si>
    <t xml:space="preserve">  ∑ ∑ Materialkosten gesamt</t>
  </si>
  <si>
    <t xml:space="preserve">    FERTIGUNGSEINZELKOSTEN</t>
  </si>
  <si>
    <t xml:space="preserve">  Fertigungslöhne (je Einheit)</t>
  </si>
  <si>
    <t xml:space="preserve">  Maschinenkosten (je Einheit)</t>
  </si>
  <si>
    <t xml:space="preserve">  ∑ ∑ Fertigungseinzelkosten</t>
  </si>
  <si>
    <t xml:space="preserve">    FERTIGUNGSGEMEINKOSTEN</t>
  </si>
  <si>
    <t xml:space="preserve">  FGK-Zuschlag (aus BAB, 45.9 %)</t>
  </si>
  <si>
    <t xml:space="preserve">  ∑ HERSTELLKOSTEN</t>
  </si>
  <si>
    <t xml:space="preserve">    VERWALTUNGSGEMEINKOSTEN</t>
  </si>
  <si>
    <t xml:space="preserve">  VwGK-Zuschlag (aus BAB, 14.3 %)</t>
  </si>
  <si>
    <t xml:space="preserve">    VERTRIEBSGEMEINKOSTEN</t>
  </si>
  <si>
    <t xml:space="preserve">  VtGK-Zuschlag (aus BAB, 18.8 %)</t>
  </si>
  <si>
    <t xml:space="preserve">  Sondereinzelkosten Vertrieb</t>
  </si>
  <si>
    <t xml:space="preserve">  ∑ SELBSTKOSTEN (je Einheit)</t>
  </si>
  <si>
    <t xml:space="preserve">    ERLÖSSEITE</t>
  </si>
  <si>
    <t xml:space="preserve">  Verkaufspreis netto (Plan, €)</t>
  </si>
  <si>
    <t xml:space="preserve">  ∑ DECKUNGSBEITRAG I (€/Einheit)</t>
  </si>
  <si>
    <t xml:space="preserve">  DB I-Marge (%)</t>
  </si>
  <si>
    <t xml:space="preserve">  ▶  GESAMTBETRACHTUNG  |  UMSATZ, KOSTEN &amp; ERGEBNIS (PLAN)</t>
  </si>
  <si>
    <t>Kennzahl</t>
  </si>
  <si>
    <t>Leis. A</t>
  </si>
  <si>
    <t>Leis. B</t>
  </si>
  <si>
    <t>Leis. C</t>
  </si>
  <si>
    <t>Dienstl. D</t>
  </si>
  <si>
    <t>Absatzmenge</t>
  </si>
  <si>
    <t>Umsatz gesamt (€)</t>
  </si>
  <si>
    <t>Selbstkosten ges. (€)</t>
  </si>
  <si>
    <t>Betriebsergebnis (€)</t>
  </si>
  <si>
    <t>BE-Marge (%)</t>
  </si>
  <si>
    <t>DECKUNGSBEITRAGSRECHNUNG (mehrstufig)  |  Plan 2026</t>
  </si>
  <si>
    <t>DB I = Umsatz – variable Kosten  |  DB II = DB I – Produkt-Fixkosten  |  DB III = DB II – Unternehmens-Fixkosten</t>
  </si>
  <si>
    <t>Position</t>
  </si>
  <si>
    <t>GESAMT</t>
  </si>
  <si>
    <t xml:space="preserve">    UMSATZERLÖSE</t>
  </si>
  <si>
    <t xml:space="preserve">  Absatzmenge (Einheiten / Std.)</t>
  </si>
  <si>
    <t xml:space="preserve">  Verkaufspreis netto (€/Einheit)</t>
  </si>
  <si>
    <t>Ø</t>
  </si>
  <si>
    <t xml:space="preserve">  ∑ ∑ Umsatzerlöse</t>
  </si>
  <si>
    <t xml:space="preserve">    VARIABLE KOSTEN</t>
  </si>
  <si>
    <t xml:space="preserve">  Variable Materialkosten</t>
  </si>
  <si>
    <t xml:space="preserve">  Variable Fertigungskosten</t>
  </si>
  <si>
    <t xml:space="preserve">  Variable Vertriebskosten</t>
  </si>
  <si>
    <t xml:space="preserve">  ∑ ∑ Variable Kosten gesamt</t>
  </si>
  <si>
    <t xml:space="preserve">  ∑ ∑ DECKUNGSBEITRAG I (DB I)</t>
  </si>
  <si>
    <t xml:space="preserve">    DIREKTE PRODUKTFIXKOSTEN</t>
  </si>
  <si>
    <t xml:space="preserve">  Fixe Personalkosten (produktbezogen)</t>
  </si>
  <si>
    <t xml:space="preserve">  Fixe Abschreibungen (produktbezogen)</t>
  </si>
  <si>
    <t xml:space="preserve">  Fixe Raumkosten (produktbezogen)</t>
  </si>
  <si>
    <t xml:space="preserve">  ∑ ∑ Direkte Fixkosten</t>
  </si>
  <si>
    <t xml:space="preserve">  ∑ ∑ DECKUNGSBEITRAG II (DB II)</t>
  </si>
  <si>
    <t xml:space="preserve">  DB II-Marge (%)</t>
  </si>
  <si>
    <t xml:space="preserve">    UNTERNEHMENS-GEMEINKOSTEN (nicht zurechenbar)</t>
  </si>
  <si>
    <t xml:space="preserve">  Verwaltungs-Gemeinkosten</t>
  </si>
  <si>
    <t xml:space="preserve">  IT &amp; Infrastruktur</t>
  </si>
  <si>
    <t xml:space="preserve">  ∑ ∑ Gemeinkosten gesamt (Gesamtspalte)</t>
  </si>
  <si>
    <t xml:space="preserve">  ∑ ∑ BETRIEBSERGEBNIS (DB III / Gesamtergebnis)</t>
  </si>
  <si>
    <t xml:space="preserve">  Betriebsergebnis-Marge (%)</t>
  </si>
  <si>
    <t>PLAN-IST-VERGLEICH &amp; ABWEICHUNGSANALYSE  |  2026</t>
  </si>
  <si>
    <t>Quartalsbericht  |  Abweichung (+) = Ist über Plan = Kostenmehrung  |  Blau = Eingabe  |  Schwarz = berechnet</t>
  </si>
  <si>
    <t xml:space="preserve">  ▶  Q1 2026  –  PLAN / IST-VERGLEICH NACH KOSTENARTEN</t>
  </si>
  <si>
    <t>Q1 Plan (€)</t>
  </si>
  <si>
    <t>Q1 Ist (€)</t>
  </si>
  <si>
    <t>Abw. abs. (€)</t>
  </si>
  <si>
    <t>Abw. rel. (%)</t>
  </si>
  <si>
    <t>Ampel</t>
  </si>
  <si>
    <t>→ Im Plan</t>
  </si>
  <si>
    <t xml:space="preserve">  Hilfsstoffe &amp; Betriebsstoffe</t>
  </si>
  <si>
    <t xml:space="preserve">  Handelswaren &amp; Fremdbezug</t>
  </si>
  <si>
    <t xml:space="preserve">  Sozialversicherung</t>
  </si>
  <si>
    <t>✘ Über Budget</t>
  </si>
  <si>
    <t xml:space="preserve">  Abschr. Fuhrpark &amp; EDV</t>
  </si>
  <si>
    <t xml:space="preserve">  Instandhaltung &amp; Reinigung</t>
  </si>
  <si>
    <t>✔ Unter Budget</t>
  </si>
  <si>
    <t>⚠ Leicht drüber</t>
  </si>
  <si>
    <t xml:space="preserve">  Reisekosten &amp; Provisionen</t>
  </si>
  <si>
    <t xml:space="preserve">  Versicherungen &amp; sonstige Verw.</t>
  </si>
  <si>
    <t xml:space="preserve">  ∑ GESAMTKOSTEN Q1</t>
  </si>
  <si>
    <t xml:space="preserve">  ▶  JAHRESHOCHRECHNUNG 2026  |  Extrapolation Q1 × 4 (vereinfacht)</t>
  </si>
  <si>
    <t>Hochrechn. p.a. (€)</t>
  </si>
  <si>
    <t>Abw. p.a. (€)</t>
  </si>
  <si>
    <t>Abw. p.a. (%)</t>
  </si>
  <si>
    <t>Materialkosten</t>
  </si>
  <si>
    <t>Personalkosten</t>
  </si>
  <si>
    <t>Abschreibungen</t>
  </si>
  <si>
    <t>Raumkosten</t>
  </si>
  <si>
    <t>Vertriebskosten</t>
  </si>
  <si>
    <t>Verwaltungskosten</t>
  </si>
  <si>
    <t xml:space="preserve">  ∑ HOCHRECHNUNG GESAMT p.a.</t>
  </si>
  <si>
    <t>KOSTEN- UND LEISTUNGSRECHNUNG (KLR)  |  Kostenartenrechnung  |  Geschäftsjahr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</si>
</sst>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€&quot;"/>
    <numFmt numFmtId="165" formatCode="0.0%"/>
  </numFmts>
  <fonts count="17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9"/>
      <color rgb="FF595959"/>
      <name val="Arial"/>
      <charset val="1"/>
    </font>
    <font>
      <b/>
      <sz val="9"/>
      <color rgb="FFFFFFFF"/>
      <name val="Arial"/>
      <charset val="1"/>
    </font>
    <font>
      <b/>
      <sz val="9"/>
      <color rgb="FF1A1A1A"/>
      <name val="Arial"/>
      <charset val="1"/>
    </font>
    <font>
      <sz val="9"/>
      <color rgb="FF1A1A1A"/>
      <name val="Arial"/>
      <charset val="1"/>
    </font>
    <font>
      <sz val="9"/>
      <color rgb="FF0000FF"/>
      <name val="Arial"/>
      <charset val="1"/>
    </font>
    <font>
      <sz val="9"/>
      <color rgb="FF000000"/>
      <name val="Arial"/>
      <charset val="1"/>
    </font>
    <font>
      <b/>
      <sz val="9"/>
      <color rgb="FF000000"/>
      <name val="Arial"/>
      <charset val="1"/>
    </font>
    <font>
      <b/>
      <sz val="9"/>
      <color rgb="FF0000FF"/>
      <name val="Arial"/>
      <charset val="1"/>
    </font>
    <font>
      <b/>
      <sz val="10"/>
      <color rgb="FFFFFFFF"/>
      <name val="Arial"/>
      <charset val="1"/>
    </font>
    <font>
      <sz val="9"/>
      <color rgb="FF595959"/>
      <name val="Arial"/>
      <charset val="1"/>
    </font>
    <font>
      <b/>
      <sz val="11"/>
      <color rgb="FFFFFFFF"/>
      <name val="Arial"/>
      <charset val="1"/>
    </font>
    <font>
      <b/>
      <sz val="9"/>
      <color rgb="FF17375E"/>
      <name val="Arial"/>
      <charset val="1"/>
    </font>
    <font>
      <b/>
      <sz val="9"/>
      <color rgb="FFC00000"/>
      <name val="Arial"/>
      <charset val="1"/>
    </font>
    <font>
      <b/>
      <sz val="9"/>
      <color rgb="FF375623"/>
      <name val="Arial"/>
      <charset val="1"/>
    </font>
    <font>
      <b/>
      <sz val="9"/>
      <color rgb="FF7F6000"/>
      <name val="Arial"/>
      <charset val="1"/>
    </font>
  </fonts>
  <fills count="17">
    <fill>
      <patternFill patternType="none"/>
    </fill>
    <fill>
      <patternFill patternType="gray125"/>
    </fill>
    <fill>
      <patternFill patternType="solid">
        <fgColor rgb="FF1F3864"/>
        <bgColor rgb="FF17375E"/>
      </patternFill>
    </fill>
    <fill>
      <patternFill patternType="solid">
        <fgColor rgb="FFF2F2F2"/>
        <bgColor rgb="FFE2EFDA"/>
      </patternFill>
    </fill>
    <fill>
      <patternFill patternType="solid">
        <fgColor rgb="FF2E75B6"/>
        <bgColor rgb="FF0066CC"/>
      </patternFill>
    </fill>
    <fill>
      <patternFill patternType="solid">
        <fgColor rgb="FFBDD7EE"/>
        <bgColor rgb="FFD9D9D9"/>
      </patternFill>
    </fill>
    <fill>
      <patternFill patternType="solid">
        <fgColor rgb="FF17375E"/>
        <bgColor rgb="FF1F3864"/>
      </patternFill>
    </fill>
    <fill>
      <patternFill patternType="solid">
        <fgColor rgb="FFFFFFFF"/>
        <bgColor rgb="FFF2F2F2"/>
      </patternFill>
    </fill>
    <fill>
      <patternFill patternType="solid">
        <fgColor rgb="FFFFEB9C"/>
        <bgColor rgb="FFFCE4D6"/>
      </patternFill>
    </fill>
    <fill>
      <patternFill patternType="solid">
        <fgColor rgb="FFD9D9D9"/>
        <bgColor rgb="FFBDD7EE"/>
      </patternFill>
    </fill>
    <fill>
      <patternFill patternType="solid">
        <fgColor rgb="FFC55A11"/>
        <bgColor rgb="FF993300"/>
      </patternFill>
    </fill>
    <fill>
      <patternFill patternType="solid">
        <fgColor rgb="FFFCE4D6"/>
        <bgColor rgb="FFF2F2F2"/>
      </patternFill>
    </fill>
    <fill>
      <patternFill patternType="solid">
        <fgColor rgb="FFF4B183"/>
        <bgColor rgb="FFBFBFBF"/>
      </patternFill>
    </fill>
    <fill>
      <patternFill patternType="solid">
        <fgColor rgb="FFDAEEF3"/>
        <bgColor rgb="FFE2EFDA"/>
      </patternFill>
    </fill>
    <fill>
      <patternFill patternType="solid">
        <fgColor rgb="FFE2EFDA"/>
        <bgColor rgb="FFDAEEF3"/>
      </patternFill>
    </fill>
    <fill>
      <patternFill patternType="solid">
        <fgColor theme="8" tint="-0.499984740745262"/>
        <bgColor rgb="FF17375E"/>
      </patternFill>
    </fill>
    <fill>
      <patternFill patternType="solid">
        <fgColor theme="8" tint="-0.499984740745262"/>
        <bgColor rgb="FF1F38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6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164" fontId="7" fillId="7" borderId="1" xfId="0" applyNumberFormat="1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164" fontId="3" fillId="4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165" fontId="8" fillId="8" borderId="1" xfId="0" applyNumberFormat="1" applyFont="1" applyFill="1" applyBorder="1" applyAlignment="1">
      <alignment horizontal="center" vertical="center" wrapText="1"/>
    </xf>
    <xf numFmtId="165" fontId="9" fillId="8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164" fontId="6" fillId="8" borderId="1" xfId="0" applyNumberFormat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165" fontId="10" fillId="10" borderId="1" xfId="0" applyNumberFormat="1" applyFont="1" applyFill="1" applyBorder="1" applyAlignment="1">
      <alignment horizontal="center" vertical="center" wrapText="1"/>
    </xf>
    <xf numFmtId="3" fontId="6" fillId="8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6" fillId="8" borderId="1" xfId="0" applyNumberFormat="1" applyFont="1" applyFill="1" applyBorder="1" applyAlignment="1">
      <alignment horizontal="center" vertical="center" wrapText="1"/>
    </xf>
    <xf numFmtId="4" fontId="10" fillId="10" borderId="1" xfId="0" applyNumberFormat="1" applyFont="1" applyFill="1" applyBorder="1" applyAlignment="1">
      <alignment horizontal="center" vertical="center" wrapText="1"/>
    </xf>
    <xf numFmtId="165" fontId="3" fillId="10" borderId="1" xfId="0" applyNumberFormat="1" applyFont="1" applyFill="1" applyBorder="1" applyAlignment="1">
      <alignment horizontal="center" vertical="center" wrapText="1"/>
    </xf>
    <xf numFmtId="3" fontId="6" fillId="7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8" fillId="8" borderId="1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7" borderId="1" xfId="0" applyFill="1" applyBorder="1"/>
    <xf numFmtId="164" fontId="8" fillId="11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64" fontId="8" fillId="1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10" fillId="10" borderId="1" xfId="0" applyNumberFormat="1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left" vertical="center" wrapText="1"/>
    </xf>
    <xf numFmtId="0" fontId="3" fillId="15" borderId="1" xfId="0" applyFont="1" applyFill="1" applyBorder="1" applyAlignment="1">
      <alignment horizontal="left" vertical="center" wrapText="1"/>
    </xf>
    <xf numFmtId="0" fontId="0" fillId="15" borderId="1" xfId="0" applyFill="1" applyBorder="1"/>
    <xf numFmtId="164" fontId="3" fillId="15" borderId="1" xfId="0" applyNumberFormat="1" applyFont="1" applyFill="1" applyBorder="1" applyAlignment="1">
      <alignment horizontal="center" vertical="center" wrapText="1"/>
    </xf>
    <xf numFmtId="165" fontId="3" fillId="15" borderId="1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008080"/>
      <rgbColor rgb="FFBFBFBF"/>
      <rgbColor rgb="FF808080"/>
      <rgbColor rgb="FF9999FF"/>
      <rgbColor rgb="FF993366"/>
      <rgbColor rgb="FFF2F2F2"/>
      <rgbColor rgb="FFDAEEF3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E2EFDA"/>
      <rgbColor rgb="FFFFEB9C"/>
      <rgbColor rgb="FF99CCFF"/>
      <rgbColor rgb="FFFCE4D6"/>
      <rgbColor rgb="FFCC99FF"/>
      <rgbColor rgb="FFF4B183"/>
      <rgbColor rgb="FF2E75B6"/>
      <rgbColor rgb="FF33CCCC"/>
      <rgbColor rgb="FF99CC00"/>
      <rgbColor rgb="FFFFCC00"/>
      <rgbColor rgb="FFFF9900"/>
      <rgbColor rgb="FFC55A11"/>
      <rgbColor rgb="FF595959"/>
      <rgbColor rgb="FF969696"/>
      <rgbColor rgb="FF17375E"/>
      <rgbColor rgb="FF339966"/>
      <rgbColor rgb="FF375623"/>
      <rgbColor rgb="FF1A1A1A"/>
      <rgbColor rgb="FF993300"/>
      <rgbColor rgb="FF993366"/>
      <rgbColor rgb="FF333399"/>
      <rgbColor rgb="FF1F386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0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11" sqref="N11"/>
    </sheetView>
  </sheetViews>
  <sheetFormatPr baseColWidth="10" defaultColWidth="8.7109375" defaultRowHeight="15" x14ac:dyDescent="0.25"/>
  <cols>
    <col min="1" max="1" width="2" customWidth="1"/>
    <col min="2" max="2" width="25.28515625" bestFit="1" customWidth="1"/>
    <col min="3" max="3" width="35" customWidth="1"/>
    <col min="4" max="4" width="12.85546875" bestFit="1" customWidth="1"/>
    <col min="5" max="5" width="4.28515625" bestFit="1" customWidth="1"/>
    <col min="6" max="6" width="12.7109375" bestFit="1" customWidth="1"/>
    <col min="7" max="7" width="11.85546875" bestFit="1" customWidth="1"/>
    <col min="8" max="8" width="13.5703125" bestFit="1" customWidth="1"/>
    <col min="9" max="9" width="18.28515625" customWidth="1"/>
    <col min="10" max="10" width="2" customWidth="1"/>
  </cols>
  <sheetData>
    <row r="1" spans="2:9" ht="4.5" customHeight="1" x14ac:dyDescent="0.25"/>
    <row r="2" spans="2:9" ht="36" customHeight="1" x14ac:dyDescent="0.25">
      <c r="B2" s="71" t="s">
        <v>226</v>
      </c>
      <c r="C2" s="71"/>
      <c r="D2" s="71"/>
      <c r="E2" s="71"/>
      <c r="F2" s="71"/>
      <c r="G2" s="71"/>
      <c r="H2" s="71"/>
      <c r="I2" s="71"/>
    </row>
    <row r="3" spans="2:9" ht="13.5" customHeight="1" x14ac:dyDescent="0.25">
      <c r="B3" s="3" t="s">
        <v>0</v>
      </c>
      <c r="C3" s="3"/>
      <c r="D3" s="3"/>
      <c r="E3" s="3"/>
      <c r="F3" s="3"/>
      <c r="G3" s="3"/>
      <c r="H3" s="3"/>
      <c r="I3" s="3"/>
    </row>
    <row r="4" spans="2:9" ht="4.5" customHeight="1" x14ac:dyDescent="0.25"/>
    <row r="5" spans="2:9" ht="19.5" customHeight="1" x14ac:dyDescent="0.25">
      <c r="B5" s="2" t="s">
        <v>1</v>
      </c>
      <c r="C5" s="2"/>
      <c r="D5" s="2"/>
      <c r="E5" s="2"/>
      <c r="F5" s="2"/>
      <c r="G5" s="2"/>
      <c r="H5" s="2"/>
      <c r="I5" s="2"/>
    </row>
    <row r="6" spans="2:9" ht="27.75" customHeight="1" x14ac:dyDescent="0.25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</row>
    <row r="7" spans="2:9" ht="18" customHeight="1" x14ac:dyDescent="0.25">
      <c r="B7" s="72" t="s">
        <v>10</v>
      </c>
      <c r="C7" s="72"/>
      <c r="D7" s="72"/>
      <c r="E7" s="72"/>
      <c r="F7" s="72"/>
      <c r="G7" s="72"/>
      <c r="H7" s="72"/>
      <c r="I7" s="72"/>
    </row>
    <row r="8" spans="2:9" ht="18" customHeight="1" x14ac:dyDescent="0.25">
      <c r="B8" s="7" t="s">
        <v>11</v>
      </c>
      <c r="C8" s="7" t="s">
        <v>12</v>
      </c>
      <c r="D8" s="7" t="s">
        <v>13</v>
      </c>
      <c r="E8" s="7" t="s">
        <v>14</v>
      </c>
      <c r="F8" s="8">
        <v>196000</v>
      </c>
      <c r="G8" s="8">
        <v>188400</v>
      </c>
      <c r="H8" s="9">
        <f>G8-F8</f>
        <v>-7600</v>
      </c>
      <c r="I8" s="10">
        <f>IFERROR((G8-F8)/F8,0)</f>
        <v>-3.8775510204081633E-2</v>
      </c>
    </row>
    <row r="9" spans="2:9" ht="18" customHeight="1" x14ac:dyDescent="0.25">
      <c r="B9" s="11" t="s">
        <v>15</v>
      </c>
      <c r="C9" s="11" t="s">
        <v>16</v>
      </c>
      <c r="D9" s="11" t="s">
        <v>13</v>
      </c>
      <c r="E9" s="11" t="s">
        <v>14</v>
      </c>
      <c r="F9" s="12">
        <v>14000</v>
      </c>
      <c r="G9" s="12">
        <v>13600</v>
      </c>
      <c r="H9" s="13">
        <f>G9-F9</f>
        <v>-400</v>
      </c>
      <c r="I9" s="14">
        <f>IFERROR((G9-F9)/F9,0)</f>
        <v>-2.8571428571428571E-2</v>
      </c>
    </row>
    <row r="10" spans="2:9" ht="18" customHeight="1" x14ac:dyDescent="0.25">
      <c r="B10" s="7" t="s">
        <v>17</v>
      </c>
      <c r="C10" s="7" t="s">
        <v>18</v>
      </c>
      <c r="D10" s="7" t="s">
        <v>19</v>
      </c>
      <c r="E10" s="7" t="s">
        <v>20</v>
      </c>
      <c r="F10" s="8">
        <v>9200</v>
      </c>
      <c r="G10" s="8">
        <v>9750</v>
      </c>
      <c r="H10" s="9">
        <f>G10-F10</f>
        <v>550</v>
      </c>
      <c r="I10" s="10">
        <f>IFERROR((G10-F10)/F10,0)</f>
        <v>5.9782608695652176E-2</v>
      </c>
    </row>
    <row r="11" spans="2:9" ht="18" customHeight="1" x14ac:dyDescent="0.25">
      <c r="B11" s="11" t="s">
        <v>21</v>
      </c>
      <c r="C11" s="11" t="s">
        <v>22</v>
      </c>
      <c r="D11" s="11" t="s">
        <v>23</v>
      </c>
      <c r="E11" s="11" t="s">
        <v>14</v>
      </c>
      <c r="F11" s="12">
        <v>72000</v>
      </c>
      <c r="G11" s="12">
        <v>74800</v>
      </c>
      <c r="H11" s="13">
        <f>G11-F11</f>
        <v>2800</v>
      </c>
      <c r="I11" s="14">
        <f>IFERROR((G11-F11)/F11,0)</f>
        <v>3.888888888888889E-2</v>
      </c>
    </row>
    <row r="12" spans="2:9" ht="18" customHeight="1" x14ac:dyDescent="0.25">
      <c r="B12" s="72" t="s">
        <v>24</v>
      </c>
      <c r="C12" s="72"/>
      <c r="D12" s="72"/>
      <c r="E12" s="72"/>
      <c r="F12" s="72"/>
      <c r="G12" s="72"/>
      <c r="H12" s="72"/>
      <c r="I12" s="72"/>
    </row>
    <row r="13" spans="2:9" ht="18" customHeight="1" x14ac:dyDescent="0.25">
      <c r="B13" s="11" t="s">
        <v>25</v>
      </c>
      <c r="C13" s="11" t="s">
        <v>26</v>
      </c>
      <c r="D13" s="11" t="s">
        <v>27</v>
      </c>
      <c r="E13" s="11" t="s">
        <v>20</v>
      </c>
      <c r="F13" s="12">
        <v>342000</v>
      </c>
      <c r="G13" s="12">
        <v>339800</v>
      </c>
      <c r="H13" s="13">
        <f>G13-F13</f>
        <v>-2200</v>
      </c>
      <c r="I13" s="14">
        <f>IFERROR((G13-F13)/F13,0)</f>
        <v>-6.4327485380116962E-3</v>
      </c>
    </row>
    <row r="14" spans="2:9" ht="18" customHeight="1" x14ac:dyDescent="0.25">
      <c r="B14" s="7" t="s">
        <v>28</v>
      </c>
      <c r="C14" s="7" t="s">
        <v>29</v>
      </c>
      <c r="D14" s="7" t="s">
        <v>27</v>
      </c>
      <c r="E14" s="7" t="s">
        <v>20</v>
      </c>
      <c r="F14" s="8">
        <v>75000</v>
      </c>
      <c r="G14" s="8">
        <v>74600</v>
      </c>
      <c r="H14" s="9">
        <f>G14-F14</f>
        <v>-400</v>
      </c>
      <c r="I14" s="10">
        <f>IFERROR((G14-F14)/F14,0)</f>
        <v>-5.3333333333333332E-3</v>
      </c>
    </row>
    <row r="15" spans="2:9" ht="18" customHeight="1" x14ac:dyDescent="0.25">
      <c r="B15" s="11" t="s">
        <v>30</v>
      </c>
      <c r="C15" s="11" t="s">
        <v>31</v>
      </c>
      <c r="D15" s="11" t="s">
        <v>27</v>
      </c>
      <c r="E15" s="11" t="s">
        <v>20</v>
      </c>
      <c r="F15" s="12">
        <v>19500</v>
      </c>
      <c r="G15" s="12">
        <v>20100</v>
      </c>
      <c r="H15" s="13">
        <f>G15-F15</f>
        <v>600</v>
      </c>
      <c r="I15" s="14">
        <f>IFERROR((G15-F15)/F15,0)</f>
        <v>3.0769230769230771E-2</v>
      </c>
    </row>
    <row r="16" spans="2:9" ht="18" customHeight="1" x14ac:dyDescent="0.25">
      <c r="B16" s="7" t="s">
        <v>32</v>
      </c>
      <c r="C16" s="7" t="s">
        <v>33</v>
      </c>
      <c r="D16" s="7" t="s">
        <v>13</v>
      </c>
      <c r="E16" s="7" t="s">
        <v>14</v>
      </c>
      <c r="F16" s="8">
        <v>28000</v>
      </c>
      <c r="G16" s="8">
        <v>31200</v>
      </c>
      <c r="H16" s="9">
        <f>G16-F16</f>
        <v>3200</v>
      </c>
      <c r="I16" s="10">
        <f>IFERROR((G16-F16)/F16,0)</f>
        <v>0.11428571428571428</v>
      </c>
    </row>
    <row r="17" spans="2:9" ht="18" customHeight="1" x14ac:dyDescent="0.25">
      <c r="B17" s="11" t="s">
        <v>34</v>
      </c>
      <c r="C17" s="11" t="s">
        <v>35</v>
      </c>
      <c r="D17" s="11" t="s">
        <v>36</v>
      </c>
      <c r="E17" s="11" t="s">
        <v>20</v>
      </c>
      <c r="F17" s="12">
        <v>6500</v>
      </c>
      <c r="G17" s="12">
        <v>5800</v>
      </c>
      <c r="H17" s="13">
        <f>G17-F17</f>
        <v>-700</v>
      </c>
      <c r="I17" s="14">
        <f>IFERROR((G17-F17)/F17,0)</f>
        <v>-0.1076923076923077</v>
      </c>
    </row>
    <row r="18" spans="2:9" ht="18" customHeight="1" x14ac:dyDescent="0.25">
      <c r="B18" s="72" t="s">
        <v>37</v>
      </c>
      <c r="C18" s="72"/>
      <c r="D18" s="72"/>
      <c r="E18" s="72"/>
      <c r="F18" s="72"/>
      <c r="G18" s="72"/>
      <c r="H18" s="72"/>
      <c r="I18" s="72"/>
    </row>
    <row r="19" spans="2:9" ht="18" customHeight="1" x14ac:dyDescent="0.25">
      <c r="B19" s="11" t="s">
        <v>38</v>
      </c>
      <c r="C19" s="11" t="s">
        <v>39</v>
      </c>
      <c r="D19" s="11" t="s">
        <v>13</v>
      </c>
      <c r="E19" s="11" t="s">
        <v>20</v>
      </c>
      <c r="F19" s="12">
        <v>38400</v>
      </c>
      <c r="G19" s="12">
        <v>38400</v>
      </c>
      <c r="H19" s="13">
        <f>G19-F19</f>
        <v>0</v>
      </c>
      <c r="I19" s="14">
        <f>IFERROR((G19-F19)/F19,0)</f>
        <v>0</v>
      </c>
    </row>
    <row r="20" spans="2:9" ht="18" customHeight="1" x14ac:dyDescent="0.25">
      <c r="B20" s="7" t="s">
        <v>40</v>
      </c>
      <c r="C20" s="7" t="s">
        <v>41</v>
      </c>
      <c r="D20" s="7" t="s">
        <v>42</v>
      </c>
      <c r="E20" s="7" t="s">
        <v>20</v>
      </c>
      <c r="F20" s="8">
        <v>10200</v>
      </c>
      <c r="G20" s="8">
        <v>10200</v>
      </c>
      <c r="H20" s="9">
        <f>G20-F20</f>
        <v>0</v>
      </c>
      <c r="I20" s="10">
        <f>IFERROR((G20-F20)/F20,0)</f>
        <v>0</v>
      </c>
    </row>
    <row r="21" spans="2:9" ht="18" customHeight="1" x14ac:dyDescent="0.25">
      <c r="B21" s="11" t="s">
        <v>43</v>
      </c>
      <c r="C21" s="11" t="s">
        <v>44</v>
      </c>
      <c r="D21" s="11" t="s">
        <v>36</v>
      </c>
      <c r="E21" s="11" t="s">
        <v>20</v>
      </c>
      <c r="F21" s="12">
        <v>5100</v>
      </c>
      <c r="G21" s="12">
        <v>5100</v>
      </c>
      <c r="H21" s="13">
        <f>G21-F21</f>
        <v>0</v>
      </c>
      <c r="I21" s="14">
        <f>IFERROR((G21-F21)/F21,0)</f>
        <v>0</v>
      </c>
    </row>
    <row r="22" spans="2:9" ht="18" customHeight="1" x14ac:dyDescent="0.25">
      <c r="B22" s="7" t="s">
        <v>45</v>
      </c>
      <c r="C22" s="7" t="s">
        <v>46</v>
      </c>
      <c r="D22" s="7" t="s">
        <v>47</v>
      </c>
      <c r="E22" s="7" t="s">
        <v>20</v>
      </c>
      <c r="F22" s="8">
        <v>7800</v>
      </c>
      <c r="G22" s="8">
        <v>7800</v>
      </c>
      <c r="H22" s="9">
        <f>G22-F22</f>
        <v>0</v>
      </c>
      <c r="I22" s="10">
        <f>IFERROR((G22-F22)/F22,0)</f>
        <v>0</v>
      </c>
    </row>
    <row r="23" spans="2:9" ht="18" customHeight="1" x14ac:dyDescent="0.25">
      <c r="B23" s="72" t="s">
        <v>48</v>
      </c>
      <c r="C23" s="72"/>
      <c r="D23" s="72"/>
      <c r="E23" s="72"/>
      <c r="F23" s="72"/>
      <c r="G23" s="72"/>
      <c r="H23" s="72"/>
      <c r="I23" s="72"/>
    </row>
    <row r="24" spans="2:9" ht="18" customHeight="1" x14ac:dyDescent="0.25">
      <c r="B24" s="7" t="s">
        <v>49</v>
      </c>
      <c r="C24" s="7" t="s">
        <v>50</v>
      </c>
      <c r="D24" s="7" t="s">
        <v>19</v>
      </c>
      <c r="E24" s="7" t="s">
        <v>20</v>
      </c>
      <c r="F24" s="8">
        <v>52000</v>
      </c>
      <c r="G24" s="8">
        <v>52000</v>
      </c>
      <c r="H24" s="9">
        <f>G24-F24</f>
        <v>0</v>
      </c>
      <c r="I24" s="10">
        <f>IFERROR((G24-F24)/F24,0)</f>
        <v>0</v>
      </c>
    </row>
    <row r="25" spans="2:9" ht="18" customHeight="1" x14ac:dyDescent="0.25">
      <c r="B25" s="11" t="s">
        <v>51</v>
      </c>
      <c r="C25" s="11" t="s">
        <v>52</v>
      </c>
      <c r="D25" s="11" t="s">
        <v>19</v>
      </c>
      <c r="E25" s="11" t="s">
        <v>14</v>
      </c>
      <c r="F25" s="12">
        <v>24000</v>
      </c>
      <c r="G25" s="12">
        <v>26400</v>
      </c>
      <c r="H25" s="13">
        <f>G25-F25</f>
        <v>2400</v>
      </c>
      <c r="I25" s="14">
        <f>IFERROR((G25-F25)/F25,0)</f>
        <v>0.1</v>
      </c>
    </row>
    <row r="26" spans="2:9" ht="18" customHeight="1" x14ac:dyDescent="0.25">
      <c r="B26" s="7" t="s">
        <v>53</v>
      </c>
      <c r="C26" s="7" t="s">
        <v>54</v>
      </c>
      <c r="D26" s="7" t="s">
        <v>19</v>
      </c>
      <c r="E26" s="7" t="s">
        <v>14</v>
      </c>
      <c r="F26" s="8">
        <v>9600</v>
      </c>
      <c r="G26" s="8">
        <v>8800</v>
      </c>
      <c r="H26" s="9">
        <f>G26-F26</f>
        <v>-800</v>
      </c>
      <c r="I26" s="10">
        <f>IFERROR((G26-F26)/F26,0)</f>
        <v>-8.3333333333333329E-2</v>
      </c>
    </row>
    <row r="27" spans="2:9" ht="18" customHeight="1" x14ac:dyDescent="0.25">
      <c r="B27" s="11" t="s">
        <v>55</v>
      </c>
      <c r="C27" s="11" t="s">
        <v>56</v>
      </c>
      <c r="D27" s="11" t="s">
        <v>19</v>
      </c>
      <c r="E27" s="11" t="s">
        <v>20</v>
      </c>
      <c r="F27" s="12">
        <v>6400</v>
      </c>
      <c r="G27" s="12">
        <v>6400</v>
      </c>
      <c r="H27" s="13">
        <f>G27-F27</f>
        <v>0</v>
      </c>
      <c r="I27" s="14">
        <f>IFERROR((G27-F27)/F27,0)</f>
        <v>0</v>
      </c>
    </row>
    <row r="28" spans="2:9" ht="18" customHeight="1" x14ac:dyDescent="0.25">
      <c r="B28" s="72" t="s">
        <v>57</v>
      </c>
      <c r="C28" s="72"/>
      <c r="D28" s="72"/>
      <c r="E28" s="72"/>
      <c r="F28" s="72"/>
      <c r="G28" s="72"/>
      <c r="H28" s="72"/>
      <c r="I28" s="72"/>
    </row>
    <row r="29" spans="2:9" ht="18" customHeight="1" x14ac:dyDescent="0.25">
      <c r="B29" s="11" t="s">
        <v>58</v>
      </c>
      <c r="C29" s="11" t="s">
        <v>59</v>
      </c>
      <c r="D29" s="11" t="s">
        <v>42</v>
      </c>
      <c r="E29" s="11" t="s">
        <v>14</v>
      </c>
      <c r="F29" s="12">
        <v>32000</v>
      </c>
      <c r="G29" s="12">
        <v>29200</v>
      </c>
      <c r="H29" s="13">
        <f>G29-F29</f>
        <v>-2800</v>
      </c>
      <c r="I29" s="14">
        <f>IFERROR((G29-F29)/F29,0)</f>
        <v>-8.7499999999999994E-2</v>
      </c>
    </row>
    <row r="30" spans="2:9" ht="18" customHeight="1" x14ac:dyDescent="0.25">
      <c r="B30" s="7" t="s">
        <v>60</v>
      </c>
      <c r="C30" s="7" t="s">
        <v>61</v>
      </c>
      <c r="D30" s="7" t="s">
        <v>42</v>
      </c>
      <c r="E30" s="7" t="s">
        <v>14</v>
      </c>
      <c r="F30" s="8">
        <v>19500</v>
      </c>
      <c r="G30" s="8">
        <v>20800</v>
      </c>
      <c r="H30" s="9">
        <f>G30-F30</f>
        <v>1300</v>
      </c>
      <c r="I30" s="10">
        <f>IFERROR((G30-F30)/F30,0)</f>
        <v>6.6666666666666666E-2</v>
      </c>
    </row>
    <row r="31" spans="2:9" ht="18" customHeight="1" x14ac:dyDescent="0.25">
      <c r="B31" s="11" t="s">
        <v>62</v>
      </c>
      <c r="C31" s="11" t="s">
        <v>63</v>
      </c>
      <c r="D31" s="11" t="s">
        <v>42</v>
      </c>
      <c r="E31" s="11" t="s">
        <v>14</v>
      </c>
      <c r="F31" s="12">
        <v>13000</v>
      </c>
      <c r="G31" s="12">
        <v>12100</v>
      </c>
      <c r="H31" s="13">
        <f>G31-F31</f>
        <v>-900</v>
      </c>
      <c r="I31" s="14">
        <f>IFERROR((G31-F31)/F31,0)</f>
        <v>-6.9230769230769235E-2</v>
      </c>
    </row>
    <row r="32" spans="2:9" ht="18" customHeight="1" x14ac:dyDescent="0.25">
      <c r="B32" s="7" t="s">
        <v>64</v>
      </c>
      <c r="C32" s="7" t="s">
        <v>65</v>
      </c>
      <c r="D32" s="7" t="s">
        <v>42</v>
      </c>
      <c r="E32" s="7" t="s">
        <v>14</v>
      </c>
      <c r="F32" s="8">
        <v>16000</v>
      </c>
      <c r="G32" s="8">
        <v>17400</v>
      </c>
      <c r="H32" s="9">
        <f>G32-F32</f>
        <v>1400</v>
      </c>
      <c r="I32" s="10">
        <f>IFERROR((G32-F32)/F32,0)</f>
        <v>8.7499999999999994E-2</v>
      </c>
    </row>
    <row r="33" spans="2:9" ht="18" customHeight="1" x14ac:dyDescent="0.25">
      <c r="B33" s="72" t="s">
        <v>66</v>
      </c>
      <c r="C33" s="72"/>
      <c r="D33" s="72"/>
      <c r="E33" s="72"/>
      <c r="F33" s="72"/>
      <c r="G33" s="72"/>
      <c r="H33" s="72"/>
      <c r="I33" s="72"/>
    </row>
    <row r="34" spans="2:9" ht="18" customHeight="1" x14ac:dyDescent="0.25">
      <c r="B34" s="7" t="s">
        <v>67</v>
      </c>
      <c r="C34" s="7" t="s">
        <v>68</v>
      </c>
      <c r="D34" s="7" t="s">
        <v>36</v>
      </c>
      <c r="E34" s="7" t="s">
        <v>20</v>
      </c>
      <c r="F34" s="8">
        <v>3800</v>
      </c>
      <c r="G34" s="8">
        <v>3600</v>
      </c>
      <c r="H34" s="9">
        <f>G34-F34</f>
        <v>-200</v>
      </c>
      <c r="I34" s="10">
        <f>IFERROR((G34-F34)/F34,0)</f>
        <v>-5.2631578947368418E-2</v>
      </c>
    </row>
    <row r="35" spans="2:9" ht="18" customHeight="1" x14ac:dyDescent="0.25">
      <c r="B35" s="11" t="s">
        <v>69</v>
      </c>
      <c r="C35" s="11" t="s">
        <v>70</v>
      </c>
      <c r="D35" s="11" t="s">
        <v>47</v>
      </c>
      <c r="E35" s="11" t="s">
        <v>20</v>
      </c>
      <c r="F35" s="12">
        <v>15600</v>
      </c>
      <c r="G35" s="12">
        <v>15400</v>
      </c>
      <c r="H35" s="13">
        <f>G35-F35</f>
        <v>-200</v>
      </c>
      <c r="I35" s="14">
        <f>IFERROR((G35-F35)/F35,0)</f>
        <v>-1.282051282051282E-2</v>
      </c>
    </row>
    <row r="36" spans="2:9" ht="18" customHeight="1" x14ac:dyDescent="0.25">
      <c r="B36" s="7" t="s">
        <v>71</v>
      </c>
      <c r="C36" s="7" t="s">
        <v>72</v>
      </c>
      <c r="D36" s="7" t="s">
        <v>36</v>
      </c>
      <c r="E36" s="7" t="s">
        <v>20</v>
      </c>
      <c r="F36" s="8">
        <v>8800</v>
      </c>
      <c r="G36" s="8">
        <v>8800</v>
      </c>
      <c r="H36" s="9">
        <f>G36-F36</f>
        <v>0</v>
      </c>
      <c r="I36" s="10">
        <f>IFERROR((G36-F36)/F36,0)</f>
        <v>0</v>
      </c>
    </row>
    <row r="37" spans="2:9" ht="18" customHeight="1" x14ac:dyDescent="0.25">
      <c r="B37" s="11" t="s">
        <v>73</v>
      </c>
      <c r="C37" s="11" t="s">
        <v>74</v>
      </c>
      <c r="D37" s="11" t="s">
        <v>36</v>
      </c>
      <c r="E37" s="11" t="s">
        <v>14</v>
      </c>
      <c r="F37" s="12">
        <v>13000</v>
      </c>
      <c r="G37" s="12">
        <v>11200</v>
      </c>
      <c r="H37" s="13">
        <f>G37-F37</f>
        <v>-1800</v>
      </c>
      <c r="I37" s="14">
        <f>IFERROR((G37-F37)/F37,0)</f>
        <v>-0.13846153846153847</v>
      </c>
    </row>
    <row r="38" spans="2:9" ht="18" customHeight="1" x14ac:dyDescent="0.25">
      <c r="B38" s="7" t="s">
        <v>75</v>
      </c>
      <c r="C38" s="7" t="s">
        <v>76</v>
      </c>
      <c r="D38" s="7" t="s">
        <v>77</v>
      </c>
      <c r="E38" s="7" t="s">
        <v>20</v>
      </c>
      <c r="F38" s="8">
        <v>5800</v>
      </c>
      <c r="G38" s="8">
        <v>5800</v>
      </c>
      <c r="H38" s="9">
        <f>G38-F38</f>
        <v>0</v>
      </c>
      <c r="I38" s="10">
        <f>IFERROR((G38-F38)/F38,0)</f>
        <v>0</v>
      </c>
    </row>
    <row r="39" spans="2:9" ht="18" customHeight="1" x14ac:dyDescent="0.25">
      <c r="B39" s="72" t="s">
        <v>78</v>
      </c>
      <c r="C39" s="72"/>
      <c r="D39" s="72"/>
      <c r="E39" s="72"/>
      <c r="F39" s="72"/>
      <c r="G39" s="72"/>
      <c r="H39" s="72"/>
      <c r="I39" s="72"/>
    </row>
    <row r="40" spans="2:9" ht="18" customHeight="1" x14ac:dyDescent="0.25">
      <c r="B40" s="7" t="s">
        <v>79</v>
      </c>
      <c r="C40" s="7" t="s">
        <v>80</v>
      </c>
      <c r="D40" s="7" t="s">
        <v>81</v>
      </c>
      <c r="E40" s="7" t="s">
        <v>14</v>
      </c>
      <c r="F40" s="8">
        <v>4200</v>
      </c>
      <c r="G40" s="8">
        <v>3900</v>
      </c>
      <c r="H40" s="9">
        <f t="shared" ref="H40:H48" si="0">G40-F40</f>
        <v>-300</v>
      </c>
      <c r="I40" s="10">
        <f t="shared" ref="I40:I48" si="1">IFERROR((G40-F40)/F40,0)</f>
        <v>-7.1428571428571425E-2</v>
      </c>
    </row>
    <row r="41" spans="2:9" ht="18" customHeight="1" x14ac:dyDescent="0.25">
      <c r="B41" s="11" t="s">
        <v>82</v>
      </c>
      <c r="C41" s="11" t="s">
        <v>83</v>
      </c>
      <c r="D41" s="11" t="s">
        <v>81</v>
      </c>
      <c r="E41" s="11" t="s">
        <v>20</v>
      </c>
      <c r="F41" s="12">
        <v>3200</v>
      </c>
      <c r="G41" s="12">
        <v>3200</v>
      </c>
      <c r="H41" s="13">
        <f t="shared" si="0"/>
        <v>0</v>
      </c>
      <c r="I41" s="14">
        <f t="shared" si="1"/>
        <v>0</v>
      </c>
    </row>
    <row r="42" spans="2:9" ht="19.5" customHeight="1" x14ac:dyDescent="0.25">
      <c r="B42" s="5" t="s">
        <v>84</v>
      </c>
      <c r="C42" s="15"/>
      <c r="D42" s="15"/>
      <c r="E42" s="15"/>
      <c r="F42" s="16">
        <f>F8+F9+F10+F11</f>
        <v>291200</v>
      </c>
      <c r="G42" s="16">
        <f>G8+G9+G10+G11</f>
        <v>286550</v>
      </c>
      <c r="H42" s="16">
        <f t="shared" si="0"/>
        <v>-4650</v>
      </c>
      <c r="I42" s="17">
        <f t="shared" si="1"/>
        <v>-1.5968406593406592E-2</v>
      </c>
    </row>
    <row r="43" spans="2:9" ht="19.5" customHeight="1" x14ac:dyDescent="0.25">
      <c r="B43" s="5" t="s">
        <v>85</v>
      </c>
      <c r="C43" s="15"/>
      <c r="D43" s="15"/>
      <c r="E43" s="15"/>
      <c r="F43" s="16">
        <f>F13+F14+F15+F16+F17</f>
        <v>471000</v>
      </c>
      <c r="G43" s="16">
        <f>G13+G14+G15+G16+G17</f>
        <v>471500</v>
      </c>
      <c r="H43" s="16">
        <f t="shared" si="0"/>
        <v>500</v>
      </c>
      <c r="I43" s="17">
        <f t="shared" si="1"/>
        <v>1.0615711252653928E-3</v>
      </c>
    </row>
    <row r="44" spans="2:9" ht="19.5" customHeight="1" x14ac:dyDescent="0.25">
      <c r="B44" s="5" t="s">
        <v>86</v>
      </c>
      <c r="C44" s="15"/>
      <c r="D44" s="15"/>
      <c r="E44" s="15"/>
      <c r="F44" s="16">
        <f>F19+F20+F21+F22</f>
        <v>61500</v>
      </c>
      <c r="G44" s="16">
        <f>G19+G20+G21+G22</f>
        <v>61500</v>
      </c>
      <c r="H44" s="16">
        <f t="shared" si="0"/>
        <v>0</v>
      </c>
      <c r="I44" s="17">
        <f t="shared" si="1"/>
        <v>0</v>
      </c>
    </row>
    <row r="45" spans="2:9" ht="19.5" customHeight="1" x14ac:dyDescent="0.25">
      <c r="B45" s="5" t="s">
        <v>87</v>
      </c>
      <c r="C45" s="15"/>
      <c r="D45" s="15"/>
      <c r="E45" s="15"/>
      <c r="F45" s="16">
        <f>F24+F25+F26+F27</f>
        <v>92000</v>
      </c>
      <c r="G45" s="16">
        <f>G24+G25+G26+G27</f>
        <v>93600</v>
      </c>
      <c r="H45" s="16">
        <f t="shared" si="0"/>
        <v>1600</v>
      </c>
      <c r="I45" s="17">
        <f t="shared" si="1"/>
        <v>1.7391304347826087E-2</v>
      </c>
    </row>
    <row r="46" spans="2:9" ht="19.5" customHeight="1" x14ac:dyDescent="0.25">
      <c r="B46" s="5" t="s">
        <v>88</v>
      </c>
      <c r="C46" s="15"/>
      <c r="D46" s="15"/>
      <c r="E46" s="15"/>
      <c r="F46" s="16">
        <f>F29+F30+F31+F32</f>
        <v>80500</v>
      </c>
      <c r="G46" s="16">
        <f>G29+G30+G31+G32</f>
        <v>79500</v>
      </c>
      <c r="H46" s="16">
        <f t="shared" si="0"/>
        <v>-1000</v>
      </c>
      <c r="I46" s="17">
        <f t="shared" si="1"/>
        <v>-1.2422360248447204E-2</v>
      </c>
    </row>
    <row r="47" spans="2:9" ht="19.5" customHeight="1" x14ac:dyDescent="0.25">
      <c r="B47" s="5" t="s">
        <v>89</v>
      </c>
      <c r="C47" s="15"/>
      <c r="D47" s="15"/>
      <c r="E47" s="15"/>
      <c r="F47" s="16">
        <f>F34+F35+F36+F37+F38</f>
        <v>47000</v>
      </c>
      <c r="G47" s="16">
        <f>G34+G35+G36+G37+G38</f>
        <v>44800</v>
      </c>
      <c r="H47" s="16">
        <f t="shared" si="0"/>
        <v>-2200</v>
      </c>
      <c r="I47" s="17">
        <f t="shared" si="1"/>
        <v>-4.6808510638297871E-2</v>
      </c>
    </row>
    <row r="48" spans="2:9" ht="19.5" customHeight="1" x14ac:dyDescent="0.25">
      <c r="B48" s="5" t="s">
        <v>90</v>
      </c>
      <c r="C48" s="15"/>
      <c r="D48" s="15"/>
      <c r="E48" s="15"/>
      <c r="F48" s="16">
        <f>F40+F41</f>
        <v>7400</v>
      </c>
      <c r="G48" s="16">
        <f>G40+G41</f>
        <v>7100</v>
      </c>
      <c r="H48" s="16">
        <f t="shared" si="0"/>
        <v>-300</v>
      </c>
      <c r="I48" s="17">
        <f t="shared" si="1"/>
        <v>-4.0540540540540543E-2</v>
      </c>
    </row>
    <row r="49" spans="2:9" ht="4.5" customHeight="1" x14ac:dyDescent="0.25"/>
    <row r="50" spans="2:9" ht="25.5" customHeight="1" x14ac:dyDescent="0.25">
      <c r="B50" s="73" t="s">
        <v>91</v>
      </c>
      <c r="C50" s="74"/>
      <c r="D50" s="74"/>
      <c r="E50" s="74"/>
      <c r="F50" s="75">
        <f>F42+F43+F44+F45+F46+F47+F48</f>
        <v>1050600</v>
      </c>
      <c r="G50" s="75">
        <f>G42+G43+G44+G45+G46+G47+G48</f>
        <v>1044550</v>
      </c>
      <c r="H50" s="75">
        <f>G50-F50</f>
        <v>-6050</v>
      </c>
      <c r="I50" s="76">
        <f>IFERROR((G50-F50)/F50,0)</f>
        <v>-5.7586141252617554E-3</v>
      </c>
    </row>
  </sheetData>
  <mergeCells count="10">
    <mergeCell ref="B18:I18"/>
    <mergeCell ref="B23:I23"/>
    <mergeCell ref="B28:I28"/>
    <mergeCell ref="B33:I33"/>
    <mergeCell ref="B39:I39"/>
    <mergeCell ref="B2:I2"/>
    <mergeCell ref="B3:I3"/>
    <mergeCell ref="B5:I5"/>
    <mergeCell ref="B7:I7"/>
    <mergeCell ref="B12:I1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5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8.7109375" defaultRowHeight="15" x14ac:dyDescent="0.25"/>
  <cols>
    <col min="1" max="1" width="2" customWidth="1"/>
    <col min="2" max="2" width="34" customWidth="1"/>
    <col min="3" max="8" width="15" customWidth="1"/>
    <col min="9" max="9" width="2" customWidth="1"/>
  </cols>
  <sheetData>
    <row r="1" spans="2:8" ht="4.5" customHeight="1" x14ac:dyDescent="0.25"/>
    <row r="2" spans="2:8" ht="36" customHeight="1" x14ac:dyDescent="0.25">
      <c r="B2" s="4" t="s">
        <v>92</v>
      </c>
      <c r="C2" s="4"/>
      <c r="D2" s="4"/>
      <c r="E2" s="4"/>
      <c r="F2" s="4"/>
      <c r="G2" s="4"/>
      <c r="H2" s="4"/>
    </row>
    <row r="3" spans="2:8" ht="13.5" customHeight="1" x14ac:dyDescent="0.25">
      <c r="B3" s="3" t="s">
        <v>93</v>
      </c>
      <c r="C3" s="3"/>
      <c r="D3" s="3"/>
      <c r="E3" s="3"/>
      <c r="F3" s="3"/>
      <c r="G3" s="3"/>
      <c r="H3" s="3"/>
    </row>
    <row r="4" spans="2:8" ht="4.5" customHeight="1" x14ac:dyDescent="0.25"/>
    <row r="5" spans="2:8" ht="30" customHeight="1" x14ac:dyDescent="0.25">
      <c r="B5" s="5" t="s">
        <v>94</v>
      </c>
      <c r="C5" s="21" t="s">
        <v>95</v>
      </c>
      <c r="D5" s="22" t="s">
        <v>96</v>
      </c>
      <c r="E5" s="22" t="s">
        <v>97</v>
      </c>
      <c r="F5" s="22" t="s">
        <v>98</v>
      </c>
      <c r="G5" s="22" t="s">
        <v>99</v>
      </c>
      <c r="H5" s="22" t="s">
        <v>100</v>
      </c>
    </row>
    <row r="6" spans="2:8" ht="21.75" customHeight="1" x14ac:dyDescent="0.25">
      <c r="B6" s="23" t="s">
        <v>101</v>
      </c>
      <c r="C6" s="24">
        <f>SUM(D6:H6)</f>
        <v>1</v>
      </c>
      <c r="D6" s="25">
        <v>0.1</v>
      </c>
      <c r="E6" s="25">
        <v>0.45</v>
      </c>
      <c r="F6" s="25">
        <v>0.2</v>
      </c>
      <c r="G6" s="25">
        <v>0.15</v>
      </c>
      <c r="H6" s="25">
        <v>0.1</v>
      </c>
    </row>
    <row r="7" spans="2:8" ht="18" customHeight="1" x14ac:dyDescent="0.25">
      <c r="B7" s="1" t="s">
        <v>102</v>
      </c>
      <c r="C7" s="1"/>
      <c r="D7" s="1"/>
      <c r="E7" s="1"/>
      <c r="F7" s="1"/>
      <c r="G7" s="1"/>
      <c r="H7" s="1"/>
    </row>
    <row r="8" spans="2:8" ht="18" customHeight="1" x14ac:dyDescent="0.25">
      <c r="B8" s="7" t="s">
        <v>16</v>
      </c>
      <c r="C8" s="8">
        <v>13600</v>
      </c>
      <c r="D8" s="9">
        <f>C8*0.05</f>
        <v>680</v>
      </c>
      <c r="E8" s="9">
        <f>C8*0.7</f>
        <v>9520</v>
      </c>
      <c r="F8" s="9">
        <f>C8*0.08</f>
        <v>1088</v>
      </c>
      <c r="G8" s="9">
        <f>C8*0.07</f>
        <v>952.00000000000011</v>
      </c>
      <c r="H8" s="9">
        <f>C8*0.1</f>
        <v>1360</v>
      </c>
    </row>
    <row r="9" spans="2:8" ht="18" customHeight="1" x14ac:dyDescent="0.25">
      <c r="B9" s="11" t="s">
        <v>18</v>
      </c>
      <c r="C9" s="12">
        <v>9750</v>
      </c>
      <c r="D9" s="13">
        <f>C9*0.08</f>
        <v>780</v>
      </c>
      <c r="E9" s="13">
        <f>C9*0.52</f>
        <v>5070</v>
      </c>
      <c r="F9" s="13">
        <f>C9*0.08</f>
        <v>780</v>
      </c>
      <c r="G9" s="13">
        <f>C9*0.12</f>
        <v>1170</v>
      </c>
      <c r="H9" s="13">
        <f>C9*0.2</f>
        <v>1950</v>
      </c>
    </row>
    <row r="10" spans="2:8" ht="18" customHeight="1" x14ac:dyDescent="0.25">
      <c r="B10" s="1" t="s">
        <v>103</v>
      </c>
      <c r="C10" s="1"/>
      <c r="D10" s="1"/>
      <c r="E10" s="1"/>
      <c r="F10" s="1"/>
      <c r="G10" s="1"/>
      <c r="H10" s="1"/>
    </row>
    <row r="11" spans="2:8" ht="18" customHeight="1" x14ac:dyDescent="0.25">
      <c r="B11" s="11" t="s">
        <v>104</v>
      </c>
      <c r="C11" s="12">
        <v>168000</v>
      </c>
      <c r="D11" s="13">
        <f>C11*0.12</f>
        <v>20160</v>
      </c>
      <c r="E11" s="13">
        <f>C11*0.38</f>
        <v>63840</v>
      </c>
      <c r="F11" s="13">
        <f>C11*0.18</f>
        <v>30240</v>
      </c>
      <c r="G11" s="13">
        <f>C11*0.22</f>
        <v>36960</v>
      </c>
      <c r="H11" s="13">
        <f>C11*0.1</f>
        <v>16800</v>
      </c>
    </row>
    <row r="12" spans="2:8" ht="18" customHeight="1" x14ac:dyDescent="0.25">
      <c r="B12" s="7" t="s">
        <v>105</v>
      </c>
      <c r="C12" s="8">
        <v>74600</v>
      </c>
      <c r="D12" s="9">
        <f>C12*0.12</f>
        <v>8952</v>
      </c>
      <c r="E12" s="9">
        <f>C12*0.38</f>
        <v>28348</v>
      </c>
      <c r="F12" s="9">
        <f>C12*0.18</f>
        <v>13428</v>
      </c>
      <c r="G12" s="9">
        <f>C12*0.22</f>
        <v>16412</v>
      </c>
      <c r="H12" s="9">
        <f>C12*0.1</f>
        <v>7460</v>
      </c>
    </row>
    <row r="13" spans="2:8" ht="18" customHeight="1" x14ac:dyDescent="0.25">
      <c r="B13" s="11" t="s">
        <v>106</v>
      </c>
      <c r="C13" s="12">
        <v>20100</v>
      </c>
      <c r="D13" s="13">
        <f>C13*0.12</f>
        <v>2412</v>
      </c>
      <c r="E13" s="13">
        <f>C13*0.38</f>
        <v>7638</v>
      </c>
      <c r="F13" s="13">
        <f>C13*0.18</f>
        <v>3618</v>
      </c>
      <c r="G13" s="13">
        <f>C13*0.22</f>
        <v>4422</v>
      </c>
      <c r="H13" s="13">
        <f>C13*0.1</f>
        <v>2010</v>
      </c>
    </row>
    <row r="14" spans="2:8" ht="18" customHeight="1" x14ac:dyDescent="0.25">
      <c r="B14" s="7" t="s">
        <v>107</v>
      </c>
      <c r="C14" s="8">
        <v>31200</v>
      </c>
      <c r="D14" s="9">
        <f>C14*0.05</f>
        <v>1560</v>
      </c>
      <c r="E14" s="9">
        <f>C14*0.68</f>
        <v>21216</v>
      </c>
      <c r="F14" s="9">
        <f>C14*0.12</f>
        <v>3744</v>
      </c>
      <c r="G14" s="9">
        <f>C14*0.08</f>
        <v>2496</v>
      </c>
      <c r="H14" s="9">
        <f>C14*0.07</f>
        <v>2184</v>
      </c>
    </row>
    <row r="15" spans="2:8" ht="18" customHeight="1" x14ac:dyDescent="0.25">
      <c r="B15" s="1" t="s">
        <v>108</v>
      </c>
      <c r="C15" s="1"/>
      <c r="D15" s="1"/>
      <c r="E15" s="1"/>
      <c r="F15" s="1"/>
      <c r="G15" s="1"/>
      <c r="H15" s="1"/>
    </row>
    <row r="16" spans="2:8" ht="18" customHeight="1" x14ac:dyDescent="0.25">
      <c r="B16" s="7" t="s">
        <v>39</v>
      </c>
      <c r="C16" s="8">
        <v>38400</v>
      </c>
      <c r="D16" s="9">
        <f>C16*0.04</f>
        <v>1536</v>
      </c>
      <c r="E16" s="9">
        <f>C16*0.82</f>
        <v>31487.999999999996</v>
      </c>
      <c r="F16" s="9">
        <f>C16*0.05</f>
        <v>1920</v>
      </c>
      <c r="G16" s="9">
        <f>C16*0.05</f>
        <v>1920</v>
      </c>
      <c r="H16" s="9">
        <f>C16*0.04</f>
        <v>1536</v>
      </c>
    </row>
    <row r="17" spans="2:8" ht="18" customHeight="1" x14ac:dyDescent="0.25">
      <c r="B17" s="11" t="s">
        <v>41</v>
      </c>
      <c r="C17" s="12">
        <v>10200</v>
      </c>
      <c r="D17" s="13">
        <f>C17*0.18</f>
        <v>1836</v>
      </c>
      <c r="E17" s="13">
        <f>C17*0.12</f>
        <v>1224</v>
      </c>
      <c r="F17" s="13">
        <f>C17*0.52</f>
        <v>5304</v>
      </c>
      <c r="G17" s="13">
        <f>C17*0.1</f>
        <v>1020</v>
      </c>
      <c r="H17" s="13">
        <f>C17*0.08</f>
        <v>816</v>
      </c>
    </row>
    <row r="18" spans="2:8" ht="18" customHeight="1" x14ac:dyDescent="0.25">
      <c r="B18" s="7" t="s">
        <v>44</v>
      </c>
      <c r="C18" s="8">
        <v>5100</v>
      </c>
      <c r="D18" s="9">
        <f>C18*0.1</f>
        <v>510</v>
      </c>
      <c r="E18" s="9">
        <f>C18*0.28</f>
        <v>1428.0000000000002</v>
      </c>
      <c r="F18" s="9">
        <f>C18*0.16</f>
        <v>816</v>
      </c>
      <c r="G18" s="9">
        <f>C18*0.36</f>
        <v>1836</v>
      </c>
      <c r="H18" s="9">
        <f>C18*0.1</f>
        <v>510</v>
      </c>
    </row>
    <row r="19" spans="2:8" ht="18" customHeight="1" x14ac:dyDescent="0.25">
      <c r="B19" s="11" t="s">
        <v>109</v>
      </c>
      <c r="C19" s="12">
        <v>7800</v>
      </c>
      <c r="D19" s="13">
        <f>C19*0.05</f>
        <v>390</v>
      </c>
      <c r="E19" s="13">
        <f>C19*0.24</f>
        <v>1872</v>
      </c>
      <c r="F19" s="13">
        <f>C19*0.1</f>
        <v>780</v>
      </c>
      <c r="G19" s="13">
        <f>C19*0.21</f>
        <v>1638</v>
      </c>
      <c r="H19" s="13">
        <f>C19*0.4</f>
        <v>3120</v>
      </c>
    </row>
    <row r="20" spans="2:8" ht="18" customHeight="1" x14ac:dyDescent="0.25">
      <c r="B20" s="1" t="s">
        <v>48</v>
      </c>
      <c r="C20" s="1"/>
      <c r="D20" s="1"/>
      <c r="E20" s="1"/>
      <c r="F20" s="1"/>
      <c r="G20" s="1"/>
      <c r="H20" s="1"/>
    </row>
    <row r="21" spans="2:8" ht="18" customHeight="1" x14ac:dyDescent="0.25">
      <c r="B21" s="11" t="s">
        <v>50</v>
      </c>
      <c r="C21" s="12">
        <v>52000</v>
      </c>
      <c r="D21" s="13">
        <f>C21*0.1</f>
        <v>5200</v>
      </c>
      <c r="E21" s="13">
        <f>C21*0.44</f>
        <v>22880</v>
      </c>
      <c r="F21" s="13">
        <f>C21*0.12</f>
        <v>6240</v>
      </c>
      <c r="G21" s="13">
        <f>C21*0.2</f>
        <v>10400</v>
      </c>
      <c r="H21" s="13">
        <f>C21*0.14</f>
        <v>7280.0000000000009</v>
      </c>
    </row>
    <row r="22" spans="2:8" ht="18" customHeight="1" x14ac:dyDescent="0.25">
      <c r="B22" s="7" t="s">
        <v>110</v>
      </c>
      <c r="C22" s="8">
        <v>26400</v>
      </c>
      <c r="D22" s="9">
        <f>C22*0.08</f>
        <v>2112</v>
      </c>
      <c r="E22" s="9">
        <f>C22*0.56</f>
        <v>14784.000000000002</v>
      </c>
      <c r="F22" s="9">
        <f>C22*0.08</f>
        <v>2112</v>
      </c>
      <c r="G22" s="9">
        <f>C22*0.14</f>
        <v>3696.0000000000005</v>
      </c>
      <c r="H22" s="9">
        <f>C22*0.14</f>
        <v>3696.0000000000005</v>
      </c>
    </row>
    <row r="23" spans="2:8" ht="18" customHeight="1" x14ac:dyDescent="0.25">
      <c r="B23" s="11" t="s">
        <v>54</v>
      </c>
      <c r="C23" s="12">
        <v>8800</v>
      </c>
      <c r="D23" s="13">
        <f>C23*0.1</f>
        <v>880</v>
      </c>
      <c r="E23" s="13">
        <f>C23*0.55</f>
        <v>4840</v>
      </c>
      <c r="F23" s="13">
        <f>C23*0.07</f>
        <v>616.00000000000011</v>
      </c>
      <c r="G23" s="13">
        <f>C23*0.15</f>
        <v>1320</v>
      </c>
      <c r="H23" s="13">
        <f>C23*0.13</f>
        <v>1144</v>
      </c>
    </row>
    <row r="24" spans="2:8" ht="18" customHeight="1" x14ac:dyDescent="0.25">
      <c r="B24" s="7" t="s">
        <v>111</v>
      </c>
      <c r="C24" s="8">
        <v>6400</v>
      </c>
      <c r="D24" s="9">
        <f>C24*0.1</f>
        <v>640</v>
      </c>
      <c r="E24" s="9">
        <f>C24*0.4</f>
        <v>2560</v>
      </c>
      <c r="F24" s="9">
        <f>C24*0.1</f>
        <v>640</v>
      </c>
      <c r="G24" s="9">
        <f>C24*0.26</f>
        <v>1664</v>
      </c>
      <c r="H24" s="9">
        <f>C24*0.14</f>
        <v>896.00000000000011</v>
      </c>
    </row>
    <row r="25" spans="2:8" ht="18" customHeight="1" x14ac:dyDescent="0.25">
      <c r="B25" s="1" t="s">
        <v>57</v>
      </c>
      <c r="C25" s="1"/>
      <c r="D25" s="1"/>
      <c r="E25" s="1"/>
      <c r="F25" s="1"/>
      <c r="G25" s="1"/>
      <c r="H25" s="1"/>
    </row>
    <row r="26" spans="2:8" ht="18" customHeight="1" x14ac:dyDescent="0.25">
      <c r="B26" s="7" t="s">
        <v>59</v>
      </c>
      <c r="C26" s="8">
        <v>29200</v>
      </c>
      <c r="D26" s="9">
        <f>C26*0</f>
        <v>0</v>
      </c>
      <c r="E26" s="9">
        <f>C26*0</f>
        <v>0</v>
      </c>
      <c r="F26" s="9">
        <f>C26*0.9</f>
        <v>26280</v>
      </c>
      <c r="G26" s="9">
        <f>C26*0.1</f>
        <v>2920</v>
      </c>
      <c r="H26" s="9">
        <f>C26*0</f>
        <v>0</v>
      </c>
    </row>
    <row r="27" spans="2:8" ht="18" customHeight="1" x14ac:dyDescent="0.25">
      <c r="B27" s="11" t="s">
        <v>112</v>
      </c>
      <c r="C27" s="12">
        <v>20800</v>
      </c>
      <c r="D27" s="13">
        <f>C27*0.28</f>
        <v>5824.0000000000009</v>
      </c>
      <c r="E27" s="13">
        <f>C27*0.12</f>
        <v>2496</v>
      </c>
      <c r="F27" s="13">
        <f>C27*0.55</f>
        <v>11440.000000000002</v>
      </c>
      <c r="G27" s="13">
        <f>C27*0.05</f>
        <v>1040</v>
      </c>
      <c r="H27" s="13">
        <f>C27*0</f>
        <v>0</v>
      </c>
    </row>
    <row r="28" spans="2:8" ht="18" customHeight="1" x14ac:dyDescent="0.25">
      <c r="B28" s="7" t="s">
        <v>63</v>
      </c>
      <c r="C28" s="8">
        <v>12100</v>
      </c>
      <c r="D28" s="9">
        <f>C28*0</f>
        <v>0</v>
      </c>
      <c r="E28" s="9">
        <f>C28*0</f>
        <v>0</v>
      </c>
      <c r="F28" s="9">
        <f>C28*1</f>
        <v>12100</v>
      </c>
      <c r="G28" s="9">
        <f>C28*0</f>
        <v>0</v>
      </c>
      <c r="H28" s="9">
        <f>C28*0</f>
        <v>0</v>
      </c>
    </row>
    <row r="29" spans="2:8" ht="18" customHeight="1" x14ac:dyDescent="0.25">
      <c r="B29" s="11" t="s">
        <v>113</v>
      </c>
      <c r="C29" s="12">
        <v>17400</v>
      </c>
      <c r="D29" s="13">
        <f>C29*0</f>
        <v>0</v>
      </c>
      <c r="E29" s="13">
        <f>C29*0</f>
        <v>0</v>
      </c>
      <c r="F29" s="13">
        <f>C29*1</f>
        <v>17400</v>
      </c>
      <c r="G29" s="13">
        <f>C29*0</f>
        <v>0</v>
      </c>
      <c r="H29" s="13">
        <f>C29*0</f>
        <v>0</v>
      </c>
    </row>
    <row r="30" spans="2:8" ht="18" customHeight="1" x14ac:dyDescent="0.25">
      <c r="B30" s="1" t="s">
        <v>66</v>
      </c>
      <c r="C30" s="1"/>
      <c r="D30" s="1"/>
      <c r="E30" s="1"/>
      <c r="F30" s="1"/>
      <c r="G30" s="1"/>
      <c r="H30" s="1"/>
    </row>
    <row r="31" spans="2:8" ht="18" customHeight="1" x14ac:dyDescent="0.25">
      <c r="B31" s="11" t="s">
        <v>68</v>
      </c>
      <c r="C31" s="12">
        <v>3600</v>
      </c>
      <c r="D31" s="13">
        <f>C31*0.05</f>
        <v>180</v>
      </c>
      <c r="E31" s="13">
        <f>C31*0.1</f>
        <v>360</v>
      </c>
      <c r="F31" s="13">
        <f>C31*0.12</f>
        <v>432</v>
      </c>
      <c r="G31" s="13">
        <f>C31*0.63</f>
        <v>2268</v>
      </c>
      <c r="H31" s="13">
        <f>C31*0.1</f>
        <v>360</v>
      </c>
    </row>
    <row r="32" spans="2:8" ht="18" customHeight="1" x14ac:dyDescent="0.25">
      <c r="B32" s="7" t="s">
        <v>70</v>
      </c>
      <c r="C32" s="8">
        <v>15400</v>
      </c>
      <c r="D32" s="9">
        <f>C32*0.05</f>
        <v>770</v>
      </c>
      <c r="E32" s="9">
        <f>C32*0.2</f>
        <v>3080</v>
      </c>
      <c r="F32" s="9">
        <f>C32*0.1</f>
        <v>1540</v>
      </c>
      <c r="G32" s="9">
        <f>C32*0.25</f>
        <v>3850</v>
      </c>
      <c r="H32" s="9">
        <f>C32*0.4</f>
        <v>6160</v>
      </c>
    </row>
    <row r="33" spans="2:8" ht="18" customHeight="1" x14ac:dyDescent="0.25">
      <c r="B33" s="11" t="s">
        <v>72</v>
      </c>
      <c r="C33" s="12">
        <v>8800</v>
      </c>
      <c r="D33" s="13">
        <f>C33*0.1</f>
        <v>880</v>
      </c>
      <c r="E33" s="13">
        <f>C33*0.35</f>
        <v>3080</v>
      </c>
      <c r="F33" s="13">
        <f>C33*0.14</f>
        <v>1232.0000000000002</v>
      </c>
      <c r="G33" s="13">
        <f>C33*0.3</f>
        <v>2640</v>
      </c>
      <c r="H33" s="13">
        <f>C33*0.11</f>
        <v>968</v>
      </c>
    </row>
    <row r="34" spans="2:8" ht="18" customHeight="1" x14ac:dyDescent="0.25">
      <c r="B34" s="7" t="s">
        <v>74</v>
      </c>
      <c r="C34" s="8">
        <v>11200</v>
      </c>
      <c r="D34" s="9">
        <f>C34*0.05</f>
        <v>560</v>
      </c>
      <c r="E34" s="9">
        <f>C34*0.15</f>
        <v>1680</v>
      </c>
      <c r="F34" s="9">
        <f>C34*0.16</f>
        <v>1792</v>
      </c>
      <c r="G34" s="9">
        <f>C34*0.6</f>
        <v>6720</v>
      </c>
      <c r="H34" s="9">
        <f>C34*0.04</f>
        <v>448</v>
      </c>
    </row>
    <row r="35" spans="2:8" ht="18" customHeight="1" x14ac:dyDescent="0.25">
      <c r="B35" s="11" t="s">
        <v>114</v>
      </c>
      <c r="C35" s="12">
        <v>5800</v>
      </c>
      <c r="D35" s="13">
        <f>C35*0.1</f>
        <v>580</v>
      </c>
      <c r="E35" s="13">
        <f>C35*0.3</f>
        <v>1740</v>
      </c>
      <c r="F35" s="13">
        <f>C35*0.2</f>
        <v>1160</v>
      </c>
      <c r="G35" s="13">
        <f>C35*0.3</f>
        <v>1740</v>
      </c>
      <c r="H35" s="13">
        <f>C35*0.1</f>
        <v>580</v>
      </c>
    </row>
    <row r="36" spans="2:8" ht="18" customHeight="1" x14ac:dyDescent="0.25">
      <c r="B36" s="1" t="s">
        <v>78</v>
      </c>
      <c r="C36" s="1"/>
      <c r="D36" s="1"/>
      <c r="E36" s="1"/>
      <c r="F36" s="1"/>
      <c r="G36" s="1"/>
      <c r="H36" s="1"/>
    </row>
    <row r="37" spans="2:8" ht="18" customHeight="1" x14ac:dyDescent="0.25">
      <c r="B37" s="11" t="s">
        <v>80</v>
      </c>
      <c r="C37" s="12">
        <v>3900</v>
      </c>
      <c r="D37" s="13">
        <f>C37*0.1</f>
        <v>390</v>
      </c>
      <c r="E37" s="13">
        <f>C37*0.3</f>
        <v>1170</v>
      </c>
      <c r="F37" s="13">
        <f>C37*0.22</f>
        <v>858</v>
      </c>
      <c r="G37" s="13">
        <f>C37*0.28</f>
        <v>1092</v>
      </c>
      <c r="H37" s="13">
        <f>C37*0.1</f>
        <v>390</v>
      </c>
    </row>
    <row r="38" spans="2:8" ht="18" customHeight="1" x14ac:dyDescent="0.25">
      <c r="B38" s="7" t="s">
        <v>115</v>
      </c>
      <c r="C38" s="8">
        <v>3200</v>
      </c>
      <c r="D38" s="9">
        <f>C38*0.1</f>
        <v>320</v>
      </c>
      <c r="E38" s="9">
        <f>C38*0.35</f>
        <v>1120</v>
      </c>
      <c r="F38" s="9">
        <f>C38*0.2</f>
        <v>640</v>
      </c>
      <c r="G38" s="9">
        <f>C38*0.25</f>
        <v>800</v>
      </c>
      <c r="H38" s="9">
        <f>C38*0.1</f>
        <v>320</v>
      </c>
    </row>
    <row r="39" spans="2:8" ht="18" customHeight="1" x14ac:dyDescent="0.25">
      <c r="B39" s="11" t="s">
        <v>35</v>
      </c>
      <c r="C39" s="12">
        <v>5800</v>
      </c>
      <c r="D39" s="13">
        <f>C39*0.05</f>
        <v>290</v>
      </c>
      <c r="E39" s="13">
        <f>C39*0.3</f>
        <v>1740</v>
      </c>
      <c r="F39" s="13">
        <f>C39*0.1</f>
        <v>580</v>
      </c>
      <c r="G39" s="13">
        <f>C39*0.45</f>
        <v>2610</v>
      </c>
      <c r="H39" s="13">
        <f>C39*0.1</f>
        <v>580</v>
      </c>
    </row>
    <row r="40" spans="2:8" ht="24" customHeight="1" x14ac:dyDescent="0.25">
      <c r="B40" s="26" t="s">
        <v>116</v>
      </c>
      <c r="C40" s="27">
        <f t="shared" ref="C40:H40" si="0">C8+C9+C11+C12+C13+C14+C16+C17+C18+C19+C21+C22+C23+C24+C26+C27+C28+C29+C31+C32+C33+C34+C35+C37+C38+C39</f>
        <v>609550</v>
      </c>
      <c r="D40" s="27">
        <f t="shared" si="0"/>
        <v>57442</v>
      </c>
      <c r="E40" s="27">
        <f t="shared" si="0"/>
        <v>233174</v>
      </c>
      <c r="F40" s="27">
        <f t="shared" si="0"/>
        <v>146780</v>
      </c>
      <c r="G40" s="27">
        <f t="shared" si="0"/>
        <v>111586</v>
      </c>
      <c r="H40" s="27">
        <f t="shared" si="0"/>
        <v>60568</v>
      </c>
    </row>
    <row r="42" spans="2:8" ht="19.5" customHeight="1" x14ac:dyDescent="0.25">
      <c r="B42" s="2" t="s">
        <v>117</v>
      </c>
      <c r="C42" s="2"/>
      <c r="D42" s="2"/>
      <c r="E42" s="2"/>
      <c r="F42" s="2"/>
      <c r="G42" s="2"/>
      <c r="H42" s="2"/>
    </row>
    <row r="43" spans="2:8" ht="21.75" customHeight="1" x14ac:dyDescent="0.25">
      <c r="B43" s="28" t="s">
        <v>118</v>
      </c>
      <c r="C43" s="29" t="s">
        <v>119</v>
      </c>
      <c r="D43" s="29" t="s">
        <v>120</v>
      </c>
      <c r="E43" s="29" t="s">
        <v>121</v>
      </c>
      <c r="F43" s="29" t="s">
        <v>122</v>
      </c>
      <c r="G43" s="29" t="s">
        <v>122</v>
      </c>
      <c r="H43" s="29" t="s">
        <v>122</v>
      </c>
    </row>
    <row r="44" spans="2:8" ht="19.5" customHeight="1" x14ac:dyDescent="0.25">
      <c r="B44" s="23" t="s">
        <v>123</v>
      </c>
      <c r="C44" s="30" t="s">
        <v>124</v>
      </c>
      <c r="D44" s="31">
        <v>272000</v>
      </c>
      <c r="E44" s="31">
        <v>508400</v>
      </c>
      <c r="F44" s="31">
        <v>782000</v>
      </c>
      <c r="G44" s="31">
        <v>782000</v>
      </c>
      <c r="H44" s="31">
        <v>782000</v>
      </c>
    </row>
    <row r="45" spans="2:8" ht="24" customHeight="1" x14ac:dyDescent="0.25">
      <c r="B45" s="32" t="s">
        <v>125</v>
      </c>
      <c r="C45" s="33" t="s">
        <v>124</v>
      </c>
      <c r="D45" s="34">
        <f>IFERROR(D40/D44,0)</f>
        <v>0.21118382352941176</v>
      </c>
      <c r="E45" s="34">
        <f>IFERROR(E40/E44,0)</f>
        <v>0.45864280094413845</v>
      </c>
      <c r="F45" s="34">
        <f>IFERROR(F40/F44,0)</f>
        <v>0.18769820971867007</v>
      </c>
      <c r="G45" s="34">
        <f>IFERROR(G40/G44,0)</f>
        <v>0.142693094629156</v>
      </c>
      <c r="H45" s="34">
        <f>IFERROR(H40/H44,0)</f>
        <v>7.7452685421994891E-2</v>
      </c>
    </row>
  </sheetData>
  <mergeCells count="10">
    <mergeCell ref="B20:H20"/>
    <mergeCell ref="B25:H25"/>
    <mergeCell ref="B30:H30"/>
    <mergeCell ref="B36:H36"/>
    <mergeCell ref="B42:H42"/>
    <mergeCell ref="B2:H2"/>
    <mergeCell ref="B3:H3"/>
    <mergeCell ref="B7:H7"/>
    <mergeCell ref="B10:H10"/>
    <mergeCell ref="B15:H1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38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2" customWidth="1"/>
    <col min="2" max="2" width="38" customWidth="1"/>
    <col min="3" max="6" width="16" customWidth="1"/>
    <col min="7" max="7" width="2" customWidth="1"/>
  </cols>
  <sheetData>
    <row r="1" spans="2:6" ht="4.5" customHeight="1" x14ac:dyDescent="0.25"/>
    <row r="2" spans="2:6" ht="36" customHeight="1" x14ac:dyDescent="0.25">
      <c r="B2" s="4" t="s">
        <v>126</v>
      </c>
      <c r="C2" s="4"/>
      <c r="D2" s="4"/>
      <c r="E2" s="4"/>
      <c r="F2" s="4"/>
    </row>
    <row r="3" spans="2:6" ht="13.5" customHeight="1" x14ac:dyDescent="0.25">
      <c r="B3" s="3" t="s">
        <v>127</v>
      </c>
      <c r="C3" s="3"/>
      <c r="D3" s="3"/>
      <c r="E3" s="3"/>
      <c r="F3" s="3"/>
    </row>
    <row r="4" spans="2:6" ht="4.5" customHeight="1" x14ac:dyDescent="0.25"/>
    <row r="5" spans="2:6" ht="30" customHeight="1" x14ac:dyDescent="0.25">
      <c r="B5" s="5" t="s">
        <v>128</v>
      </c>
      <c r="C5" s="22" t="s">
        <v>129</v>
      </c>
      <c r="D5" s="22" t="s">
        <v>130</v>
      </c>
      <c r="E5" s="22" t="s">
        <v>131</v>
      </c>
      <c r="F5" s="22" t="s">
        <v>132</v>
      </c>
    </row>
    <row r="6" spans="2:6" ht="19.5" customHeight="1" x14ac:dyDescent="0.25">
      <c r="B6" s="23" t="s">
        <v>133</v>
      </c>
      <c r="C6" s="35">
        <v>4800</v>
      </c>
      <c r="D6" s="35">
        <v>2600</v>
      </c>
      <c r="E6" s="35">
        <v>1400</v>
      </c>
      <c r="F6" s="35">
        <v>5500</v>
      </c>
    </row>
    <row r="7" spans="2:6" ht="18" customHeight="1" x14ac:dyDescent="0.25">
      <c r="B7" s="1" t="s">
        <v>134</v>
      </c>
      <c r="C7" s="1"/>
      <c r="D7" s="1"/>
      <c r="E7" s="1"/>
      <c r="F7" s="1"/>
    </row>
    <row r="8" spans="2:6" ht="18" customHeight="1" x14ac:dyDescent="0.25">
      <c r="B8" s="7" t="s">
        <v>12</v>
      </c>
      <c r="C8" s="36">
        <v>41</v>
      </c>
      <c r="D8" s="36">
        <v>56</v>
      </c>
      <c r="E8" s="36">
        <v>24</v>
      </c>
      <c r="F8" s="36">
        <v>0</v>
      </c>
    </row>
    <row r="9" spans="2:6" ht="18" customHeight="1" x14ac:dyDescent="0.25">
      <c r="B9" s="11" t="s">
        <v>22</v>
      </c>
      <c r="C9" s="37">
        <v>15.5</v>
      </c>
      <c r="D9" s="37">
        <v>9.1999999999999993</v>
      </c>
      <c r="E9" s="37">
        <v>7.4</v>
      </c>
      <c r="F9" s="37">
        <v>0</v>
      </c>
    </row>
    <row r="10" spans="2:6" ht="18" customHeight="1" x14ac:dyDescent="0.25">
      <c r="B10" s="5" t="s">
        <v>135</v>
      </c>
      <c r="C10" s="38">
        <f>C8+C9</f>
        <v>56.5</v>
      </c>
      <c r="D10" s="38">
        <f>D8+D9</f>
        <v>65.2</v>
      </c>
      <c r="E10" s="38">
        <f>E8+E9</f>
        <v>31.4</v>
      </c>
      <c r="F10" s="38">
        <f>F8+F9</f>
        <v>0</v>
      </c>
    </row>
    <row r="11" spans="2:6" ht="18" customHeight="1" x14ac:dyDescent="0.25">
      <c r="B11" s="1" t="s">
        <v>136</v>
      </c>
      <c r="C11" s="1"/>
      <c r="D11" s="1"/>
      <c r="E11" s="1"/>
      <c r="F11" s="1"/>
    </row>
    <row r="12" spans="2:6" ht="18" customHeight="1" x14ac:dyDescent="0.25">
      <c r="B12" s="7" t="s">
        <v>137</v>
      </c>
      <c r="C12" s="39">
        <f>C10*0.2112</f>
        <v>11.9328</v>
      </c>
      <c r="D12" s="39">
        <f>D10*0.2112</f>
        <v>13.770240000000001</v>
      </c>
      <c r="E12" s="39">
        <f>E10*0.2112</f>
        <v>6.6316799999999994</v>
      </c>
      <c r="F12" s="39">
        <f>F10*0.2112</f>
        <v>0</v>
      </c>
    </row>
    <row r="13" spans="2:6" ht="18" customHeight="1" x14ac:dyDescent="0.25">
      <c r="B13" s="5" t="s">
        <v>138</v>
      </c>
      <c r="C13" s="38">
        <f>C10+C12</f>
        <v>68.4328</v>
      </c>
      <c r="D13" s="38">
        <f>D10+D12</f>
        <v>78.970240000000004</v>
      </c>
      <c r="E13" s="38">
        <f>E10+E12</f>
        <v>38.031679999999994</v>
      </c>
      <c r="F13" s="38">
        <f>F10+F12</f>
        <v>0</v>
      </c>
    </row>
    <row r="14" spans="2:6" ht="18" customHeight="1" x14ac:dyDescent="0.25">
      <c r="B14" s="1" t="s">
        <v>139</v>
      </c>
      <c r="C14" s="1"/>
      <c r="D14" s="1"/>
      <c r="E14" s="1"/>
      <c r="F14" s="1"/>
    </row>
    <row r="15" spans="2:6" ht="18" customHeight="1" x14ac:dyDescent="0.25">
      <c r="B15" s="11" t="s">
        <v>140</v>
      </c>
      <c r="C15" s="37">
        <v>23.5</v>
      </c>
      <c r="D15" s="37">
        <v>37</v>
      </c>
      <c r="E15" s="37">
        <v>19.5</v>
      </c>
      <c r="F15" s="37">
        <v>52</v>
      </c>
    </row>
    <row r="16" spans="2:6" ht="18" customHeight="1" x14ac:dyDescent="0.25">
      <c r="B16" s="7" t="s">
        <v>141</v>
      </c>
      <c r="C16" s="36">
        <v>9.1999999999999993</v>
      </c>
      <c r="D16" s="36">
        <v>13.4</v>
      </c>
      <c r="E16" s="36">
        <v>6.8</v>
      </c>
      <c r="F16" s="36">
        <v>0</v>
      </c>
    </row>
    <row r="17" spans="2:6" ht="18" customHeight="1" x14ac:dyDescent="0.25">
      <c r="B17" s="5" t="s">
        <v>142</v>
      </c>
      <c r="C17" s="38">
        <f>C15+C16</f>
        <v>32.700000000000003</v>
      </c>
      <c r="D17" s="38">
        <f>D15+D16</f>
        <v>50.4</v>
      </c>
      <c r="E17" s="38">
        <f>E15+E16</f>
        <v>26.3</v>
      </c>
      <c r="F17" s="38">
        <f>F15+F16</f>
        <v>52</v>
      </c>
    </row>
    <row r="18" spans="2:6" ht="18" customHeight="1" x14ac:dyDescent="0.25">
      <c r="B18" s="1" t="s">
        <v>143</v>
      </c>
      <c r="C18" s="1"/>
      <c r="D18" s="1"/>
      <c r="E18" s="1"/>
      <c r="F18" s="1"/>
    </row>
    <row r="19" spans="2:6" ht="18" customHeight="1" x14ac:dyDescent="0.25">
      <c r="B19" s="11" t="s">
        <v>144</v>
      </c>
      <c r="C19" s="40">
        <f>C17*0.4586</f>
        <v>14.996220000000001</v>
      </c>
      <c r="D19" s="40">
        <f>D17*0.4586</f>
        <v>23.113440000000001</v>
      </c>
      <c r="E19" s="40">
        <f>E17*0.4586</f>
        <v>12.06118</v>
      </c>
      <c r="F19" s="40">
        <f>F17*0.4586</f>
        <v>23.847200000000001</v>
      </c>
    </row>
    <row r="20" spans="2:6" ht="19.5" customHeight="1" x14ac:dyDescent="0.25">
      <c r="B20" s="18" t="s">
        <v>145</v>
      </c>
      <c r="C20" s="41">
        <f>C13+C17+C19</f>
        <v>116.12902</v>
      </c>
      <c r="D20" s="41">
        <f>D13+D17+D19</f>
        <v>152.48367999999999</v>
      </c>
      <c r="E20" s="41">
        <f>E13+E17+E19</f>
        <v>76.392859999999985</v>
      </c>
      <c r="F20" s="41">
        <f>F13+F17+F19</f>
        <v>75.847200000000001</v>
      </c>
    </row>
    <row r="21" spans="2:6" ht="18" customHeight="1" x14ac:dyDescent="0.25">
      <c r="B21" s="1" t="s">
        <v>146</v>
      </c>
      <c r="C21" s="1"/>
      <c r="D21" s="1"/>
      <c r="E21" s="1"/>
      <c r="F21" s="1"/>
    </row>
    <row r="22" spans="2:6" ht="18" customHeight="1" x14ac:dyDescent="0.25">
      <c r="B22" s="7" t="s">
        <v>147</v>
      </c>
      <c r="C22" s="39">
        <f>C20*0.1427</f>
        <v>16.571611153999999</v>
      </c>
      <c r="D22" s="39">
        <f>D20*0.1427</f>
        <v>21.759421135999997</v>
      </c>
      <c r="E22" s="39">
        <f>E20*0.1427</f>
        <v>10.901261121999998</v>
      </c>
      <c r="F22" s="39">
        <f>F20*0.1427</f>
        <v>10.823395439999999</v>
      </c>
    </row>
    <row r="23" spans="2:6" ht="18" customHeight="1" x14ac:dyDescent="0.25">
      <c r="B23" s="1" t="s">
        <v>148</v>
      </c>
      <c r="C23" s="1"/>
      <c r="D23" s="1"/>
      <c r="E23" s="1"/>
      <c r="F23" s="1"/>
    </row>
    <row r="24" spans="2:6" ht="18" customHeight="1" x14ac:dyDescent="0.25">
      <c r="B24" s="7" t="s">
        <v>149</v>
      </c>
      <c r="C24" s="39">
        <f>C20*0.1877</f>
        <v>21.797417054</v>
      </c>
      <c r="D24" s="39">
        <f>D20*0.1877</f>
        <v>28.621186735999999</v>
      </c>
      <c r="E24" s="39">
        <f>E20*0.1877</f>
        <v>14.338939821999997</v>
      </c>
      <c r="F24" s="39">
        <f>F20*0.1877</f>
        <v>14.23651944</v>
      </c>
    </row>
    <row r="25" spans="2:6" ht="18" customHeight="1" x14ac:dyDescent="0.25">
      <c r="B25" s="11" t="s">
        <v>150</v>
      </c>
      <c r="C25" s="37">
        <v>2.8</v>
      </c>
      <c r="D25" s="37">
        <v>3.2</v>
      </c>
      <c r="E25" s="37">
        <v>1.9</v>
      </c>
      <c r="F25" s="37">
        <v>1.6</v>
      </c>
    </row>
    <row r="26" spans="2:6" ht="19.5" customHeight="1" x14ac:dyDescent="0.25">
      <c r="B26" s="18" t="s">
        <v>151</v>
      </c>
      <c r="C26" s="41">
        <f>C20+C22+C24+C25</f>
        <v>157.29804820800001</v>
      </c>
      <c r="D26" s="41">
        <f>D20+D22+D24+D25</f>
        <v>206.06428787199997</v>
      </c>
      <c r="E26" s="41">
        <f>E20+E22+E24+E25</f>
        <v>103.53306094399998</v>
      </c>
      <c r="F26" s="41">
        <f>F20+F22+F24+F25</f>
        <v>102.50711487999999</v>
      </c>
    </row>
    <row r="27" spans="2:6" ht="18" customHeight="1" x14ac:dyDescent="0.25">
      <c r="B27" s="1" t="s">
        <v>152</v>
      </c>
      <c r="C27" s="1"/>
      <c r="D27" s="1"/>
      <c r="E27" s="1"/>
      <c r="F27" s="1"/>
    </row>
    <row r="28" spans="2:6" ht="18" customHeight="1" x14ac:dyDescent="0.25">
      <c r="B28" s="7" t="s">
        <v>153</v>
      </c>
      <c r="C28" s="42">
        <v>102</v>
      </c>
      <c r="D28" s="42">
        <v>152</v>
      </c>
      <c r="E28" s="42">
        <v>76</v>
      </c>
      <c r="F28" s="42">
        <v>98</v>
      </c>
    </row>
    <row r="29" spans="2:6" ht="19.5" customHeight="1" x14ac:dyDescent="0.25">
      <c r="B29" s="18" t="s">
        <v>154</v>
      </c>
      <c r="C29" s="43">
        <f>C28-C26</f>
        <v>-55.298048208000012</v>
      </c>
      <c r="D29" s="43">
        <f>D28-D26</f>
        <v>-54.064287871999966</v>
      </c>
      <c r="E29" s="43">
        <f>E28-E26</f>
        <v>-27.533060943999985</v>
      </c>
      <c r="F29" s="43">
        <f>F28-F26</f>
        <v>-4.5071148799999889</v>
      </c>
    </row>
    <row r="30" spans="2:6" ht="18" customHeight="1" x14ac:dyDescent="0.25">
      <c r="B30" s="5" t="s">
        <v>155</v>
      </c>
      <c r="C30" s="44">
        <f>IFERROR(C29/C28,0)</f>
        <v>-0.54213772752941192</v>
      </c>
      <c r="D30" s="44">
        <f>IFERROR(D29/D28,0)</f>
        <v>-0.35568610442105242</v>
      </c>
      <c r="E30" s="44">
        <f>IFERROR(E29/E28,0)</f>
        <v>-0.36227711768421034</v>
      </c>
      <c r="F30" s="44">
        <f>IFERROR(F29/F28,0)</f>
        <v>-4.5990968163265193E-2</v>
      </c>
    </row>
    <row r="32" spans="2:6" ht="19.5" customHeight="1" x14ac:dyDescent="0.25">
      <c r="B32" s="2" t="s">
        <v>156</v>
      </c>
      <c r="C32" s="2"/>
      <c r="D32" s="2"/>
      <c r="E32" s="2"/>
      <c r="F32" s="2"/>
    </row>
    <row r="33" spans="2:6" ht="21.75" customHeight="1" x14ac:dyDescent="0.25">
      <c r="B33" s="6" t="s">
        <v>157</v>
      </c>
      <c r="C33" s="6" t="s">
        <v>158</v>
      </c>
      <c r="D33" s="6" t="s">
        <v>159</v>
      </c>
      <c r="E33" s="6" t="s">
        <v>160</v>
      </c>
      <c r="F33" s="6" t="s">
        <v>161</v>
      </c>
    </row>
    <row r="34" spans="2:6" ht="19.5" customHeight="1" x14ac:dyDescent="0.25">
      <c r="B34" s="7" t="s">
        <v>162</v>
      </c>
      <c r="C34" s="45">
        <v>4800</v>
      </c>
      <c r="D34" s="45">
        <v>2600</v>
      </c>
      <c r="E34" s="45">
        <v>1400</v>
      </c>
      <c r="F34" s="45">
        <v>5500</v>
      </c>
    </row>
    <row r="35" spans="2:6" ht="19.5" customHeight="1" x14ac:dyDescent="0.25">
      <c r="B35" s="11" t="s">
        <v>163</v>
      </c>
      <c r="C35" s="13">
        <f>C34*C28</f>
        <v>489600</v>
      </c>
      <c r="D35" s="13">
        <f>D34*D28</f>
        <v>395200</v>
      </c>
      <c r="E35" s="13">
        <f>E34*E28</f>
        <v>106400</v>
      </c>
      <c r="F35" s="13">
        <f>F34*F28</f>
        <v>539000</v>
      </c>
    </row>
    <row r="36" spans="2:6" ht="19.5" customHeight="1" x14ac:dyDescent="0.25">
      <c r="B36" s="7" t="s">
        <v>164</v>
      </c>
      <c r="C36" s="9">
        <f>C34*C26</f>
        <v>755030.63139840006</v>
      </c>
      <c r="D36" s="9">
        <f>D34*D26</f>
        <v>535767.14846719988</v>
      </c>
      <c r="E36" s="9">
        <f>E34*E26</f>
        <v>144946.28532159998</v>
      </c>
      <c r="F36" s="9">
        <f>F34*F26</f>
        <v>563789.13183999993</v>
      </c>
    </row>
    <row r="37" spans="2:6" ht="19.5" customHeight="1" x14ac:dyDescent="0.25">
      <c r="B37" s="18" t="s">
        <v>165</v>
      </c>
      <c r="C37" s="20">
        <f>C35-C36</f>
        <v>-265430.63139840006</v>
      </c>
      <c r="D37" s="20">
        <f>D35-D36</f>
        <v>-140567.14846719988</v>
      </c>
      <c r="E37" s="20">
        <f>E35-E36</f>
        <v>-38546.285321599978</v>
      </c>
      <c r="F37" s="20">
        <f>F35-F36</f>
        <v>-24789.131839999929</v>
      </c>
    </row>
    <row r="38" spans="2:6" ht="19.5" customHeight="1" x14ac:dyDescent="0.25">
      <c r="B38" s="7" t="s">
        <v>166</v>
      </c>
      <c r="C38" s="10">
        <f>IFERROR(C37/C35,0)</f>
        <v>-0.54213772752941192</v>
      </c>
      <c r="D38" s="10">
        <f>IFERROR(D37/D35,0)</f>
        <v>-0.35568610442105231</v>
      </c>
      <c r="E38" s="10">
        <f>IFERROR(E37/E35,0)</f>
        <v>-0.36227711768421034</v>
      </c>
      <c r="F38" s="10">
        <f>IFERROR(F37/F35,0)</f>
        <v>-4.5990968163265172E-2</v>
      </c>
    </row>
  </sheetData>
  <mergeCells count="10">
    <mergeCell ref="B18:F18"/>
    <mergeCell ref="B21:F21"/>
    <mergeCell ref="B23:F23"/>
    <mergeCell ref="B27:F27"/>
    <mergeCell ref="B32:F32"/>
    <mergeCell ref="B2:F2"/>
    <mergeCell ref="B3:F3"/>
    <mergeCell ref="B7:F7"/>
    <mergeCell ref="B11:F11"/>
    <mergeCell ref="B14:F14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9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2" customWidth="1"/>
    <col min="2" max="2" width="38" customWidth="1"/>
    <col min="3" max="7" width="16" customWidth="1"/>
    <col min="8" max="8" width="2" customWidth="1"/>
  </cols>
  <sheetData>
    <row r="1" spans="2:7" ht="4.5" customHeight="1" x14ac:dyDescent="0.25"/>
    <row r="2" spans="2:7" ht="36" customHeight="1" x14ac:dyDescent="0.25">
      <c r="B2" s="4" t="s">
        <v>167</v>
      </c>
      <c r="C2" s="4"/>
      <c r="D2" s="4"/>
      <c r="E2" s="4"/>
      <c r="F2" s="4"/>
      <c r="G2" s="4"/>
    </row>
    <row r="3" spans="2:7" ht="13.5" customHeight="1" x14ac:dyDescent="0.25">
      <c r="B3" s="3" t="s">
        <v>168</v>
      </c>
      <c r="C3" s="3"/>
      <c r="D3" s="3"/>
      <c r="E3" s="3"/>
      <c r="F3" s="3"/>
      <c r="G3" s="3"/>
    </row>
    <row r="4" spans="2:7" ht="4.5" customHeight="1" x14ac:dyDescent="0.25"/>
    <row r="5" spans="2:7" ht="27.75" customHeight="1" x14ac:dyDescent="0.25">
      <c r="B5" s="5" t="s">
        <v>169</v>
      </c>
      <c r="C5" s="22" t="s">
        <v>158</v>
      </c>
      <c r="D5" s="22" t="s">
        <v>159</v>
      </c>
      <c r="E5" s="22" t="s">
        <v>160</v>
      </c>
      <c r="F5" s="22" t="s">
        <v>161</v>
      </c>
      <c r="G5" s="46" t="s">
        <v>170</v>
      </c>
    </row>
    <row r="6" spans="2:7" ht="18" customHeight="1" x14ac:dyDescent="0.25">
      <c r="B6" s="1" t="s">
        <v>171</v>
      </c>
      <c r="C6" s="1"/>
      <c r="D6" s="1"/>
      <c r="E6" s="1"/>
      <c r="F6" s="1"/>
      <c r="G6" s="1"/>
    </row>
    <row r="7" spans="2:7" ht="18" customHeight="1" x14ac:dyDescent="0.25">
      <c r="B7" s="11" t="s">
        <v>172</v>
      </c>
      <c r="C7" s="35">
        <v>4800</v>
      </c>
      <c r="D7" s="35">
        <v>2600</v>
      </c>
      <c r="E7" s="35">
        <v>1400</v>
      </c>
      <c r="F7" s="35">
        <v>5500</v>
      </c>
      <c r="G7" s="47">
        <f>SUM(C7:F7)</f>
        <v>14300</v>
      </c>
    </row>
    <row r="8" spans="2:7" ht="18" customHeight="1" x14ac:dyDescent="0.25">
      <c r="B8" s="7" t="s">
        <v>173</v>
      </c>
      <c r="C8" s="31">
        <v>102</v>
      </c>
      <c r="D8" s="31">
        <v>152</v>
      </c>
      <c r="E8" s="31">
        <v>76</v>
      </c>
      <c r="F8" s="31">
        <v>98</v>
      </c>
      <c r="G8" s="48" t="s">
        <v>174</v>
      </c>
    </row>
    <row r="9" spans="2:7" ht="24" customHeight="1" x14ac:dyDescent="0.25">
      <c r="B9" s="26" t="s">
        <v>175</v>
      </c>
      <c r="C9" s="49">
        <f>C7*C8</f>
        <v>489600</v>
      </c>
      <c r="D9" s="49">
        <f>D7*D8</f>
        <v>395200</v>
      </c>
      <c r="E9" s="49">
        <f>E7*E8</f>
        <v>106400</v>
      </c>
      <c r="F9" s="49">
        <f>F7*F8</f>
        <v>539000</v>
      </c>
      <c r="G9" s="49">
        <f>SUM(C9:F9)</f>
        <v>1530200</v>
      </c>
    </row>
    <row r="10" spans="2:7" ht="18" customHeight="1" x14ac:dyDescent="0.25">
      <c r="B10" s="1" t="s">
        <v>176</v>
      </c>
      <c r="C10" s="1"/>
      <c r="D10" s="1"/>
      <c r="E10" s="1"/>
      <c r="F10" s="1"/>
      <c r="G10" s="1"/>
    </row>
    <row r="11" spans="2:7" ht="18" customHeight="1" x14ac:dyDescent="0.25">
      <c r="B11" s="11" t="s">
        <v>177</v>
      </c>
      <c r="C11" s="12">
        <v>151776</v>
      </c>
      <c r="D11" s="12">
        <v>122512</v>
      </c>
      <c r="E11" s="12">
        <v>32984</v>
      </c>
      <c r="F11" s="12">
        <v>167090</v>
      </c>
      <c r="G11" s="50"/>
    </row>
    <row r="12" spans="2:7" ht="18" customHeight="1" x14ac:dyDescent="0.25">
      <c r="B12" s="7" t="s">
        <v>178</v>
      </c>
      <c r="C12" s="8">
        <v>122400</v>
      </c>
      <c r="D12" s="8">
        <v>98800</v>
      </c>
      <c r="E12" s="8">
        <v>26600</v>
      </c>
      <c r="F12" s="8">
        <v>134750</v>
      </c>
      <c r="G12" s="51"/>
    </row>
    <row r="13" spans="2:7" ht="18" customHeight="1" x14ac:dyDescent="0.25">
      <c r="B13" s="11" t="s">
        <v>179</v>
      </c>
      <c r="C13" s="12">
        <v>29376</v>
      </c>
      <c r="D13" s="12">
        <v>23712</v>
      </c>
      <c r="E13" s="12">
        <v>6384</v>
      </c>
      <c r="F13" s="12">
        <v>32340</v>
      </c>
      <c r="G13" s="50"/>
    </row>
    <row r="14" spans="2:7" ht="18" customHeight="1" x14ac:dyDescent="0.25">
      <c r="B14" s="5" t="s">
        <v>180</v>
      </c>
      <c r="C14" s="52">
        <f>C11+C12+C13</f>
        <v>303552</v>
      </c>
      <c r="D14" s="52">
        <f>D11+D12+D13</f>
        <v>245024</v>
      </c>
      <c r="E14" s="52">
        <f>E11+E12+E13</f>
        <v>65968</v>
      </c>
      <c r="F14" s="52">
        <f>F11+F12+F13</f>
        <v>334180</v>
      </c>
      <c r="G14" s="52">
        <f>SUM(C14:F14)</f>
        <v>948724</v>
      </c>
    </row>
    <row r="15" spans="2:7" ht="24" customHeight="1" x14ac:dyDescent="0.25">
      <c r="B15" s="26" t="s">
        <v>181</v>
      </c>
      <c r="C15" s="27">
        <f>C9-C14</f>
        <v>186048</v>
      </c>
      <c r="D15" s="27">
        <f>D9-D14</f>
        <v>150176</v>
      </c>
      <c r="E15" s="27">
        <f>E9-E14</f>
        <v>40432</v>
      </c>
      <c r="F15" s="27">
        <f>F9-F14</f>
        <v>204820</v>
      </c>
      <c r="G15" s="27">
        <f>SUM(C15:F15)</f>
        <v>581476</v>
      </c>
    </row>
    <row r="16" spans="2:7" ht="18" customHeight="1" x14ac:dyDescent="0.25">
      <c r="B16" s="7" t="s">
        <v>155</v>
      </c>
      <c r="C16" s="10">
        <f>IFERROR(C15/C9,0)</f>
        <v>0.38</v>
      </c>
      <c r="D16" s="10">
        <f>IFERROR(D15/D9,0)</f>
        <v>0.38</v>
      </c>
      <c r="E16" s="10">
        <f>IFERROR(E15/E9,0)</f>
        <v>0.38</v>
      </c>
      <c r="F16" s="10">
        <f>IFERROR(F15/F9,0)</f>
        <v>0.38</v>
      </c>
      <c r="G16" s="53" t="s">
        <v>174</v>
      </c>
    </row>
    <row r="17" spans="2:7" ht="18" customHeight="1" x14ac:dyDescent="0.25">
      <c r="B17" s="1" t="s">
        <v>182</v>
      </c>
      <c r="C17" s="1"/>
      <c r="D17" s="1"/>
      <c r="E17" s="1"/>
      <c r="F17" s="1"/>
      <c r="G17" s="1"/>
    </row>
    <row r="18" spans="2:7" ht="18" customHeight="1" x14ac:dyDescent="0.25">
      <c r="B18" s="7" t="s">
        <v>183</v>
      </c>
      <c r="C18" s="8">
        <v>28000</v>
      </c>
      <c r="D18" s="8">
        <v>25000</v>
      </c>
      <c r="E18" s="8">
        <v>13000</v>
      </c>
      <c r="F18" s="8">
        <v>42000</v>
      </c>
      <c r="G18" s="51"/>
    </row>
    <row r="19" spans="2:7" ht="18" customHeight="1" x14ac:dyDescent="0.25">
      <c r="B19" s="11" t="s">
        <v>184</v>
      </c>
      <c r="C19" s="12">
        <v>10000</v>
      </c>
      <c r="D19" s="12">
        <v>12500</v>
      </c>
      <c r="E19" s="12">
        <v>5100</v>
      </c>
      <c r="F19" s="12">
        <v>0</v>
      </c>
      <c r="G19" s="50"/>
    </row>
    <row r="20" spans="2:7" ht="18" customHeight="1" x14ac:dyDescent="0.25">
      <c r="B20" s="7" t="s">
        <v>185</v>
      </c>
      <c r="C20" s="8">
        <v>6000</v>
      </c>
      <c r="D20" s="8">
        <v>5200</v>
      </c>
      <c r="E20" s="8">
        <v>2800</v>
      </c>
      <c r="F20" s="8">
        <v>5200</v>
      </c>
      <c r="G20" s="51"/>
    </row>
    <row r="21" spans="2:7" ht="18" customHeight="1" x14ac:dyDescent="0.25">
      <c r="B21" s="5" t="s">
        <v>186</v>
      </c>
      <c r="C21" s="54">
        <f>C18+C19+C20</f>
        <v>44000</v>
      </c>
      <c r="D21" s="54">
        <f>D18+D19+D20</f>
        <v>42700</v>
      </c>
      <c r="E21" s="54">
        <f>E18+E19+E20</f>
        <v>20900</v>
      </c>
      <c r="F21" s="54">
        <f>F18+F19+F20</f>
        <v>47200</v>
      </c>
      <c r="G21" s="54">
        <f>SUM(C21:F21)</f>
        <v>154800</v>
      </c>
    </row>
    <row r="22" spans="2:7" ht="24" customHeight="1" x14ac:dyDescent="0.25">
      <c r="B22" s="26" t="s">
        <v>187</v>
      </c>
      <c r="C22" s="27">
        <f>C15-C21</f>
        <v>142048</v>
      </c>
      <c r="D22" s="27">
        <f>D15-D21</f>
        <v>107476</v>
      </c>
      <c r="E22" s="27">
        <f>E15-E21</f>
        <v>19532</v>
      </c>
      <c r="F22" s="27">
        <f>F15-F21</f>
        <v>157620</v>
      </c>
      <c r="G22" s="27">
        <f>SUM(C22:F22)</f>
        <v>426676</v>
      </c>
    </row>
    <row r="23" spans="2:7" ht="18" customHeight="1" x14ac:dyDescent="0.25">
      <c r="B23" s="11" t="s">
        <v>188</v>
      </c>
      <c r="C23" s="14">
        <f>IFERROR(C22/C9,0)</f>
        <v>0.29013071895424836</v>
      </c>
      <c r="D23" s="14">
        <f>IFERROR(D22/D9,0)</f>
        <v>0.27195344129554655</v>
      </c>
      <c r="E23" s="14">
        <f>IFERROR(E22/E9,0)</f>
        <v>0.18357142857142858</v>
      </c>
      <c r="F23" s="14">
        <f>IFERROR(F22/F9,0)</f>
        <v>0.292430426716141</v>
      </c>
      <c r="G23" s="55" t="s">
        <v>174</v>
      </c>
    </row>
    <row r="24" spans="2:7" ht="18" customHeight="1" x14ac:dyDescent="0.25">
      <c r="B24" s="1" t="s">
        <v>189</v>
      </c>
      <c r="C24" s="1"/>
      <c r="D24" s="1"/>
      <c r="E24" s="1"/>
      <c r="F24" s="1"/>
      <c r="G24" s="1"/>
    </row>
    <row r="25" spans="2:7" ht="18" customHeight="1" x14ac:dyDescent="0.25">
      <c r="B25" s="11" t="s">
        <v>190</v>
      </c>
      <c r="C25" s="56" t="s">
        <v>124</v>
      </c>
      <c r="D25" s="56" t="s">
        <v>124</v>
      </c>
      <c r="E25" s="56" t="s">
        <v>124</v>
      </c>
      <c r="F25" s="56" t="s">
        <v>124</v>
      </c>
      <c r="G25" s="12">
        <v>148200</v>
      </c>
    </row>
    <row r="26" spans="2:7" ht="18" customHeight="1" x14ac:dyDescent="0.25">
      <c r="B26" s="7" t="s">
        <v>191</v>
      </c>
      <c r="C26" s="57" t="s">
        <v>124</v>
      </c>
      <c r="D26" s="57" t="s">
        <v>124</v>
      </c>
      <c r="E26" s="57" t="s">
        <v>124</v>
      </c>
      <c r="F26" s="57" t="s">
        <v>124</v>
      </c>
      <c r="G26" s="8">
        <v>50200</v>
      </c>
    </row>
    <row r="27" spans="2:7" ht="18" customHeight="1" x14ac:dyDescent="0.25">
      <c r="B27" s="5" t="s">
        <v>192</v>
      </c>
      <c r="C27" s="58" t="s">
        <v>124</v>
      </c>
      <c r="D27" s="58" t="s">
        <v>124</v>
      </c>
      <c r="E27" s="58" t="s">
        <v>124</v>
      </c>
      <c r="F27" s="58" t="s">
        <v>124</v>
      </c>
      <c r="G27" s="54">
        <f>G25+G26</f>
        <v>198400</v>
      </c>
    </row>
    <row r="28" spans="2:7" ht="24" customHeight="1" x14ac:dyDescent="0.25">
      <c r="B28" s="26" t="s">
        <v>193</v>
      </c>
      <c r="C28" s="59" t="s">
        <v>124</v>
      </c>
      <c r="D28" s="59" t="s">
        <v>124</v>
      </c>
      <c r="E28" s="59" t="s">
        <v>124</v>
      </c>
      <c r="F28" s="59" t="s">
        <v>124</v>
      </c>
      <c r="G28" s="60">
        <f>G22-G27</f>
        <v>228276</v>
      </c>
    </row>
    <row r="29" spans="2:7" ht="18" customHeight="1" x14ac:dyDescent="0.25">
      <c r="B29" s="11" t="s">
        <v>194</v>
      </c>
      <c r="C29" s="55" t="s">
        <v>124</v>
      </c>
      <c r="D29" s="55" t="s">
        <v>124</v>
      </c>
      <c r="E29" s="55" t="s">
        <v>124</v>
      </c>
      <c r="F29" s="55" t="s">
        <v>124</v>
      </c>
      <c r="G29" s="55" t="s">
        <v>174</v>
      </c>
    </row>
  </sheetData>
  <mergeCells count="6">
    <mergeCell ref="B24:G24"/>
    <mergeCell ref="B2:G2"/>
    <mergeCell ref="B3:G3"/>
    <mergeCell ref="B6:G6"/>
    <mergeCell ref="B10:G10"/>
    <mergeCell ref="B17:G17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40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8.7109375" defaultRowHeight="15" x14ac:dyDescent="0.25"/>
  <cols>
    <col min="1" max="1" width="2" customWidth="1"/>
    <col min="2" max="2" width="32" customWidth="1"/>
    <col min="3" max="6" width="15" customWidth="1"/>
    <col min="7" max="7" width="14" customWidth="1"/>
    <col min="8" max="8" width="2" customWidth="1"/>
  </cols>
  <sheetData>
    <row r="1" spans="2:7" ht="4.5" customHeight="1" x14ac:dyDescent="0.25"/>
    <row r="2" spans="2:7" ht="36" customHeight="1" x14ac:dyDescent="0.25">
      <c r="B2" s="4" t="s">
        <v>195</v>
      </c>
      <c r="C2" s="4"/>
      <c r="D2" s="4"/>
      <c r="E2" s="4"/>
      <c r="F2" s="4"/>
      <c r="G2" s="4"/>
    </row>
    <row r="3" spans="2:7" ht="13.5" customHeight="1" x14ac:dyDescent="0.25">
      <c r="B3" s="3" t="s">
        <v>196</v>
      </c>
      <c r="C3" s="3"/>
      <c r="D3" s="3"/>
      <c r="E3" s="3"/>
      <c r="F3" s="3"/>
      <c r="G3" s="3"/>
    </row>
    <row r="4" spans="2:7" ht="4.5" customHeight="1" x14ac:dyDescent="0.25"/>
    <row r="5" spans="2:7" ht="19.5" customHeight="1" x14ac:dyDescent="0.25">
      <c r="B5" s="2" t="s">
        <v>197</v>
      </c>
      <c r="C5" s="2"/>
      <c r="D5" s="2"/>
      <c r="E5" s="2"/>
      <c r="F5" s="2"/>
      <c r="G5" s="2"/>
    </row>
    <row r="6" spans="2:7" ht="25.5" customHeight="1" x14ac:dyDescent="0.25">
      <c r="B6" s="6" t="s">
        <v>3</v>
      </c>
      <c r="C6" s="6" t="s">
        <v>198</v>
      </c>
      <c r="D6" s="6" t="s">
        <v>199</v>
      </c>
      <c r="E6" s="6" t="s">
        <v>200</v>
      </c>
      <c r="F6" s="6" t="s">
        <v>201</v>
      </c>
      <c r="G6" s="6" t="s">
        <v>202</v>
      </c>
    </row>
    <row r="7" spans="2:7" ht="18" customHeight="1" x14ac:dyDescent="0.25">
      <c r="B7" s="1" t="s">
        <v>10</v>
      </c>
      <c r="C7" s="1"/>
      <c r="D7" s="1"/>
      <c r="E7" s="1"/>
      <c r="F7" s="1"/>
      <c r="G7" s="1"/>
    </row>
    <row r="8" spans="2:7" ht="18" customHeight="1" x14ac:dyDescent="0.25">
      <c r="B8" s="7" t="s">
        <v>12</v>
      </c>
      <c r="C8" s="8">
        <v>49000</v>
      </c>
      <c r="D8" s="8">
        <v>47100</v>
      </c>
      <c r="E8" s="9">
        <f>D8-C8</f>
        <v>-1900</v>
      </c>
      <c r="F8" s="10">
        <f>IFERROR((D8-C8)/C8,0)</f>
        <v>-3.8775510204081633E-2</v>
      </c>
      <c r="G8" s="61" t="s">
        <v>203</v>
      </c>
    </row>
    <row r="9" spans="2:7" ht="18" customHeight="1" x14ac:dyDescent="0.25">
      <c r="B9" s="11" t="s">
        <v>204</v>
      </c>
      <c r="C9" s="12">
        <v>5950</v>
      </c>
      <c r="D9" s="12">
        <v>5840</v>
      </c>
      <c r="E9" s="13">
        <f>D9-C9</f>
        <v>-110</v>
      </c>
      <c r="F9" s="14">
        <f>IFERROR((D9-C9)/C9,0)</f>
        <v>-1.8487394957983194E-2</v>
      </c>
      <c r="G9" s="61" t="s">
        <v>203</v>
      </c>
    </row>
    <row r="10" spans="2:7" ht="18" customHeight="1" x14ac:dyDescent="0.25">
      <c r="B10" s="7" t="s">
        <v>205</v>
      </c>
      <c r="C10" s="8">
        <v>18200</v>
      </c>
      <c r="D10" s="8">
        <v>18700</v>
      </c>
      <c r="E10" s="9">
        <f>D10-C10</f>
        <v>500</v>
      </c>
      <c r="F10" s="10">
        <f>IFERROR((D10-C10)/C10,0)</f>
        <v>2.7472527472527472E-2</v>
      </c>
      <c r="G10" s="61" t="s">
        <v>203</v>
      </c>
    </row>
    <row r="11" spans="2:7" ht="18" customHeight="1" x14ac:dyDescent="0.25">
      <c r="B11" s="1" t="s">
        <v>24</v>
      </c>
      <c r="C11" s="1"/>
      <c r="D11" s="1"/>
      <c r="E11" s="1"/>
      <c r="F11" s="1"/>
      <c r="G11" s="1"/>
    </row>
    <row r="12" spans="2:7" ht="18" customHeight="1" x14ac:dyDescent="0.25">
      <c r="B12" s="7" t="s">
        <v>26</v>
      </c>
      <c r="C12" s="8">
        <v>85750</v>
      </c>
      <c r="D12" s="8">
        <v>84950</v>
      </c>
      <c r="E12" s="9">
        <f>D12-C12</f>
        <v>-800</v>
      </c>
      <c r="F12" s="10">
        <f>IFERROR((D12-C12)/C12,0)</f>
        <v>-9.3294460641399415E-3</v>
      </c>
      <c r="G12" s="61" t="s">
        <v>203</v>
      </c>
    </row>
    <row r="13" spans="2:7" ht="18" customHeight="1" x14ac:dyDescent="0.25">
      <c r="B13" s="11" t="s">
        <v>206</v>
      </c>
      <c r="C13" s="12">
        <v>18750</v>
      </c>
      <c r="D13" s="12">
        <v>18650</v>
      </c>
      <c r="E13" s="13">
        <f>D13-C13</f>
        <v>-100</v>
      </c>
      <c r="F13" s="14">
        <f>IFERROR((D13-C13)/C13,0)</f>
        <v>-5.3333333333333332E-3</v>
      </c>
      <c r="G13" s="61" t="s">
        <v>203</v>
      </c>
    </row>
    <row r="14" spans="2:7" ht="18" customHeight="1" x14ac:dyDescent="0.25">
      <c r="B14" s="7" t="s">
        <v>33</v>
      </c>
      <c r="C14" s="8">
        <v>7000</v>
      </c>
      <c r="D14" s="8">
        <v>7800</v>
      </c>
      <c r="E14" s="9">
        <f>D14-C14</f>
        <v>800</v>
      </c>
      <c r="F14" s="10">
        <f>IFERROR((D14-C14)/C14,0)</f>
        <v>0.11428571428571428</v>
      </c>
      <c r="G14" s="62" t="s">
        <v>207</v>
      </c>
    </row>
    <row r="15" spans="2:7" ht="18" customHeight="1" x14ac:dyDescent="0.25">
      <c r="B15" s="1" t="s">
        <v>108</v>
      </c>
      <c r="C15" s="1"/>
      <c r="D15" s="1"/>
      <c r="E15" s="1"/>
      <c r="F15" s="1"/>
      <c r="G15" s="1"/>
    </row>
    <row r="16" spans="2:7" ht="18" customHeight="1" x14ac:dyDescent="0.25">
      <c r="B16" s="7" t="s">
        <v>39</v>
      </c>
      <c r="C16" s="8">
        <v>9600</v>
      </c>
      <c r="D16" s="8">
        <v>9600</v>
      </c>
      <c r="E16" s="9">
        <f>D16-C16</f>
        <v>0</v>
      </c>
      <c r="F16" s="10">
        <f>IFERROR((D16-C16)/C16,0)</f>
        <v>0</v>
      </c>
      <c r="G16" s="61" t="s">
        <v>203</v>
      </c>
    </row>
    <row r="17" spans="2:7" ht="18" customHeight="1" x14ac:dyDescent="0.25">
      <c r="B17" s="11" t="s">
        <v>208</v>
      </c>
      <c r="C17" s="12">
        <v>4500</v>
      </c>
      <c r="D17" s="12">
        <v>4500</v>
      </c>
      <c r="E17" s="13">
        <f>D17-C17</f>
        <v>0</v>
      </c>
      <c r="F17" s="14">
        <f>IFERROR((D17-C17)/C17,0)</f>
        <v>0</v>
      </c>
      <c r="G17" s="61" t="s">
        <v>203</v>
      </c>
    </row>
    <row r="18" spans="2:7" ht="18" customHeight="1" x14ac:dyDescent="0.25">
      <c r="B18" s="1" t="s">
        <v>48</v>
      </c>
      <c r="C18" s="1"/>
      <c r="D18" s="1"/>
      <c r="E18" s="1"/>
      <c r="F18" s="1"/>
      <c r="G18" s="1"/>
    </row>
    <row r="19" spans="2:7" ht="18" customHeight="1" x14ac:dyDescent="0.25">
      <c r="B19" s="11" t="s">
        <v>50</v>
      </c>
      <c r="C19" s="12">
        <v>13000</v>
      </c>
      <c r="D19" s="12">
        <v>13000</v>
      </c>
      <c r="E19" s="13">
        <f>D19-C19</f>
        <v>0</v>
      </c>
      <c r="F19" s="14">
        <f>IFERROR((D19-C19)/C19,0)</f>
        <v>0</v>
      </c>
      <c r="G19" s="61" t="s">
        <v>203</v>
      </c>
    </row>
    <row r="20" spans="2:7" ht="18" customHeight="1" x14ac:dyDescent="0.25">
      <c r="B20" s="7" t="s">
        <v>110</v>
      </c>
      <c r="C20" s="8">
        <v>6000</v>
      </c>
      <c r="D20" s="8">
        <v>6600</v>
      </c>
      <c r="E20" s="9">
        <f>D20-C20</f>
        <v>600</v>
      </c>
      <c r="F20" s="10">
        <f>IFERROR((D20-C20)/C20,0)</f>
        <v>0.1</v>
      </c>
      <c r="G20" s="62" t="s">
        <v>207</v>
      </c>
    </row>
    <row r="21" spans="2:7" ht="18" customHeight="1" x14ac:dyDescent="0.25">
      <c r="B21" s="11" t="s">
        <v>209</v>
      </c>
      <c r="C21" s="12">
        <v>4000</v>
      </c>
      <c r="D21" s="12">
        <v>3800</v>
      </c>
      <c r="E21" s="13">
        <f>D21-C21</f>
        <v>-200</v>
      </c>
      <c r="F21" s="14">
        <f>IFERROR((D21-C21)/C21,0)</f>
        <v>-0.05</v>
      </c>
      <c r="G21" s="63" t="s">
        <v>210</v>
      </c>
    </row>
    <row r="22" spans="2:7" ht="18" customHeight="1" x14ac:dyDescent="0.25">
      <c r="B22" s="1" t="s">
        <v>57</v>
      </c>
      <c r="C22" s="1"/>
      <c r="D22" s="1"/>
      <c r="E22" s="1"/>
      <c r="F22" s="1"/>
      <c r="G22" s="1"/>
    </row>
    <row r="23" spans="2:7" ht="18" customHeight="1" x14ac:dyDescent="0.25">
      <c r="B23" s="11" t="s">
        <v>59</v>
      </c>
      <c r="C23" s="12">
        <v>8000</v>
      </c>
      <c r="D23" s="12">
        <v>7300</v>
      </c>
      <c r="E23" s="13">
        <f>D23-C23</f>
        <v>-700</v>
      </c>
      <c r="F23" s="14">
        <f>IFERROR((D23-C23)/C23,0)</f>
        <v>-8.7499999999999994E-2</v>
      </c>
      <c r="G23" s="63" t="s">
        <v>210</v>
      </c>
    </row>
    <row r="24" spans="2:7" ht="18" customHeight="1" x14ac:dyDescent="0.25">
      <c r="B24" s="7" t="s">
        <v>112</v>
      </c>
      <c r="C24" s="8">
        <v>4875</v>
      </c>
      <c r="D24" s="8">
        <v>5200</v>
      </c>
      <c r="E24" s="9">
        <f>D24-C24</f>
        <v>325</v>
      </c>
      <c r="F24" s="10">
        <f>IFERROR((D24-C24)/C24,0)</f>
        <v>6.6666666666666666E-2</v>
      </c>
      <c r="G24" s="64" t="s">
        <v>211</v>
      </c>
    </row>
    <row r="25" spans="2:7" ht="18" customHeight="1" x14ac:dyDescent="0.25">
      <c r="B25" s="11" t="s">
        <v>212</v>
      </c>
      <c r="C25" s="12">
        <v>7250</v>
      </c>
      <c r="D25" s="12">
        <v>7375</v>
      </c>
      <c r="E25" s="13">
        <f>D25-C25</f>
        <v>125</v>
      </c>
      <c r="F25" s="14">
        <f>IFERROR((D25-C25)/C25,0)</f>
        <v>1.7241379310344827E-2</v>
      </c>
      <c r="G25" s="61" t="s">
        <v>203</v>
      </c>
    </row>
    <row r="26" spans="2:7" ht="18" customHeight="1" x14ac:dyDescent="0.25">
      <c r="B26" s="1" t="s">
        <v>66</v>
      </c>
      <c r="C26" s="1"/>
      <c r="D26" s="1"/>
      <c r="E26" s="1"/>
      <c r="F26" s="1"/>
      <c r="G26" s="1"/>
    </row>
    <row r="27" spans="2:7" ht="18" customHeight="1" x14ac:dyDescent="0.25">
      <c r="B27" s="11" t="s">
        <v>70</v>
      </c>
      <c r="C27" s="12">
        <v>3900</v>
      </c>
      <c r="D27" s="12">
        <v>3850</v>
      </c>
      <c r="E27" s="13">
        <f>D27-C27</f>
        <v>-50</v>
      </c>
      <c r="F27" s="14">
        <f>IFERROR((D27-C27)/C27,0)</f>
        <v>-1.282051282051282E-2</v>
      </c>
      <c r="G27" s="61" t="s">
        <v>203</v>
      </c>
    </row>
    <row r="28" spans="2:7" ht="18" customHeight="1" x14ac:dyDescent="0.25">
      <c r="B28" s="7" t="s">
        <v>74</v>
      </c>
      <c r="C28" s="8">
        <v>3250</v>
      </c>
      <c r="D28" s="8">
        <v>2800</v>
      </c>
      <c r="E28" s="9">
        <f>D28-C28</f>
        <v>-450</v>
      </c>
      <c r="F28" s="10">
        <f>IFERROR((D28-C28)/C28,0)</f>
        <v>-0.13846153846153847</v>
      </c>
      <c r="G28" s="63" t="s">
        <v>210</v>
      </c>
    </row>
    <row r="29" spans="2:7" ht="18" customHeight="1" x14ac:dyDescent="0.25">
      <c r="B29" s="11" t="s">
        <v>213</v>
      </c>
      <c r="C29" s="12">
        <v>3150</v>
      </c>
      <c r="D29" s="12">
        <v>3150</v>
      </c>
      <c r="E29" s="13">
        <f>D29-C29</f>
        <v>0</v>
      </c>
      <c r="F29" s="14">
        <f>IFERROR((D29-C29)/C29,0)</f>
        <v>0</v>
      </c>
      <c r="G29" s="61" t="s">
        <v>203</v>
      </c>
    </row>
    <row r="30" spans="2:7" ht="24" customHeight="1" x14ac:dyDescent="0.25">
      <c r="B30" s="26" t="s">
        <v>214</v>
      </c>
      <c r="C30" s="27">
        <f>C8+C9+C10+C12+C13+C14+C16+C17+C19+C20+C21+C23+C24+C25+C27+C28+C29</f>
        <v>252175</v>
      </c>
      <c r="D30" s="27">
        <f>D8+D9+D10+D12+D13+D14+D16+D17+D19+D20+D21+D23+D24+D25+D27+D28+D29</f>
        <v>250215</v>
      </c>
      <c r="E30" s="27">
        <f>D30-C30</f>
        <v>-1960</v>
      </c>
      <c r="F30" s="65">
        <f>IFERROR((D30-C30)/C30,0)</f>
        <v>-7.7723802914642613E-3</v>
      </c>
      <c r="G30" s="19"/>
    </row>
    <row r="32" spans="2:7" ht="19.5" customHeight="1" x14ac:dyDescent="0.25">
      <c r="B32" s="2" t="s">
        <v>215</v>
      </c>
      <c r="C32" s="2"/>
      <c r="D32" s="2"/>
      <c r="E32" s="2"/>
      <c r="F32" s="2"/>
      <c r="G32" s="2"/>
    </row>
    <row r="33" spans="2:7" ht="25.5" customHeight="1" x14ac:dyDescent="0.25">
      <c r="B33" s="6" t="s">
        <v>4</v>
      </c>
      <c r="C33" s="6" t="s">
        <v>199</v>
      </c>
      <c r="D33" s="6" t="s">
        <v>216</v>
      </c>
      <c r="E33" s="6" t="s">
        <v>6</v>
      </c>
      <c r="F33" s="6" t="s">
        <v>217</v>
      </c>
      <c r="G33" s="6" t="s">
        <v>218</v>
      </c>
    </row>
    <row r="34" spans="2:7" ht="18" customHeight="1" x14ac:dyDescent="0.25">
      <c r="B34" s="66" t="s">
        <v>219</v>
      </c>
      <c r="C34" s="9">
        <f>D8+D9+D10</f>
        <v>71640</v>
      </c>
      <c r="D34" s="67">
        <f t="shared" ref="D34:D39" si="0">C34*4</f>
        <v>286560</v>
      </c>
      <c r="E34" s="8">
        <v>291200</v>
      </c>
      <c r="F34" s="9">
        <f t="shared" ref="F34:F39" si="1">D34-E34</f>
        <v>-4640</v>
      </c>
      <c r="G34" s="10">
        <f t="shared" ref="G34:G39" si="2">IFERROR((D34-E34)/E34,0)</f>
        <v>-1.5934065934065933E-2</v>
      </c>
    </row>
    <row r="35" spans="2:7" ht="18" customHeight="1" x14ac:dyDescent="0.25">
      <c r="B35" s="68" t="s">
        <v>220</v>
      </c>
      <c r="C35" s="13">
        <f>D12+D13+D14</f>
        <v>111400</v>
      </c>
      <c r="D35" s="69">
        <f t="shared" si="0"/>
        <v>445600</v>
      </c>
      <c r="E35" s="12">
        <v>416500</v>
      </c>
      <c r="F35" s="13">
        <f t="shared" si="1"/>
        <v>29100</v>
      </c>
      <c r="G35" s="14">
        <f t="shared" si="2"/>
        <v>6.9867947178871542E-2</v>
      </c>
    </row>
    <row r="36" spans="2:7" ht="18" customHeight="1" x14ac:dyDescent="0.25">
      <c r="B36" s="66" t="s">
        <v>221</v>
      </c>
      <c r="C36" s="9">
        <f>D16+D17</f>
        <v>14100</v>
      </c>
      <c r="D36" s="67">
        <f t="shared" si="0"/>
        <v>56400</v>
      </c>
      <c r="E36" s="8">
        <v>57900</v>
      </c>
      <c r="F36" s="9">
        <f t="shared" si="1"/>
        <v>-1500</v>
      </c>
      <c r="G36" s="10">
        <f t="shared" si="2"/>
        <v>-2.5906735751295335E-2</v>
      </c>
    </row>
    <row r="37" spans="2:7" ht="18" customHeight="1" x14ac:dyDescent="0.25">
      <c r="B37" s="68" t="s">
        <v>222</v>
      </c>
      <c r="C37" s="13">
        <f>D19+D20+D21</f>
        <v>23400</v>
      </c>
      <c r="D37" s="69">
        <f t="shared" si="0"/>
        <v>93600</v>
      </c>
      <c r="E37" s="12">
        <v>102400</v>
      </c>
      <c r="F37" s="13">
        <f t="shared" si="1"/>
        <v>-8800</v>
      </c>
      <c r="G37" s="14">
        <f t="shared" si="2"/>
        <v>-8.59375E-2</v>
      </c>
    </row>
    <row r="38" spans="2:7" ht="18" customHeight="1" x14ac:dyDescent="0.25">
      <c r="B38" s="66" t="s">
        <v>223</v>
      </c>
      <c r="C38" s="9">
        <f>D23+D24+D25</f>
        <v>19875</v>
      </c>
      <c r="D38" s="67">
        <f t="shared" si="0"/>
        <v>79500</v>
      </c>
      <c r="E38" s="8">
        <v>143250</v>
      </c>
      <c r="F38" s="9">
        <f t="shared" si="1"/>
        <v>-63750</v>
      </c>
      <c r="G38" s="10">
        <f t="shared" si="2"/>
        <v>-0.44502617801047123</v>
      </c>
    </row>
    <row r="39" spans="2:7" ht="18" customHeight="1" x14ac:dyDescent="0.25">
      <c r="B39" s="68" t="s">
        <v>224</v>
      </c>
      <c r="C39" s="13">
        <f>D27+D28+D29</f>
        <v>9800</v>
      </c>
      <c r="D39" s="69">
        <f t="shared" si="0"/>
        <v>39200</v>
      </c>
      <c r="E39" s="12">
        <v>81450</v>
      </c>
      <c r="F39" s="13">
        <f t="shared" si="1"/>
        <v>-42250</v>
      </c>
      <c r="G39" s="14">
        <f t="shared" si="2"/>
        <v>-0.51872314303253531</v>
      </c>
    </row>
    <row r="40" spans="2:7" ht="24" customHeight="1" x14ac:dyDescent="0.25">
      <c r="B40" s="32" t="s">
        <v>225</v>
      </c>
      <c r="C40" s="70">
        <f>C34+C35+C36+C37+C38+C39</f>
        <v>250215</v>
      </c>
      <c r="D40" s="70">
        <f>D34+D35+D36+D37+D38+D39</f>
        <v>1000860</v>
      </c>
      <c r="E40" s="70">
        <f>E34+E35+E36+E37+E38+E39</f>
        <v>1092700</v>
      </c>
      <c r="F40" s="70">
        <f>F34+F35+F36+F37+F38+F39</f>
        <v>-91840</v>
      </c>
      <c r="G40" s="34">
        <f>G34+G35+G36+G37+G38+G39</f>
        <v>-1.0216596755494962</v>
      </c>
    </row>
  </sheetData>
  <mergeCells count="10">
    <mergeCell ref="B15:G15"/>
    <mergeCell ref="B18:G18"/>
    <mergeCell ref="B22:G22"/>
    <mergeCell ref="B26:G26"/>
    <mergeCell ref="B32:G32"/>
    <mergeCell ref="B2:G2"/>
    <mergeCell ref="B3:G3"/>
    <mergeCell ref="B5:G5"/>
    <mergeCell ref="B7:G7"/>
    <mergeCell ref="B11:G1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Kostenartenrechnung</vt:lpstr>
      <vt:lpstr>BAB</vt:lpstr>
      <vt:lpstr>Kostenträgerrechnung</vt:lpstr>
      <vt:lpstr>Deckungsbeitragsrechnung</vt:lpstr>
      <vt:lpstr>Plan-Ist-Vergleich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2026-06-16T16:37:18Z</dcterms:created>
  <dcterms:modified xsi:type="dcterms:W3CDTF">2026-06-17T06:14:06Z</dcterms:modified>
  <dc:language>en-US</dc:language>
</cp:coreProperties>
</file>