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D7EEBD1-2AA8-4419-B90D-955B6F928C5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assenbuch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0" i="1" l="1"/>
  <c r="C50" i="1"/>
  <c r="D50" i="1" s="1"/>
  <c r="E49" i="1"/>
  <c r="C49" i="1"/>
  <c r="D49" i="1" s="1"/>
  <c r="E48" i="1"/>
  <c r="E51" i="1" s="1"/>
  <c r="C48" i="1"/>
  <c r="C51" i="1" s="1"/>
  <c r="H44" i="1"/>
  <c r="K48" i="1" s="1"/>
  <c r="G44" i="1"/>
  <c r="K49" i="1" s="1"/>
  <c r="I43" i="1"/>
  <c r="J43" i="1" s="1"/>
  <c r="A43" i="1"/>
  <c r="I42" i="1"/>
  <c r="J42" i="1" s="1"/>
  <c r="A42" i="1"/>
  <c r="I41" i="1"/>
  <c r="J41" i="1" s="1"/>
  <c r="A41" i="1"/>
  <c r="I40" i="1"/>
  <c r="J40" i="1" s="1"/>
  <c r="A40" i="1"/>
  <c r="I39" i="1"/>
  <c r="J39" i="1" s="1"/>
  <c r="A39" i="1"/>
  <c r="I38" i="1"/>
  <c r="J38" i="1" s="1"/>
  <c r="A38" i="1"/>
  <c r="I37" i="1"/>
  <c r="J37" i="1" s="1"/>
  <c r="A37" i="1"/>
  <c r="I36" i="1"/>
  <c r="J36" i="1" s="1"/>
  <c r="A36" i="1"/>
  <c r="I35" i="1"/>
  <c r="J35" i="1" s="1"/>
  <c r="A35" i="1"/>
  <c r="I34" i="1"/>
  <c r="J34" i="1" s="1"/>
  <c r="A34" i="1"/>
  <c r="I33" i="1"/>
  <c r="J33" i="1" s="1"/>
  <c r="A33" i="1"/>
  <c r="I32" i="1"/>
  <c r="J32" i="1" s="1"/>
  <c r="A32" i="1"/>
  <c r="I31" i="1"/>
  <c r="J31" i="1" s="1"/>
  <c r="A31" i="1"/>
  <c r="I30" i="1"/>
  <c r="J30" i="1" s="1"/>
  <c r="A30" i="1"/>
  <c r="I29" i="1"/>
  <c r="J29" i="1" s="1"/>
  <c r="A29" i="1"/>
  <c r="I28" i="1"/>
  <c r="J28" i="1" s="1"/>
  <c r="A28" i="1"/>
  <c r="I27" i="1"/>
  <c r="J27" i="1" s="1"/>
  <c r="A27" i="1"/>
  <c r="I26" i="1"/>
  <c r="J26" i="1" s="1"/>
  <c r="A26" i="1"/>
  <c r="I25" i="1"/>
  <c r="J25" i="1" s="1"/>
  <c r="A25" i="1"/>
  <c r="I24" i="1"/>
  <c r="J24" i="1" s="1"/>
  <c r="A24" i="1"/>
  <c r="I23" i="1"/>
  <c r="J23" i="1" s="1"/>
  <c r="A23" i="1"/>
  <c r="I22" i="1"/>
  <c r="J22" i="1" s="1"/>
  <c r="A22" i="1"/>
  <c r="I21" i="1"/>
  <c r="J21" i="1" s="1"/>
  <c r="A21" i="1"/>
  <c r="I20" i="1"/>
  <c r="J20" i="1" s="1"/>
  <c r="A20" i="1"/>
  <c r="I19" i="1"/>
  <c r="J19" i="1" s="1"/>
  <c r="A19" i="1"/>
  <c r="I18" i="1"/>
  <c r="J18" i="1" s="1"/>
  <c r="A18" i="1"/>
  <c r="I17" i="1"/>
  <c r="J17" i="1" s="1"/>
  <c r="A17" i="1"/>
  <c r="I16" i="1"/>
  <c r="J16" i="1" s="1"/>
  <c r="A16" i="1"/>
  <c r="I15" i="1"/>
  <c r="J15" i="1" s="1"/>
  <c r="A15" i="1"/>
  <c r="I14" i="1"/>
  <c r="J14" i="1" s="1"/>
  <c r="A14" i="1"/>
  <c r="I13" i="1"/>
  <c r="J13" i="1" s="1"/>
  <c r="A13" i="1"/>
  <c r="K12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I12" i="1"/>
  <c r="J12" i="1" s="1"/>
  <c r="A12" i="1"/>
  <c r="K11" i="1"/>
  <c r="J44" i="1" l="1"/>
  <c r="K51" i="1"/>
  <c r="J7" i="1"/>
  <c r="J6" i="1"/>
  <c r="K44" i="1"/>
  <c r="I44" i="1"/>
  <c r="K47" i="1"/>
  <c r="D48" i="1"/>
  <c r="D51" i="1" s="1"/>
  <c r="K50" i="1" s="1"/>
  <c r="J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000-000002000000}">
      <text>
        <r>
          <rPr>
            <sz val="10"/>
            <rFont val="Arial"/>
            <family val="2"/>
          </rPr>
          <t>Eingabe: Kassenbestand zu Beginn des Monats (Übertrag aus dem Vormonat).</t>
        </r>
      </text>
    </comment>
    <comment ref="J7" authorId="0" shapeId="0" xr:uid="{00000000-0006-0000-0000-000003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  <comment ref="F10" authorId="0" shapeId="0" xr:uid="{00000000-0006-0000-0000-000001000000}">
      <text>
        <r>
          <rPr>
            <sz val="10"/>
            <rFont val="Arial"/>
            <family val="2"/>
          </rPr>
          <t>USt-Satz wählen: 19 %, 7 % oder 0 %. USt-Betrag und Netto werden automatisch berechnet.</t>
        </r>
      </text>
    </comment>
    <comment ref="K10" authorId="0" shapeId="0" xr:uid="{00000000-0006-0000-0000-000004000000}">
      <text>
        <r>
          <rPr>
            <sz val="10"/>
            <rFont val="Arial"/>
            <family val="2"/>
          </rPr>
          <t>Saldo = vorheriger Saldo + Einnahme − Ausgabe. Automatische Fortschreibung.</t>
        </r>
      </text>
    </comment>
  </commentList>
</comments>
</file>

<file path=xl/sharedStrings.xml><?xml version="1.0" encoding="utf-8"?>
<sst xmlns="http://schemas.openxmlformats.org/spreadsheetml/2006/main" count="111" uniqueCount="84">
  <si>
    <t>Bargeldbuch für Gastronomiebetriebe – Bareinnahmen und Barausgaben</t>
  </si>
  <si>
    <t>BETRIEB &amp; ZEITRAUM</t>
  </si>
  <si>
    <t>KASSENBESTAND</t>
  </si>
  <si>
    <t>Betrieb / Firma</t>
  </si>
  <si>
    <t>Restaurant Lindenhof</t>
  </si>
  <si>
    <t>Anfangsbestand (Vortrag)</t>
  </si>
  <si>
    <t>Inhaber/in</t>
  </si>
  <si>
    <t>M. Vandenberg</t>
  </si>
  <si>
    <t>Endbestand (rechnerisch)</t>
  </si>
  <si>
    <t>Monat / Jahr</t>
  </si>
  <si>
    <t>März 2026</t>
  </si>
  <si>
    <t>Kassenbestand gezählt</t>
  </si>
  <si>
    <t>Blatt-Nr.</t>
  </si>
  <si>
    <t>1</t>
  </si>
  <si>
    <t>Differenz</t>
  </si>
  <si>
    <t>Nr.</t>
  </si>
  <si>
    <t>Datum</t>
  </si>
  <si>
    <t>Beleg-Nr.</t>
  </si>
  <si>
    <t>Buchungstext</t>
  </si>
  <si>
    <t>Kategorie</t>
  </si>
  <si>
    <t>USt-%</t>
  </si>
  <si>
    <t>Einnahme</t>
  </si>
  <si>
    <t>Ausgabe</t>
  </si>
  <si>
    <t>USt-Betrag</t>
  </si>
  <si>
    <t>Netto</t>
  </si>
  <si>
    <t>Saldo</t>
  </si>
  <si>
    <t>E-0301</t>
  </si>
  <si>
    <t>Tageslosung Bar (Getränke)</t>
  </si>
  <si>
    <t>Getränkeumsatz</t>
  </si>
  <si>
    <t>E-0302</t>
  </si>
  <si>
    <t>Tageslosung Küche (Speisen)</t>
  </si>
  <si>
    <t>Speisenumsatz</t>
  </si>
  <si>
    <t>A-0455</t>
  </si>
  <si>
    <t>Wareneinkauf Getränke Großhandel</t>
  </si>
  <si>
    <t>Wareneinkauf</t>
  </si>
  <si>
    <t>A-0456</t>
  </si>
  <si>
    <t>Frischwaren Markt</t>
  </si>
  <si>
    <t>E-0303</t>
  </si>
  <si>
    <t>Tageslosung gesamt</t>
  </si>
  <si>
    <t>A-0457</t>
  </si>
  <si>
    <t>Reinigungsmittel &amp; Bedarf</t>
  </si>
  <si>
    <t>Betriebsbedarf</t>
  </si>
  <si>
    <t>A-0458</t>
  </si>
  <si>
    <t>Trinkgeld-Auszahlung Personal</t>
  </si>
  <si>
    <t>Personal</t>
  </si>
  <si>
    <t>E-0304</t>
  </si>
  <si>
    <t>E-0305</t>
  </si>
  <si>
    <t>A-0459</t>
  </si>
  <si>
    <t>Bäckerei Lieferung</t>
  </si>
  <si>
    <t>A-0460</t>
  </si>
  <si>
    <t>Blumen &amp; Dekoration</t>
  </si>
  <si>
    <t>E-0306</t>
  </si>
  <si>
    <t>A-0461</t>
  </si>
  <si>
    <t>Geräteservice Kaffeemaschine</t>
  </si>
  <si>
    <t>Reparatur/Wartung</t>
  </si>
  <si>
    <t>E-0307</t>
  </si>
  <si>
    <t>A-0462</t>
  </si>
  <si>
    <t>Privatentnahme</t>
  </si>
  <si>
    <t>A-0463</t>
  </si>
  <si>
    <t>E-0308</t>
  </si>
  <si>
    <t>A-0464</t>
  </si>
  <si>
    <t>E-0309</t>
  </si>
  <si>
    <t>A-0465</t>
  </si>
  <si>
    <t>Bankeinzahlung (Tagesüberschuss)</t>
  </si>
  <si>
    <t>Geldtransit</t>
  </si>
  <si>
    <t>E-0310</t>
  </si>
  <si>
    <t>A-0466</t>
  </si>
  <si>
    <t>Bürobedarf &amp; Belege</t>
  </si>
  <si>
    <t>SUMMEN / MONAT</t>
  </si>
  <si>
    <t>UMSATZSTEUER-AUFSCHLÜSSELUNG</t>
  </si>
  <si>
    <t>AUSWERTUNG</t>
  </si>
  <si>
    <t>USt-Satz</t>
  </si>
  <si>
    <t>Brutto Einnahmen</t>
  </si>
  <si>
    <t>Bareinnahmen gesamt</t>
  </si>
  <si>
    <t>19 %</t>
  </si>
  <si>
    <t>Barausgaben gesamt</t>
  </si>
  <si>
    <t>7 %</t>
  </si>
  <si>
    <t>Saldo Einnahmen − Ausgaben</t>
  </si>
  <si>
    <t>0 % / steuerfrei</t>
  </si>
  <si>
    <t>Vereinnahmte USt gesamt</t>
  </si>
  <si>
    <t>Summe</t>
  </si>
  <si>
    <t>Endbestand Kasse</t>
  </si>
  <si>
    <t>Hinweis: Eintragungen täglich und chronologisch erfassen. Kassenbuch am Tagesende ausdrucken, unterschreiben und mit den Belegen geordnet aufbewahren. Gelb hinterlegte Felder sind Eingabefelder; alle übrigen Werte werden automatisch berechnet.</t>
  </si>
  <si>
    <t>KASSENBUCH GASTRONOMIE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</si>
</sst>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dd\.mm\.yyyy"/>
  </numFmts>
  <fonts count="12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sz val="11"/>
      <color rgb="FFFFFFFF"/>
      <name val="Calibri"/>
      <charset val="1"/>
    </font>
    <font>
      <b/>
      <sz val="11"/>
      <color rgb="FF7A2E2E"/>
      <name val="Calibri"/>
      <charset val="1"/>
    </font>
    <font>
      <b/>
      <sz val="11"/>
      <color rgb="FF3A2018"/>
      <name val="Calibri"/>
      <charset val="1"/>
    </font>
    <font>
      <b/>
      <sz val="11"/>
      <color rgb="FFFFFFFF"/>
      <name val="Calibri"/>
      <charset val="1"/>
    </font>
    <font>
      <sz val="11"/>
      <color rgb="FF3A2018"/>
      <name val="Calibri"/>
      <charset val="1"/>
    </font>
    <font>
      <b/>
      <i/>
      <sz val="11"/>
      <color rgb="FF3A2018"/>
      <name val="Calibri"/>
      <charset val="1"/>
    </font>
    <font>
      <sz val="10"/>
      <color rgb="FF8A7B6C"/>
      <name val="Calibri"/>
      <charset val="1"/>
    </font>
    <font>
      <sz val="11"/>
      <color rgb="FF000000"/>
      <name val="Calibri"/>
      <charset val="1"/>
    </font>
    <font>
      <sz val="9"/>
      <color rgb="FF8A7B6C"/>
      <name val="Calibri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A2E2E"/>
        <bgColor rgb="FF5C2020"/>
      </patternFill>
    </fill>
    <fill>
      <patternFill patternType="solid">
        <fgColor rgb="FF5C2020"/>
        <bgColor rgb="FF3A2018"/>
      </patternFill>
    </fill>
    <fill>
      <patternFill patternType="solid">
        <fgColor rgb="FFF3EADD"/>
        <bgColor rgb="FFF6E2E2"/>
      </patternFill>
    </fill>
    <fill>
      <patternFill patternType="solid">
        <fgColor rgb="FFFBF6EE"/>
        <bgColor rgb="FFFAF4EA"/>
      </patternFill>
    </fill>
    <fill>
      <patternFill patternType="solid">
        <fgColor rgb="FFFFF7DA"/>
        <bgColor rgb="FFFAF4EA"/>
      </patternFill>
    </fill>
    <fill>
      <patternFill patternType="solid">
        <fgColor rgb="FFFFFFFF"/>
        <bgColor rgb="FFFBF6EE"/>
      </patternFill>
    </fill>
    <fill>
      <patternFill patternType="solid">
        <fgColor rgb="FFB8893B"/>
        <bgColor rgb="FF8A7B6C"/>
      </patternFill>
    </fill>
    <fill>
      <patternFill patternType="solid">
        <fgColor rgb="FFFAF4EA"/>
        <bgColor rgb="FFFBF6EE"/>
      </patternFill>
    </fill>
  </fills>
  <borders count="3">
    <border>
      <left/>
      <right/>
      <top/>
      <bottom/>
      <diagonal/>
    </border>
    <border>
      <left style="thin">
        <color rgb="FFDDD2C2"/>
      </left>
      <right/>
      <top style="thin">
        <color rgb="FFDDD2C2"/>
      </top>
      <bottom style="thin">
        <color rgb="FFDDD2C2"/>
      </bottom>
      <diagonal/>
    </border>
    <border>
      <left style="thin">
        <color rgb="FFDDD2C2"/>
      </left>
      <right style="thin">
        <color rgb="FFDDD2C2"/>
      </right>
      <top style="thin">
        <color rgb="FFDDD2C2"/>
      </top>
      <bottom style="thin">
        <color rgb="FFDDD2C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0" fillId="9" borderId="0" xfId="0" applyFont="1" applyFill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164" fontId="4" fillId="5" borderId="2" xfId="0" applyNumberFormat="1" applyFont="1" applyFill="1" applyBorder="1" applyAlignment="1">
      <alignment horizontal="right" vertical="center"/>
    </xf>
    <xf numFmtId="164" fontId="4" fillId="6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64" fontId="4" fillId="5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164" fontId="6" fillId="4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center" vertical="center"/>
    </xf>
    <xf numFmtId="165" fontId="6" fillId="7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9" fontId="6" fillId="7" borderId="2" xfId="0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right" vertical="center"/>
    </xf>
    <xf numFmtId="164" fontId="9" fillId="7" borderId="2" xfId="0" applyNumberFormat="1" applyFont="1" applyFill="1" applyBorder="1" applyAlignment="1">
      <alignment horizontal="right" vertical="center"/>
    </xf>
    <xf numFmtId="164" fontId="4" fillId="7" borderId="2" xfId="0" applyNumberFormat="1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9" fontId="6" fillId="5" borderId="2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right" vertical="center"/>
    </xf>
    <xf numFmtId="164" fontId="9" fillId="5" borderId="2" xfId="0" applyNumberFormat="1" applyFont="1" applyFill="1" applyBorder="1" applyAlignment="1">
      <alignment horizontal="right" vertical="center"/>
    </xf>
    <xf numFmtId="164" fontId="5" fillId="8" borderId="2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3">
    <dxf>
      <font>
        <b/>
        <color rgb="FFB0202E"/>
        <name val="Calibri"/>
        <charset val="1"/>
      </font>
      <fill>
        <patternFill>
          <bgColor rgb="FFF6E2E2"/>
        </patternFill>
      </fill>
    </dxf>
    <dxf>
      <font>
        <b/>
        <color rgb="FFB0202E"/>
        <name val="Calibri"/>
        <charset val="1"/>
      </font>
      <fill>
        <patternFill>
          <bgColor rgb="FFF6E2E2"/>
        </patternFill>
      </fill>
    </dxf>
    <dxf>
      <font>
        <b/>
        <color rgb="FF1E7B34"/>
        <name val="Calibri"/>
        <charset val="1"/>
      </font>
      <fill>
        <patternFill>
          <bgColor rgb="FFE5F1E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7B34"/>
      <rgbColor rgb="FF000080"/>
      <rgbColor rgb="FF808000"/>
      <rgbColor rgb="FF800080"/>
      <rgbColor rgb="FF008080"/>
      <rgbColor rgb="FFDDD2C2"/>
      <rgbColor rgb="FF8A7B6C"/>
      <rgbColor rgb="FF9999FF"/>
      <rgbColor rgb="FFB0202E"/>
      <rgbColor rgb="FFFFF7DA"/>
      <rgbColor rgb="FFFBF6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4EA"/>
      <rgbColor rgb="FFE5F1E4"/>
      <rgbColor rgb="FFF3EADD"/>
      <rgbColor rgb="FF99CCFF"/>
      <rgbColor rgb="FFFF99CC"/>
      <rgbColor rgb="FFCC99FF"/>
      <rgbColor rgb="FFF6E2E2"/>
      <rgbColor rgb="FF3366FF"/>
      <rgbColor rgb="FF33CCCC"/>
      <rgbColor rgb="FF99CC00"/>
      <rgbColor rgb="FFFFCC00"/>
      <rgbColor rgb="FFFF9900"/>
      <rgbColor rgb="FFFF6600"/>
      <rgbColor rgb="FF666699"/>
      <rgbColor rgb="FFB8893B"/>
      <rgbColor rgb="FF003366"/>
      <rgbColor rgb="FF339966"/>
      <rgbColor rgb="FF003300"/>
      <rgbColor rgb="FF3A2018"/>
      <rgbColor rgb="FF7A2E2E"/>
      <rgbColor rgb="FF993366"/>
      <rgbColor rgb="FF333399"/>
      <rgbColor rgb="FF5C20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GridLines="0" tabSelected="1" zoomScaleNormal="100" workbookViewId="0">
      <pane ySplit="10" topLeftCell="A11" activePane="bottomLeft" state="frozen"/>
      <selection pane="bottomLeft" activeCell="A2" sqref="A2:K2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20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6" customHeight="1" x14ac:dyDescent="0.25">
      <c r="A1" s="13" t="s">
        <v>83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.75" customHeigh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1" x14ac:dyDescent="0.25">
      <c r="A4" s="11" t="s">
        <v>1</v>
      </c>
      <c r="B4" s="11"/>
      <c r="C4" s="11"/>
      <c r="D4" s="11"/>
      <c r="E4" s="11"/>
      <c r="G4" s="11" t="s">
        <v>2</v>
      </c>
      <c r="H4" s="11"/>
      <c r="I4" s="11"/>
      <c r="J4" s="11"/>
      <c r="K4" s="11"/>
    </row>
    <row r="5" spans="1:11" x14ac:dyDescent="0.25">
      <c r="A5" s="10" t="s">
        <v>3</v>
      </c>
      <c r="B5" s="10"/>
      <c r="C5" s="9" t="s">
        <v>4</v>
      </c>
      <c r="D5" s="9"/>
      <c r="E5" s="9"/>
      <c r="G5" s="10" t="s">
        <v>5</v>
      </c>
      <c r="H5" s="10"/>
      <c r="I5" s="10"/>
      <c r="J5" s="8">
        <v>850</v>
      </c>
      <c r="K5" s="8"/>
    </row>
    <row r="6" spans="1:11" x14ac:dyDescent="0.25">
      <c r="A6" s="10" t="s">
        <v>6</v>
      </c>
      <c r="B6" s="10"/>
      <c r="C6" s="9" t="s">
        <v>7</v>
      </c>
      <c r="D6" s="9"/>
      <c r="E6" s="9"/>
      <c r="G6" s="10" t="s">
        <v>8</v>
      </c>
      <c r="H6" s="10"/>
      <c r="I6" s="10"/>
      <c r="J6" s="7">
        <f>K43</f>
        <v>6929.6</v>
      </c>
      <c r="K6" s="7"/>
    </row>
    <row r="7" spans="1:11" x14ac:dyDescent="0.25">
      <c r="A7" s="10" t="s">
        <v>9</v>
      </c>
      <c r="B7" s="10"/>
      <c r="C7" s="9" t="s">
        <v>10</v>
      </c>
      <c r="D7" s="9"/>
      <c r="E7" s="9"/>
      <c r="G7" s="10" t="s">
        <v>11</v>
      </c>
      <c r="H7" s="10"/>
      <c r="I7" s="10"/>
      <c r="J7" s="8">
        <f>ROUND(K43,2)</f>
        <v>6929.6</v>
      </c>
      <c r="K7" s="8"/>
    </row>
    <row r="8" spans="1:11" x14ac:dyDescent="0.25">
      <c r="A8" s="10" t="s">
        <v>12</v>
      </c>
      <c r="B8" s="10"/>
      <c r="C8" s="9" t="s">
        <v>13</v>
      </c>
      <c r="D8" s="9"/>
      <c r="E8" s="9"/>
      <c r="G8" s="10" t="s">
        <v>14</v>
      </c>
      <c r="H8" s="10"/>
      <c r="I8" s="10"/>
      <c r="J8" s="7">
        <f>J7-J6</f>
        <v>0</v>
      </c>
      <c r="K8" s="7"/>
    </row>
    <row r="10" spans="1:11" ht="30" customHeight="1" x14ac:dyDescent="0.25">
      <c r="A10" s="15" t="s">
        <v>15</v>
      </c>
      <c r="B10" s="15" t="s">
        <v>16</v>
      </c>
      <c r="C10" s="15" t="s">
        <v>17</v>
      </c>
      <c r="D10" s="16" t="s">
        <v>18</v>
      </c>
      <c r="E10" s="16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</row>
    <row r="11" spans="1:11" x14ac:dyDescent="0.25">
      <c r="A11" s="17"/>
      <c r="B11" s="18">
        <v>46082</v>
      </c>
      <c r="C11" s="19"/>
      <c r="D11" s="20" t="s">
        <v>5</v>
      </c>
      <c r="E11" s="17"/>
      <c r="F11" s="19"/>
      <c r="G11" s="21"/>
      <c r="H11" s="21"/>
      <c r="I11" s="21"/>
      <c r="J11" s="21"/>
      <c r="K11" s="22">
        <f>$J$5</f>
        <v>850</v>
      </c>
    </row>
    <row r="12" spans="1:11" x14ac:dyDescent="0.25">
      <c r="A12" s="23">
        <f>IF(OR(G12&lt;&gt;"",H12&lt;&gt;""),COUNT($G$12:G12)+COUNT($H$12:H12),"")</f>
        <v>1</v>
      </c>
      <c r="B12" s="24">
        <v>46083</v>
      </c>
      <c r="C12" s="25" t="s">
        <v>26</v>
      </c>
      <c r="D12" s="26" t="s">
        <v>27</v>
      </c>
      <c r="E12" s="26" t="s">
        <v>28</v>
      </c>
      <c r="F12" s="27">
        <v>0.19</v>
      </c>
      <c r="G12" s="28">
        <v>1190</v>
      </c>
      <c r="H12" s="28"/>
      <c r="I12" s="29">
        <f t="shared" ref="I12:I43" si="0">IFERROR(ROUND((N(G12)+N(H12))*F12/(1+F12),2),0)</f>
        <v>190</v>
      </c>
      <c r="J12" s="29">
        <f t="shared" ref="J12:J43" si="1">IFERROR((N(G12)+N(H12))-I12,0)</f>
        <v>1000</v>
      </c>
      <c r="K12" s="30">
        <f t="shared" ref="K12:K33" si="2">K11+N(G12)-N(H12)</f>
        <v>2040</v>
      </c>
    </row>
    <row r="13" spans="1:11" x14ac:dyDescent="0.25">
      <c r="A13" s="31">
        <f>IF(OR(G13&lt;&gt;"",H13&lt;&gt;""),COUNT($G$12:G13)+COUNT($H$12:H13),"")</f>
        <v>2</v>
      </c>
      <c r="B13" s="32">
        <v>46083</v>
      </c>
      <c r="C13" s="33" t="s">
        <v>29</v>
      </c>
      <c r="D13" s="34" t="s">
        <v>30</v>
      </c>
      <c r="E13" s="34" t="s">
        <v>31</v>
      </c>
      <c r="F13" s="35">
        <v>7.0000000000000007E-2</v>
      </c>
      <c r="G13" s="36">
        <v>856</v>
      </c>
      <c r="H13" s="36"/>
      <c r="I13" s="37">
        <f t="shared" si="0"/>
        <v>56</v>
      </c>
      <c r="J13" s="37">
        <f t="shared" si="1"/>
        <v>800</v>
      </c>
      <c r="K13" s="14">
        <f t="shared" si="2"/>
        <v>2896</v>
      </c>
    </row>
    <row r="14" spans="1:11" x14ac:dyDescent="0.25">
      <c r="A14" s="23">
        <f>IF(OR(G14&lt;&gt;"",H14&lt;&gt;""),COUNT($G$12:G14)+COUNT($H$12:H14),"")</f>
        <v>3</v>
      </c>
      <c r="B14" s="24">
        <v>46083</v>
      </c>
      <c r="C14" s="25" t="s">
        <v>32</v>
      </c>
      <c r="D14" s="26" t="s">
        <v>33</v>
      </c>
      <c r="E14" s="26" t="s">
        <v>34</v>
      </c>
      <c r="F14" s="27">
        <v>0.19</v>
      </c>
      <c r="G14" s="28"/>
      <c r="H14" s="28">
        <v>357</v>
      </c>
      <c r="I14" s="29">
        <f t="shared" si="0"/>
        <v>57</v>
      </c>
      <c r="J14" s="29">
        <f t="shared" si="1"/>
        <v>300</v>
      </c>
      <c r="K14" s="30">
        <f t="shared" si="2"/>
        <v>2539</v>
      </c>
    </row>
    <row r="15" spans="1:11" x14ac:dyDescent="0.25">
      <c r="A15" s="31">
        <f>IF(OR(G15&lt;&gt;"",H15&lt;&gt;""),COUNT($G$12:G15)+COUNT($H$12:H15),"")</f>
        <v>4</v>
      </c>
      <c r="B15" s="32">
        <v>46084</v>
      </c>
      <c r="C15" s="33" t="s">
        <v>35</v>
      </c>
      <c r="D15" s="34" t="s">
        <v>36</v>
      </c>
      <c r="E15" s="34" t="s">
        <v>34</v>
      </c>
      <c r="F15" s="35">
        <v>7.0000000000000007E-2</v>
      </c>
      <c r="G15" s="36"/>
      <c r="H15" s="36">
        <v>214</v>
      </c>
      <c r="I15" s="37">
        <f t="shared" si="0"/>
        <v>14</v>
      </c>
      <c r="J15" s="37">
        <f t="shared" si="1"/>
        <v>200</v>
      </c>
      <c r="K15" s="14">
        <f t="shared" si="2"/>
        <v>2325</v>
      </c>
    </row>
    <row r="16" spans="1:11" x14ac:dyDescent="0.25">
      <c r="A16" s="23">
        <f>IF(OR(G16&lt;&gt;"",H16&lt;&gt;""),COUNT($G$12:G16)+COUNT($H$12:H16),"")</f>
        <v>5</v>
      </c>
      <c r="B16" s="24">
        <v>46085</v>
      </c>
      <c r="C16" s="25" t="s">
        <v>37</v>
      </c>
      <c r="D16" s="26" t="s">
        <v>38</v>
      </c>
      <c r="E16" s="26" t="s">
        <v>31</v>
      </c>
      <c r="F16" s="27">
        <v>7.0000000000000007E-2</v>
      </c>
      <c r="G16" s="28">
        <v>642</v>
      </c>
      <c r="H16" s="28"/>
      <c r="I16" s="29">
        <f t="shared" si="0"/>
        <v>42</v>
      </c>
      <c r="J16" s="29">
        <f t="shared" si="1"/>
        <v>600</v>
      </c>
      <c r="K16" s="30">
        <f t="shared" si="2"/>
        <v>2967</v>
      </c>
    </row>
    <row r="17" spans="1:11" x14ac:dyDescent="0.25">
      <c r="A17" s="31">
        <f>IF(OR(G17&lt;&gt;"",H17&lt;&gt;""),COUNT($G$12:G17)+COUNT($H$12:H17),"")</f>
        <v>6</v>
      </c>
      <c r="B17" s="32">
        <v>46086</v>
      </c>
      <c r="C17" s="33" t="s">
        <v>39</v>
      </c>
      <c r="D17" s="34" t="s">
        <v>40</v>
      </c>
      <c r="E17" s="34" t="s">
        <v>41</v>
      </c>
      <c r="F17" s="35">
        <v>0.19</v>
      </c>
      <c r="G17" s="36"/>
      <c r="H17" s="36">
        <v>68.5</v>
      </c>
      <c r="I17" s="37">
        <f t="shared" si="0"/>
        <v>10.94</v>
      </c>
      <c r="J17" s="37">
        <f t="shared" si="1"/>
        <v>57.56</v>
      </c>
      <c r="K17" s="14">
        <f t="shared" si="2"/>
        <v>2898.5</v>
      </c>
    </row>
    <row r="18" spans="1:11" x14ac:dyDescent="0.25">
      <c r="A18" s="23">
        <f>IF(OR(G18&lt;&gt;"",H18&lt;&gt;""),COUNT($G$12:G18)+COUNT($H$12:H18),"")</f>
        <v>7</v>
      </c>
      <c r="B18" s="24">
        <v>46087</v>
      </c>
      <c r="C18" s="25" t="s">
        <v>42</v>
      </c>
      <c r="D18" s="26" t="s">
        <v>43</v>
      </c>
      <c r="E18" s="26" t="s">
        <v>44</v>
      </c>
      <c r="F18" s="27">
        <v>0</v>
      </c>
      <c r="G18" s="28"/>
      <c r="H18" s="28">
        <v>120</v>
      </c>
      <c r="I18" s="29">
        <f t="shared" si="0"/>
        <v>0</v>
      </c>
      <c r="J18" s="29">
        <f t="shared" si="1"/>
        <v>120</v>
      </c>
      <c r="K18" s="30">
        <f t="shared" si="2"/>
        <v>2778.5</v>
      </c>
    </row>
    <row r="19" spans="1:11" x14ac:dyDescent="0.25">
      <c r="A19" s="31">
        <f>IF(OR(G19&lt;&gt;"",H19&lt;&gt;""),COUNT($G$12:G19)+COUNT($H$12:H19),"")</f>
        <v>8</v>
      </c>
      <c r="B19" s="32">
        <v>46088</v>
      </c>
      <c r="C19" s="33" t="s">
        <v>45</v>
      </c>
      <c r="D19" s="34" t="s">
        <v>27</v>
      </c>
      <c r="E19" s="34" t="s">
        <v>28</v>
      </c>
      <c r="F19" s="35">
        <v>0.19</v>
      </c>
      <c r="G19" s="36">
        <v>1340</v>
      </c>
      <c r="H19" s="36"/>
      <c r="I19" s="37">
        <f t="shared" si="0"/>
        <v>213.95</v>
      </c>
      <c r="J19" s="37">
        <f t="shared" si="1"/>
        <v>1126.05</v>
      </c>
      <c r="K19" s="14">
        <f t="shared" si="2"/>
        <v>4118.5</v>
      </c>
    </row>
    <row r="20" spans="1:11" x14ac:dyDescent="0.25">
      <c r="A20" s="23">
        <f>IF(OR(G20&lt;&gt;"",H20&lt;&gt;""),COUNT($G$12:G20)+COUNT($H$12:H20),"")</f>
        <v>9</v>
      </c>
      <c r="B20" s="24">
        <v>46088</v>
      </c>
      <c r="C20" s="25" t="s">
        <v>46</v>
      </c>
      <c r="D20" s="26" t="s">
        <v>30</v>
      </c>
      <c r="E20" s="26" t="s">
        <v>31</v>
      </c>
      <c r="F20" s="27">
        <v>7.0000000000000007E-2</v>
      </c>
      <c r="G20" s="28">
        <v>910</v>
      </c>
      <c r="H20" s="28"/>
      <c r="I20" s="29">
        <f t="shared" si="0"/>
        <v>59.53</v>
      </c>
      <c r="J20" s="29">
        <f t="shared" si="1"/>
        <v>850.47</v>
      </c>
      <c r="K20" s="30">
        <f t="shared" si="2"/>
        <v>5028.5</v>
      </c>
    </row>
    <row r="21" spans="1:11" x14ac:dyDescent="0.25">
      <c r="A21" s="31">
        <f>IF(OR(G21&lt;&gt;"",H21&lt;&gt;""),COUNT($G$12:G21)+COUNT($H$12:H21),"")</f>
        <v>10</v>
      </c>
      <c r="B21" s="32">
        <v>46090</v>
      </c>
      <c r="C21" s="33" t="s">
        <v>47</v>
      </c>
      <c r="D21" s="34" t="s">
        <v>48</v>
      </c>
      <c r="E21" s="34" t="s">
        <v>34</v>
      </c>
      <c r="F21" s="35">
        <v>7.0000000000000007E-2</v>
      </c>
      <c r="G21" s="36"/>
      <c r="H21" s="36">
        <v>142.30000000000001</v>
      </c>
      <c r="I21" s="37">
        <f t="shared" si="0"/>
        <v>9.31</v>
      </c>
      <c r="J21" s="37">
        <f t="shared" si="1"/>
        <v>132.99</v>
      </c>
      <c r="K21" s="14">
        <f t="shared" si="2"/>
        <v>4886.2</v>
      </c>
    </row>
    <row r="22" spans="1:11" x14ac:dyDescent="0.25">
      <c r="A22" s="23">
        <f>IF(OR(G22&lt;&gt;"",H22&lt;&gt;""),COUNT($G$12:G22)+COUNT($H$12:H22),"")</f>
        <v>11</v>
      </c>
      <c r="B22" s="24">
        <v>46091</v>
      </c>
      <c r="C22" s="25" t="s">
        <v>49</v>
      </c>
      <c r="D22" s="26" t="s">
        <v>50</v>
      </c>
      <c r="E22" s="26" t="s">
        <v>41</v>
      </c>
      <c r="F22" s="27">
        <v>0.19</v>
      </c>
      <c r="G22" s="28"/>
      <c r="H22" s="28">
        <v>45</v>
      </c>
      <c r="I22" s="29">
        <f t="shared" si="0"/>
        <v>7.18</v>
      </c>
      <c r="J22" s="29">
        <f t="shared" si="1"/>
        <v>37.82</v>
      </c>
      <c r="K22" s="30">
        <f t="shared" si="2"/>
        <v>4841.2</v>
      </c>
    </row>
    <row r="23" spans="1:11" x14ac:dyDescent="0.25">
      <c r="A23" s="31">
        <f>IF(OR(G23&lt;&gt;"",H23&lt;&gt;""),COUNT($G$12:G23)+COUNT($H$12:H23),"")</f>
        <v>12</v>
      </c>
      <c r="B23" s="32">
        <v>46093</v>
      </c>
      <c r="C23" s="33" t="s">
        <v>51</v>
      </c>
      <c r="D23" s="34" t="s">
        <v>38</v>
      </c>
      <c r="E23" s="34" t="s">
        <v>31</v>
      </c>
      <c r="F23" s="35">
        <v>7.0000000000000007E-2</v>
      </c>
      <c r="G23" s="36">
        <v>775.5</v>
      </c>
      <c r="H23" s="36"/>
      <c r="I23" s="37">
        <f t="shared" si="0"/>
        <v>50.73</v>
      </c>
      <c r="J23" s="37">
        <f t="shared" si="1"/>
        <v>724.77</v>
      </c>
      <c r="K23" s="14">
        <f t="shared" si="2"/>
        <v>5616.7</v>
      </c>
    </row>
    <row r="24" spans="1:11" x14ac:dyDescent="0.25">
      <c r="A24" s="23">
        <f>IF(OR(G24&lt;&gt;"",H24&lt;&gt;""),COUNT($G$12:G24)+COUNT($H$12:H24),"")</f>
        <v>13</v>
      </c>
      <c r="B24" s="24">
        <v>46094</v>
      </c>
      <c r="C24" s="25" t="s">
        <v>52</v>
      </c>
      <c r="D24" s="26" t="s">
        <v>53</v>
      </c>
      <c r="E24" s="26" t="s">
        <v>54</v>
      </c>
      <c r="F24" s="27">
        <v>0.19</v>
      </c>
      <c r="G24" s="28"/>
      <c r="H24" s="28">
        <v>189</v>
      </c>
      <c r="I24" s="29">
        <f t="shared" si="0"/>
        <v>30.18</v>
      </c>
      <c r="J24" s="29">
        <f t="shared" si="1"/>
        <v>158.82</v>
      </c>
      <c r="K24" s="30">
        <f t="shared" si="2"/>
        <v>5427.7</v>
      </c>
    </row>
    <row r="25" spans="1:11" x14ac:dyDescent="0.25">
      <c r="A25" s="31">
        <f>IF(OR(G25&lt;&gt;"",H25&lt;&gt;""),COUNT($G$12:G25)+COUNT($H$12:H25),"")</f>
        <v>14</v>
      </c>
      <c r="B25" s="32">
        <v>46095</v>
      </c>
      <c r="C25" s="33" t="s">
        <v>55</v>
      </c>
      <c r="D25" s="34" t="s">
        <v>27</v>
      </c>
      <c r="E25" s="34" t="s">
        <v>28</v>
      </c>
      <c r="F25" s="35">
        <v>0.19</v>
      </c>
      <c r="G25" s="36">
        <v>1580</v>
      </c>
      <c r="H25" s="36"/>
      <c r="I25" s="37">
        <f t="shared" si="0"/>
        <v>252.27</v>
      </c>
      <c r="J25" s="37">
        <f t="shared" si="1"/>
        <v>1327.73</v>
      </c>
      <c r="K25" s="14">
        <f t="shared" si="2"/>
        <v>7007.7</v>
      </c>
    </row>
    <row r="26" spans="1:11" x14ac:dyDescent="0.25">
      <c r="A26" s="23">
        <f>IF(OR(G26&lt;&gt;"",H26&lt;&gt;""),COUNT($G$12:G26)+COUNT($H$12:H26),"")</f>
        <v>15</v>
      </c>
      <c r="B26" s="24">
        <v>46096</v>
      </c>
      <c r="C26" s="25" t="s">
        <v>56</v>
      </c>
      <c r="D26" s="26" t="s">
        <v>57</v>
      </c>
      <c r="E26" s="26" t="s">
        <v>57</v>
      </c>
      <c r="F26" s="27">
        <v>0</v>
      </c>
      <c r="G26" s="28"/>
      <c r="H26" s="28">
        <v>500</v>
      </c>
      <c r="I26" s="29">
        <f t="shared" si="0"/>
        <v>0</v>
      </c>
      <c r="J26" s="29">
        <f t="shared" si="1"/>
        <v>500</v>
      </c>
      <c r="K26" s="30">
        <f t="shared" si="2"/>
        <v>6507.7</v>
      </c>
    </row>
    <row r="27" spans="1:11" x14ac:dyDescent="0.25">
      <c r="A27" s="31">
        <f>IF(OR(G27&lt;&gt;"",H27&lt;&gt;""),COUNT($G$12:G27)+COUNT($H$12:H27),"")</f>
        <v>16</v>
      </c>
      <c r="B27" s="32">
        <v>46097</v>
      </c>
      <c r="C27" s="33" t="s">
        <v>58</v>
      </c>
      <c r="D27" s="34" t="s">
        <v>33</v>
      </c>
      <c r="E27" s="34" t="s">
        <v>34</v>
      </c>
      <c r="F27" s="35">
        <v>0.19</v>
      </c>
      <c r="G27" s="36"/>
      <c r="H27" s="36">
        <v>412.8</v>
      </c>
      <c r="I27" s="37">
        <f t="shared" si="0"/>
        <v>65.91</v>
      </c>
      <c r="J27" s="37">
        <f t="shared" si="1"/>
        <v>346.89</v>
      </c>
      <c r="K27" s="14">
        <f t="shared" si="2"/>
        <v>6094.9</v>
      </c>
    </row>
    <row r="28" spans="1:11" x14ac:dyDescent="0.25">
      <c r="A28" s="23">
        <f>IF(OR(G28&lt;&gt;"",H28&lt;&gt;""),COUNT($G$12:G28)+COUNT($H$12:H28),"")</f>
        <v>17</v>
      </c>
      <c r="B28" s="24">
        <v>46099</v>
      </c>
      <c r="C28" s="25" t="s">
        <v>59</v>
      </c>
      <c r="D28" s="26" t="s">
        <v>38</v>
      </c>
      <c r="E28" s="26" t="s">
        <v>31</v>
      </c>
      <c r="F28" s="27">
        <v>7.0000000000000007E-2</v>
      </c>
      <c r="G28" s="28">
        <v>688</v>
      </c>
      <c r="H28" s="28"/>
      <c r="I28" s="29">
        <f t="shared" si="0"/>
        <v>45.01</v>
      </c>
      <c r="J28" s="29">
        <f t="shared" si="1"/>
        <v>642.99</v>
      </c>
      <c r="K28" s="30">
        <f t="shared" si="2"/>
        <v>6782.9</v>
      </c>
    </row>
    <row r="29" spans="1:11" x14ac:dyDescent="0.25">
      <c r="A29" s="31">
        <f>IF(OR(G29&lt;&gt;"",H29&lt;&gt;""),COUNT($G$12:G29)+COUNT($H$12:H29),"")</f>
        <v>18</v>
      </c>
      <c r="B29" s="32">
        <v>46101</v>
      </c>
      <c r="C29" s="33" t="s">
        <v>60</v>
      </c>
      <c r="D29" s="34" t="s">
        <v>36</v>
      </c>
      <c r="E29" s="34" t="s">
        <v>34</v>
      </c>
      <c r="F29" s="35">
        <v>7.0000000000000007E-2</v>
      </c>
      <c r="G29" s="36"/>
      <c r="H29" s="36">
        <v>176.4</v>
      </c>
      <c r="I29" s="37">
        <f t="shared" si="0"/>
        <v>11.54</v>
      </c>
      <c r="J29" s="37">
        <f t="shared" si="1"/>
        <v>164.86</v>
      </c>
      <c r="K29" s="14">
        <f t="shared" si="2"/>
        <v>6606.5</v>
      </c>
    </row>
    <row r="30" spans="1:11" x14ac:dyDescent="0.25">
      <c r="A30" s="23">
        <f>IF(OR(G30&lt;&gt;"",H30&lt;&gt;""),COUNT($G$12:G30)+COUNT($H$12:H30),"")</f>
        <v>19</v>
      </c>
      <c r="B30" s="24">
        <v>46102</v>
      </c>
      <c r="C30" s="25" t="s">
        <v>61</v>
      </c>
      <c r="D30" s="26" t="s">
        <v>27</v>
      </c>
      <c r="E30" s="26" t="s">
        <v>28</v>
      </c>
      <c r="F30" s="27">
        <v>0.19</v>
      </c>
      <c r="G30" s="28">
        <v>1425</v>
      </c>
      <c r="H30" s="28"/>
      <c r="I30" s="29">
        <f t="shared" si="0"/>
        <v>227.52</v>
      </c>
      <c r="J30" s="29">
        <f t="shared" si="1"/>
        <v>1197.48</v>
      </c>
      <c r="K30" s="30">
        <f t="shared" si="2"/>
        <v>8031.5</v>
      </c>
    </row>
    <row r="31" spans="1:11" x14ac:dyDescent="0.25">
      <c r="A31" s="31">
        <f>IF(OR(G31&lt;&gt;"",H31&lt;&gt;""),COUNT($G$12:G31)+COUNT($H$12:H31),"")</f>
        <v>20</v>
      </c>
      <c r="B31" s="32">
        <v>46103</v>
      </c>
      <c r="C31" s="33" t="s">
        <v>62</v>
      </c>
      <c r="D31" s="34" t="s">
        <v>63</v>
      </c>
      <c r="E31" s="34" t="s">
        <v>64</v>
      </c>
      <c r="F31" s="35">
        <v>0</v>
      </c>
      <c r="G31" s="36"/>
      <c r="H31" s="36">
        <v>2000</v>
      </c>
      <c r="I31" s="37">
        <f t="shared" si="0"/>
        <v>0</v>
      </c>
      <c r="J31" s="37">
        <f t="shared" si="1"/>
        <v>2000</v>
      </c>
      <c r="K31" s="14">
        <f t="shared" si="2"/>
        <v>6031.5</v>
      </c>
    </row>
    <row r="32" spans="1:11" x14ac:dyDescent="0.25">
      <c r="A32" s="23">
        <f>IF(OR(G32&lt;&gt;"",H32&lt;&gt;""),COUNT($G$12:G32)+COUNT($H$12:H32),"")</f>
        <v>21</v>
      </c>
      <c r="B32" s="24">
        <v>46106</v>
      </c>
      <c r="C32" s="25" t="s">
        <v>65</v>
      </c>
      <c r="D32" s="26" t="s">
        <v>38</v>
      </c>
      <c r="E32" s="26" t="s">
        <v>31</v>
      </c>
      <c r="F32" s="27">
        <v>7.0000000000000007E-2</v>
      </c>
      <c r="G32" s="28">
        <v>932</v>
      </c>
      <c r="H32" s="28"/>
      <c r="I32" s="29">
        <f t="shared" si="0"/>
        <v>60.97</v>
      </c>
      <c r="J32" s="29">
        <f t="shared" si="1"/>
        <v>871.03</v>
      </c>
      <c r="K32" s="30">
        <f t="shared" si="2"/>
        <v>6963.5</v>
      </c>
    </row>
    <row r="33" spans="1:11" x14ac:dyDescent="0.25">
      <c r="A33" s="31">
        <f>IF(OR(G33&lt;&gt;"",H33&lt;&gt;""),COUNT($G$12:G33)+COUNT($H$12:H33),"")</f>
        <v>22</v>
      </c>
      <c r="B33" s="32">
        <v>46109</v>
      </c>
      <c r="C33" s="33" t="s">
        <v>66</v>
      </c>
      <c r="D33" s="34" t="s">
        <v>67</v>
      </c>
      <c r="E33" s="34" t="s">
        <v>41</v>
      </c>
      <c r="F33" s="35">
        <v>0.19</v>
      </c>
      <c r="G33" s="36"/>
      <c r="H33" s="36">
        <v>33.9</v>
      </c>
      <c r="I33" s="37">
        <f t="shared" si="0"/>
        <v>5.41</v>
      </c>
      <c r="J33" s="37">
        <f t="shared" si="1"/>
        <v>28.49</v>
      </c>
      <c r="K33" s="14">
        <f t="shared" si="2"/>
        <v>6929.6</v>
      </c>
    </row>
    <row r="34" spans="1:11" x14ac:dyDescent="0.25">
      <c r="A34" s="23" t="str">
        <f>IF(OR(G34&lt;&gt;"",H34&lt;&gt;""),COUNT($G$12:G34)+COUNT($H$12:H34),"")</f>
        <v/>
      </c>
      <c r="B34" s="24"/>
      <c r="C34" s="25"/>
      <c r="D34" s="26"/>
      <c r="E34" s="26"/>
      <c r="F34" s="27"/>
      <c r="G34" s="28"/>
      <c r="H34" s="28"/>
      <c r="I34" s="28">
        <f t="shared" si="0"/>
        <v>0</v>
      </c>
      <c r="J34" s="28">
        <f t="shared" si="1"/>
        <v>0</v>
      </c>
      <c r="K34" s="30">
        <f t="shared" ref="K34:K43" si="3">IF(AND(G34="",H34=""),K33,K33+N(G34)-N(H34))</f>
        <v>6929.6</v>
      </c>
    </row>
    <row r="35" spans="1:11" x14ac:dyDescent="0.25">
      <c r="A35" s="31" t="str">
        <f>IF(OR(G35&lt;&gt;"",H35&lt;&gt;""),COUNT($G$12:G35)+COUNT($H$12:H35),"")</f>
        <v/>
      </c>
      <c r="B35" s="32"/>
      <c r="C35" s="33"/>
      <c r="D35" s="34"/>
      <c r="E35" s="34"/>
      <c r="F35" s="35"/>
      <c r="G35" s="36"/>
      <c r="H35" s="36"/>
      <c r="I35" s="36">
        <f t="shared" si="0"/>
        <v>0</v>
      </c>
      <c r="J35" s="36">
        <f t="shared" si="1"/>
        <v>0</v>
      </c>
      <c r="K35" s="14">
        <f t="shared" si="3"/>
        <v>6929.6</v>
      </c>
    </row>
    <row r="36" spans="1:11" x14ac:dyDescent="0.25">
      <c r="A36" s="23" t="str">
        <f>IF(OR(G36&lt;&gt;"",H36&lt;&gt;""),COUNT($G$12:G36)+COUNT($H$12:H36),"")</f>
        <v/>
      </c>
      <c r="B36" s="24"/>
      <c r="C36" s="25"/>
      <c r="D36" s="26"/>
      <c r="E36" s="26"/>
      <c r="F36" s="27"/>
      <c r="G36" s="28"/>
      <c r="H36" s="28"/>
      <c r="I36" s="28">
        <f t="shared" si="0"/>
        <v>0</v>
      </c>
      <c r="J36" s="28">
        <f t="shared" si="1"/>
        <v>0</v>
      </c>
      <c r="K36" s="30">
        <f t="shared" si="3"/>
        <v>6929.6</v>
      </c>
    </row>
    <row r="37" spans="1:11" x14ac:dyDescent="0.25">
      <c r="A37" s="31" t="str">
        <f>IF(OR(G37&lt;&gt;"",H37&lt;&gt;""),COUNT($G$12:G37)+COUNT($H$12:H37),"")</f>
        <v/>
      </c>
      <c r="B37" s="32"/>
      <c r="C37" s="33"/>
      <c r="D37" s="34"/>
      <c r="E37" s="34"/>
      <c r="F37" s="35"/>
      <c r="G37" s="36"/>
      <c r="H37" s="36"/>
      <c r="I37" s="36">
        <f t="shared" si="0"/>
        <v>0</v>
      </c>
      <c r="J37" s="36">
        <f t="shared" si="1"/>
        <v>0</v>
      </c>
      <c r="K37" s="14">
        <f t="shared" si="3"/>
        <v>6929.6</v>
      </c>
    </row>
    <row r="38" spans="1:11" x14ac:dyDescent="0.25">
      <c r="A38" s="23" t="str">
        <f>IF(OR(G38&lt;&gt;"",H38&lt;&gt;""),COUNT($G$12:G38)+COUNT($H$12:H38),"")</f>
        <v/>
      </c>
      <c r="B38" s="24"/>
      <c r="C38" s="25"/>
      <c r="D38" s="26"/>
      <c r="E38" s="26"/>
      <c r="F38" s="27"/>
      <c r="G38" s="28"/>
      <c r="H38" s="28"/>
      <c r="I38" s="28">
        <f t="shared" si="0"/>
        <v>0</v>
      </c>
      <c r="J38" s="28">
        <f t="shared" si="1"/>
        <v>0</v>
      </c>
      <c r="K38" s="30">
        <f t="shared" si="3"/>
        <v>6929.6</v>
      </c>
    </row>
    <row r="39" spans="1:11" x14ac:dyDescent="0.25">
      <c r="A39" s="31" t="str">
        <f>IF(OR(G39&lt;&gt;"",H39&lt;&gt;""),COUNT($G$12:G39)+COUNT($H$12:H39),"")</f>
        <v/>
      </c>
      <c r="B39" s="32"/>
      <c r="C39" s="33"/>
      <c r="D39" s="34"/>
      <c r="E39" s="34"/>
      <c r="F39" s="35"/>
      <c r="G39" s="36"/>
      <c r="H39" s="36"/>
      <c r="I39" s="36">
        <f t="shared" si="0"/>
        <v>0</v>
      </c>
      <c r="J39" s="36">
        <f t="shared" si="1"/>
        <v>0</v>
      </c>
      <c r="K39" s="14">
        <f t="shared" si="3"/>
        <v>6929.6</v>
      </c>
    </row>
    <row r="40" spans="1:11" x14ac:dyDescent="0.25">
      <c r="A40" s="23" t="str">
        <f>IF(OR(G40&lt;&gt;"",H40&lt;&gt;""),COUNT($G$12:G40)+COUNT($H$12:H40),"")</f>
        <v/>
      </c>
      <c r="B40" s="24"/>
      <c r="C40" s="25"/>
      <c r="D40" s="26"/>
      <c r="E40" s="26"/>
      <c r="F40" s="27"/>
      <c r="G40" s="28"/>
      <c r="H40" s="28"/>
      <c r="I40" s="28">
        <f t="shared" si="0"/>
        <v>0</v>
      </c>
      <c r="J40" s="28">
        <f t="shared" si="1"/>
        <v>0</v>
      </c>
      <c r="K40" s="30">
        <f t="shared" si="3"/>
        <v>6929.6</v>
      </c>
    </row>
    <row r="41" spans="1:11" x14ac:dyDescent="0.25">
      <c r="A41" s="31" t="str">
        <f>IF(OR(G41&lt;&gt;"",H41&lt;&gt;""),COUNT($G$12:G41)+COUNT($H$12:H41),"")</f>
        <v/>
      </c>
      <c r="B41" s="32"/>
      <c r="C41" s="33"/>
      <c r="D41" s="34"/>
      <c r="E41" s="34"/>
      <c r="F41" s="35"/>
      <c r="G41" s="36"/>
      <c r="H41" s="36"/>
      <c r="I41" s="36">
        <f t="shared" si="0"/>
        <v>0</v>
      </c>
      <c r="J41" s="36">
        <f t="shared" si="1"/>
        <v>0</v>
      </c>
      <c r="K41" s="14">
        <f t="shared" si="3"/>
        <v>6929.6</v>
      </c>
    </row>
    <row r="42" spans="1:11" x14ac:dyDescent="0.25">
      <c r="A42" s="23" t="str">
        <f>IF(OR(G42&lt;&gt;"",H42&lt;&gt;""),COUNT($G$12:G42)+COUNT($H$12:H42),"")</f>
        <v/>
      </c>
      <c r="B42" s="24"/>
      <c r="C42" s="25"/>
      <c r="D42" s="26"/>
      <c r="E42" s="26"/>
      <c r="F42" s="27"/>
      <c r="G42" s="28"/>
      <c r="H42" s="28"/>
      <c r="I42" s="28">
        <f t="shared" si="0"/>
        <v>0</v>
      </c>
      <c r="J42" s="28">
        <f t="shared" si="1"/>
        <v>0</v>
      </c>
      <c r="K42" s="30">
        <f t="shared" si="3"/>
        <v>6929.6</v>
      </c>
    </row>
    <row r="43" spans="1:11" x14ac:dyDescent="0.25">
      <c r="A43" s="31" t="str">
        <f>IF(OR(G43&lt;&gt;"",H43&lt;&gt;""),COUNT($G$12:G43)+COUNT($H$12:H43),"")</f>
        <v/>
      </c>
      <c r="B43" s="32"/>
      <c r="C43" s="33"/>
      <c r="D43" s="34"/>
      <c r="E43" s="34"/>
      <c r="F43" s="35"/>
      <c r="G43" s="36"/>
      <c r="H43" s="36"/>
      <c r="I43" s="36">
        <f t="shared" si="0"/>
        <v>0</v>
      </c>
      <c r="J43" s="36">
        <f t="shared" si="1"/>
        <v>0</v>
      </c>
      <c r="K43" s="14">
        <f t="shared" si="3"/>
        <v>6929.6</v>
      </c>
    </row>
    <row r="44" spans="1:11" x14ac:dyDescent="0.25">
      <c r="A44" s="6" t="s">
        <v>68</v>
      </c>
      <c r="B44" s="6"/>
      <c r="C44" s="6"/>
      <c r="D44" s="6"/>
      <c r="E44" s="6"/>
      <c r="F44" s="6"/>
      <c r="G44" s="22">
        <f>SUM(G12:G43)</f>
        <v>10338.5</v>
      </c>
      <c r="H44" s="22">
        <f>SUM(H12:H43)</f>
        <v>4258.8999999999996</v>
      </c>
      <c r="I44" s="22">
        <f>SUM(I12:I43)</f>
        <v>1409.4499999999998</v>
      </c>
      <c r="J44" s="22">
        <f>SUM(J12:J43)</f>
        <v>13187.949999999999</v>
      </c>
      <c r="K44" s="38">
        <f>K43</f>
        <v>6929.6</v>
      </c>
    </row>
    <row r="46" spans="1:11" x14ac:dyDescent="0.25">
      <c r="A46" s="11" t="s">
        <v>69</v>
      </c>
      <c r="B46" s="11"/>
      <c r="C46" s="11"/>
      <c r="D46" s="11"/>
      <c r="E46" s="11"/>
      <c r="G46" s="11" t="s">
        <v>70</v>
      </c>
      <c r="H46" s="11"/>
      <c r="I46" s="11"/>
      <c r="J46" s="11"/>
      <c r="K46" s="11"/>
    </row>
    <row r="47" spans="1:11" ht="28.35" customHeight="1" x14ac:dyDescent="0.25">
      <c r="A47" s="5" t="s">
        <v>71</v>
      </c>
      <c r="B47" s="5"/>
      <c r="C47" s="39" t="s">
        <v>72</v>
      </c>
      <c r="D47" s="39" t="s">
        <v>24</v>
      </c>
      <c r="E47" s="39" t="s">
        <v>23</v>
      </c>
      <c r="G47" s="4" t="s">
        <v>73</v>
      </c>
      <c r="H47" s="4"/>
      <c r="I47" s="4"/>
      <c r="J47" s="4"/>
      <c r="K47" s="22">
        <f>G44</f>
        <v>10338.5</v>
      </c>
    </row>
    <row r="48" spans="1:11" x14ac:dyDescent="0.25">
      <c r="A48" s="4" t="s">
        <v>74</v>
      </c>
      <c r="B48" s="4"/>
      <c r="C48" s="28">
        <f>SUMIFS($G$12:$G$43,$F$12:$F$43,0.19)</f>
        <v>5535</v>
      </c>
      <c r="D48" s="28">
        <f>C48-E48</f>
        <v>4651.26</v>
      </c>
      <c r="E48" s="28">
        <f>SUMIFS($I$12:$I$43,$F$12:$F$43,0.19,$G$12:$G$43,"&gt;0")</f>
        <v>883.74</v>
      </c>
      <c r="G48" s="3" t="s">
        <v>75</v>
      </c>
      <c r="H48" s="3"/>
      <c r="I48" s="3"/>
      <c r="J48" s="3"/>
      <c r="K48" s="22">
        <f>H44</f>
        <v>4258.8999999999996</v>
      </c>
    </row>
    <row r="49" spans="1:11" x14ac:dyDescent="0.25">
      <c r="A49" s="3" t="s">
        <v>76</v>
      </c>
      <c r="B49" s="3"/>
      <c r="C49" s="36">
        <f>SUMIFS($G$12:$G$43,$F$12:$F$43,0.07)</f>
        <v>4803.5</v>
      </c>
      <c r="D49" s="36">
        <f>C49-E49</f>
        <v>4489.26</v>
      </c>
      <c r="E49" s="36">
        <f>SUMIFS($I$12:$I$43,$F$12:$F$43,0.07,$G$12:$G$43,"&gt;0")</f>
        <v>314.24</v>
      </c>
      <c r="G49" s="4" t="s">
        <v>77</v>
      </c>
      <c r="H49" s="4"/>
      <c r="I49" s="4"/>
      <c r="J49" s="4"/>
      <c r="K49" s="22">
        <f>G44-H44</f>
        <v>6079.6</v>
      </c>
    </row>
    <row r="50" spans="1:11" x14ac:dyDescent="0.25">
      <c r="A50" s="4" t="s">
        <v>78</v>
      </c>
      <c r="B50" s="4"/>
      <c r="C50" s="28">
        <f>SUMIFS($G$12:$G$43,$F$12:$F$43,0)</f>
        <v>0</v>
      </c>
      <c r="D50" s="28">
        <f>C50-E50</f>
        <v>0</v>
      </c>
      <c r="E50" s="28">
        <f>SUMIFS($I$12:$I$43,$F$12:$F$43,0,$G$12:$G$43,"&gt;0")</f>
        <v>0</v>
      </c>
      <c r="G50" s="3" t="s">
        <v>79</v>
      </c>
      <c r="H50" s="3"/>
      <c r="I50" s="3"/>
      <c r="J50" s="3"/>
      <c r="K50" s="22">
        <f>D51</f>
        <v>9140.52</v>
      </c>
    </row>
    <row r="51" spans="1:11" x14ac:dyDescent="0.25">
      <c r="A51" s="2" t="s">
        <v>80</v>
      </c>
      <c r="B51" s="2"/>
      <c r="C51" s="38">
        <f>SUM(C48:C50)</f>
        <v>10338.5</v>
      </c>
      <c r="D51" s="38">
        <f>SUM(D48:D50)</f>
        <v>9140.52</v>
      </c>
      <c r="E51" s="38">
        <f>SUM(E48:E50)</f>
        <v>1197.98</v>
      </c>
      <c r="G51" s="4" t="s">
        <v>81</v>
      </c>
      <c r="H51" s="4"/>
      <c r="I51" s="4"/>
      <c r="J51" s="4"/>
      <c r="K51" s="22">
        <f>K43</f>
        <v>6929.6</v>
      </c>
    </row>
    <row r="53" spans="1:11" ht="43.5" customHeight="1" x14ac:dyDescent="0.25">
      <c r="A53" s="1" t="s">
        <v>82</v>
      </c>
      <c r="B53" s="1"/>
      <c r="C53" s="1"/>
      <c r="D53" s="1"/>
      <c r="E53" s="1"/>
      <c r="F53" s="1"/>
      <c r="G53" s="1"/>
      <c r="H53" s="1"/>
      <c r="I53" s="1"/>
      <c r="J53" s="1"/>
      <c r="K53" s="1"/>
    </row>
  </sheetData>
  <mergeCells count="34">
    <mergeCell ref="A53:K53"/>
    <mergeCell ref="A49:B49"/>
    <mergeCell ref="G49:J49"/>
    <mergeCell ref="A50:B50"/>
    <mergeCell ref="G50:J50"/>
    <mergeCell ref="A51:B51"/>
    <mergeCell ref="G51:J51"/>
    <mergeCell ref="A46:E46"/>
    <mergeCell ref="G46:K46"/>
    <mergeCell ref="A47:B47"/>
    <mergeCell ref="G47:J47"/>
    <mergeCell ref="A48:B48"/>
    <mergeCell ref="G48:J48"/>
    <mergeCell ref="A8:B8"/>
    <mergeCell ref="C8:E8"/>
    <mergeCell ref="G8:I8"/>
    <mergeCell ref="J8:K8"/>
    <mergeCell ref="A44:F44"/>
    <mergeCell ref="A6:B6"/>
    <mergeCell ref="C6:E6"/>
    <mergeCell ref="G6:I6"/>
    <mergeCell ref="J6:K6"/>
    <mergeCell ref="A7:B7"/>
    <mergeCell ref="C7:E7"/>
    <mergeCell ref="G7:I7"/>
    <mergeCell ref="J7:K7"/>
    <mergeCell ref="A1:K1"/>
    <mergeCell ref="A2:K2"/>
    <mergeCell ref="A4:E4"/>
    <mergeCell ref="G4:K4"/>
    <mergeCell ref="A5:B5"/>
    <mergeCell ref="C5:E5"/>
    <mergeCell ref="G5:I5"/>
    <mergeCell ref="J5:K5"/>
  </mergeCells>
  <conditionalFormatting sqref="J8">
    <cfRule type="cellIs" dxfId="2" priority="3" operator="equal">
      <formula>0</formula>
    </cfRule>
    <cfRule type="cellIs" dxfId="1" priority="4" operator="notEqual">
      <formula>0</formula>
    </cfRule>
  </conditionalFormatting>
  <conditionalFormatting sqref="K11:K43">
    <cfRule type="cellIs" dxfId="0" priority="2" operator="lessThan">
      <formula>0</formula>
    </cfRule>
  </conditionalFormatting>
  <dataValidations count="2">
    <dataValidation type="list" allowBlank="1" sqref="F12:F43" xr:uid="{00000000-0002-0000-0000-000000000000}">
      <formula1>"0.19,0.07,0"</formula1>
      <formula2>0</formula2>
    </dataValidation>
    <dataValidation type="list" allowBlank="1" sqref="E12:E43" xr:uid="{00000000-0002-0000-00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Kassenbuch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2026-06-01T11:07:09Z</dcterms:created>
  <dcterms:modified xsi:type="dcterms:W3CDTF">2026-06-01T11:18:22Z</dcterms:modified>
  <dc:language>en-US</dc:language>
</cp:coreProperties>
</file>