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808FB332-D44D-439E-92DC-7C3305FDD586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Dashboard" sheetId="1" r:id="rId1"/>
    <sheet name="Ressourcen" sheetId="2" r:id="rId2"/>
    <sheet name="Verfügbarkeit" sheetId="3" r:id="rId3"/>
    <sheet name="Kapazitätsplan" sheetId="4" r:id="rId4"/>
    <sheet name="Anleitung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37" i="4" l="1"/>
  <c r="A36" i="4"/>
  <c r="A35" i="4"/>
  <c r="A34" i="4"/>
  <c r="A33" i="4"/>
  <c r="F32" i="4"/>
  <c r="E32" i="4"/>
  <c r="D32" i="4"/>
  <c r="A32" i="4"/>
  <c r="A31" i="4"/>
  <c r="A30" i="4"/>
  <c r="A25" i="4"/>
  <c r="A24" i="4"/>
  <c r="A23" i="4"/>
  <c r="A22" i="4"/>
  <c r="A21" i="4"/>
  <c r="M20" i="4"/>
  <c r="M32" i="4" s="1"/>
  <c r="L20" i="4"/>
  <c r="L32" i="4" s="1"/>
  <c r="K20" i="4"/>
  <c r="K32" i="4" s="1"/>
  <c r="F20" i="4"/>
  <c r="E20" i="4"/>
  <c r="D20" i="4"/>
  <c r="A20" i="4"/>
  <c r="A19" i="4"/>
  <c r="G18" i="4"/>
  <c r="F18" i="4"/>
  <c r="E18" i="4"/>
  <c r="D18" i="4"/>
  <c r="C18" i="4"/>
  <c r="B18" i="4"/>
  <c r="A18" i="4"/>
  <c r="N14" i="4"/>
  <c r="M14" i="4"/>
  <c r="L14" i="4"/>
  <c r="K14" i="4"/>
  <c r="J14" i="4"/>
  <c r="I14" i="4"/>
  <c r="H14" i="4"/>
  <c r="C25" i="1" s="1"/>
  <c r="G14" i="4"/>
  <c r="F14" i="4"/>
  <c r="E14" i="4"/>
  <c r="D14" i="4"/>
  <c r="C14" i="4"/>
  <c r="B14" i="4"/>
  <c r="N13" i="4"/>
  <c r="A13" i="4"/>
  <c r="N12" i="4"/>
  <c r="A12" i="4"/>
  <c r="N11" i="4"/>
  <c r="A11" i="4"/>
  <c r="N10" i="4"/>
  <c r="A10" i="4"/>
  <c r="N9" i="4"/>
  <c r="A9" i="4"/>
  <c r="N8" i="4"/>
  <c r="A8" i="4"/>
  <c r="N7" i="4"/>
  <c r="A7" i="4"/>
  <c r="N6" i="4"/>
  <c r="A6" i="4"/>
  <c r="M15" i="3"/>
  <c r="L15" i="3"/>
  <c r="K15" i="3"/>
  <c r="J15" i="3"/>
  <c r="I15" i="3"/>
  <c r="H15" i="3"/>
  <c r="G15" i="3"/>
  <c r="F15" i="3"/>
  <c r="E15" i="3"/>
  <c r="D15" i="3"/>
  <c r="C15" i="3"/>
  <c r="B15" i="3"/>
  <c r="N14" i="3"/>
  <c r="A14" i="3"/>
  <c r="N13" i="3"/>
  <c r="A13" i="3"/>
  <c r="O12" i="3"/>
  <c r="N12" i="3"/>
  <c r="A12" i="3"/>
  <c r="N11" i="3"/>
  <c r="A11" i="3"/>
  <c r="N10" i="3"/>
  <c r="O10" i="3" s="1"/>
  <c r="A10" i="3"/>
  <c r="N9" i="3"/>
  <c r="O9" i="3" s="1"/>
  <c r="A9" i="3"/>
  <c r="O8" i="3"/>
  <c r="N8" i="3"/>
  <c r="A8" i="3"/>
  <c r="N7" i="3"/>
  <c r="N15" i="3" s="1"/>
  <c r="A7" i="3"/>
  <c r="N4" i="3"/>
  <c r="O14" i="3" s="1"/>
  <c r="H12" i="2"/>
  <c r="I12" i="2" s="1"/>
  <c r="F12" i="2"/>
  <c r="H11" i="2"/>
  <c r="F11" i="2"/>
  <c r="I11" i="2" s="1"/>
  <c r="H10" i="2"/>
  <c r="F10" i="2"/>
  <c r="I10" i="2" s="1"/>
  <c r="H9" i="2"/>
  <c r="F9" i="2"/>
  <c r="I9" i="2" s="1"/>
  <c r="H8" i="2"/>
  <c r="I8" i="2" s="1"/>
  <c r="F8" i="2"/>
  <c r="I7" i="2"/>
  <c r="J20" i="4" s="1"/>
  <c r="J32" i="4" s="1"/>
  <c r="H7" i="2"/>
  <c r="F7" i="2"/>
  <c r="H6" i="2"/>
  <c r="F6" i="2"/>
  <c r="I6" i="2" s="1"/>
  <c r="I5" i="2"/>
  <c r="M18" i="4" s="1"/>
  <c r="H5" i="2"/>
  <c r="F5" i="2"/>
  <c r="C30" i="1"/>
  <c r="C29" i="1"/>
  <c r="C28" i="1"/>
  <c r="C27" i="1"/>
  <c r="C26" i="1"/>
  <c r="C24" i="1"/>
  <c r="C23" i="1"/>
  <c r="C22" i="1"/>
  <c r="C21" i="1"/>
  <c r="C20" i="1"/>
  <c r="C19" i="1"/>
  <c r="C31" i="1" s="1"/>
  <c r="H23" i="4" l="1"/>
  <c r="H35" i="4" s="1"/>
  <c r="G23" i="4"/>
  <c r="G35" i="4" s="1"/>
  <c r="F23" i="4"/>
  <c r="F35" i="4" s="1"/>
  <c r="E23" i="4"/>
  <c r="E35" i="4" s="1"/>
  <c r="D23" i="4"/>
  <c r="D35" i="4" s="1"/>
  <c r="C23" i="4"/>
  <c r="C35" i="4" s="1"/>
  <c r="B23" i="4"/>
  <c r="K23" i="4"/>
  <c r="K35" i="4" s="1"/>
  <c r="J23" i="4"/>
  <c r="J35" i="4" s="1"/>
  <c r="M23" i="4"/>
  <c r="M35" i="4" s="1"/>
  <c r="I23" i="4"/>
  <c r="I35" i="4" s="1"/>
  <c r="L23" i="4"/>
  <c r="L35" i="4" s="1"/>
  <c r="B22" i="4"/>
  <c r="J22" i="4"/>
  <c r="J34" i="4" s="1"/>
  <c r="G22" i="4"/>
  <c r="G34" i="4" s="1"/>
  <c r="M22" i="4"/>
  <c r="M34" i="4" s="1"/>
  <c r="L22" i="4"/>
  <c r="L34" i="4" s="1"/>
  <c r="K22" i="4"/>
  <c r="K34" i="4" s="1"/>
  <c r="I22" i="4"/>
  <c r="I34" i="4" s="1"/>
  <c r="D22" i="4"/>
  <c r="D34" i="4" s="1"/>
  <c r="H22" i="4"/>
  <c r="H34" i="4" s="1"/>
  <c r="F22" i="4"/>
  <c r="F34" i="4" s="1"/>
  <c r="E22" i="4"/>
  <c r="E34" i="4" s="1"/>
  <c r="C22" i="4"/>
  <c r="C34" i="4" s="1"/>
  <c r="M30" i="4"/>
  <c r="M21" i="4"/>
  <c r="M33" i="4" s="1"/>
  <c r="L21" i="4"/>
  <c r="L33" i="4" s="1"/>
  <c r="D21" i="4"/>
  <c r="D33" i="4" s="1"/>
  <c r="K21" i="4"/>
  <c r="K33" i="4" s="1"/>
  <c r="J21" i="4"/>
  <c r="J33" i="4" s="1"/>
  <c r="I21" i="4"/>
  <c r="I33" i="4" s="1"/>
  <c r="H21" i="4"/>
  <c r="H33" i="4" s="1"/>
  <c r="G21" i="4"/>
  <c r="G33" i="4" s="1"/>
  <c r="F21" i="4"/>
  <c r="F33" i="4" s="1"/>
  <c r="E21" i="4"/>
  <c r="E33" i="4" s="1"/>
  <c r="C21" i="4"/>
  <c r="C33" i="4" s="1"/>
  <c r="B21" i="4"/>
  <c r="M24" i="4"/>
  <c r="M36" i="4" s="1"/>
  <c r="L24" i="4"/>
  <c r="L36" i="4" s="1"/>
  <c r="K24" i="4"/>
  <c r="K36" i="4" s="1"/>
  <c r="J24" i="4"/>
  <c r="J36" i="4" s="1"/>
  <c r="B24" i="4"/>
  <c r="I24" i="4"/>
  <c r="I36" i="4" s="1"/>
  <c r="H24" i="4"/>
  <c r="H36" i="4" s="1"/>
  <c r="G24" i="4"/>
  <c r="G36" i="4" s="1"/>
  <c r="F24" i="4"/>
  <c r="F36" i="4" s="1"/>
  <c r="E24" i="4"/>
  <c r="E36" i="4" s="1"/>
  <c r="D24" i="4"/>
  <c r="D36" i="4" s="1"/>
  <c r="C24" i="4"/>
  <c r="C36" i="4" s="1"/>
  <c r="H25" i="4"/>
  <c r="H37" i="4" s="1"/>
  <c r="E25" i="4"/>
  <c r="E37" i="4" s="1"/>
  <c r="M25" i="4"/>
  <c r="M37" i="4" s="1"/>
  <c r="L25" i="4"/>
  <c r="L37" i="4" s="1"/>
  <c r="K25" i="4"/>
  <c r="K37" i="4" s="1"/>
  <c r="J25" i="4"/>
  <c r="J37" i="4" s="1"/>
  <c r="I25" i="4"/>
  <c r="I37" i="4" s="1"/>
  <c r="D25" i="4"/>
  <c r="D37" i="4" s="1"/>
  <c r="G25" i="4"/>
  <c r="G37" i="4" s="1"/>
  <c r="F25" i="4"/>
  <c r="F37" i="4" s="1"/>
  <c r="C25" i="4"/>
  <c r="C37" i="4" s="1"/>
  <c r="B25" i="4"/>
  <c r="D19" i="4"/>
  <c r="D31" i="4" s="1"/>
  <c r="C19" i="4"/>
  <c r="C31" i="4" s="1"/>
  <c r="B19" i="4"/>
  <c r="L19" i="4"/>
  <c r="L31" i="4" s="1"/>
  <c r="K19" i="4"/>
  <c r="K31" i="4" s="1"/>
  <c r="M19" i="4"/>
  <c r="M31" i="4" s="1"/>
  <c r="G19" i="4"/>
  <c r="G31" i="4" s="1"/>
  <c r="F19" i="4"/>
  <c r="F31" i="4" s="1"/>
  <c r="J19" i="4"/>
  <c r="J31" i="4" s="1"/>
  <c r="I19" i="4"/>
  <c r="I31" i="4" s="1"/>
  <c r="H19" i="4"/>
  <c r="H31" i="4" s="1"/>
  <c r="E19" i="4"/>
  <c r="E31" i="4" s="1"/>
  <c r="B12" i="1"/>
  <c r="B30" i="4"/>
  <c r="H18" i="4"/>
  <c r="C30" i="4"/>
  <c r="O11" i="3"/>
  <c r="I18" i="4"/>
  <c r="D30" i="4"/>
  <c r="J18" i="4"/>
  <c r="B20" i="4"/>
  <c r="E30" i="4"/>
  <c r="K18" i="4"/>
  <c r="C20" i="4"/>
  <c r="C32" i="4" s="1"/>
  <c r="F30" i="4"/>
  <c r="G30" i="4"/>
  <c r="L18" i="4"/>
  <c r="O13" i="3"/>
  <c r="G20" i="4"/>
  <c r="G32" i="4" s="1"/>
  <c r="H20" i="4"/>
  <c r="H32" i="4" s="1"/>
  <c r="O7" i="3"/>
  <c r="I20" i="4"/>
  <c r="I32" i="4" s="1"/>
  <c r="N31" i="4" l="1"/>
  <c r="O31" i="4" s="1"/>
  <c r="N19" i="4"/>
  <c r="B31" i="4"/>
  <c r="E26" i="4"/>
  <c r="M26" i="4"/>
  <c r="K30" i="4"/>
  <c r="K26" i="4"/>
  <c r="N22" i="4"/>
  <c r="B34" i="4"/>
  <c r="N34" i="4"/>
  <c r="O34" i="4" s="1"/>
  <c r="H30" i="4"/>
  <c r="H26" i="4"/>
  <c r="N24" i="4"/>
  <c r="B36" i="4"/>
  <c r="N36" i="4"/>
  <c r="O36" i="4" s="1"/>
  <c r="J30" i="4"/>
  <c r="J26" i="4"/>
  <c r="B37" i="4"/>
  <c r="N25" i="4"/>
  <c r="N37" i="4"/>
  <c r="O37" i="4" s="1"/>
  <c r="N30" i="4"/>
  <c r="O30" i="4" s="1"/>
  <c r="G26" i="4"/>
  <c r="N21" i="4"/>
  <c r="B33" i="4"/>
  <c r="N33" i="4"/>
  <c r="O33" i="4" s="1"/>
  <c r="D26" i="4"/>
  <c r="C26" i="4"/>
  <c r="N35" i="4"/>
  <c r="O35" i="4" s="1"/>
  <c r="N23" i="4"/>
  <c r="B35" i="4"/>
  <c r="F26" i="4"/>
  <c r="B32" i="4"/>
  <c r="N20" i="4"/>
  <c r="N32" i="4"/>
  <c r="O32" i="4" s="1"/>
  <c r="I30" i="4"/>
  <c r="I26" i="4"/>
  <c r="N18" i="4"/>
  <c r="B26" i="4"/>
  <c r="L30" i="4"/>
  <c r="L26" i="4"/>
  <c r="B29" i="1" l="1"/>
  <c r="D29" i="1" s="1"/>
  <c r="L38" i="4"/>
  <c r="E29" i="1" s="1"/>
  <c r="F29" i="1" s="1"/>
  <c r="B38" i="4"/>
  <c r="B19" i="1"/>
  <c r="N26" i="4"/>
  <c r="B26" i="1"/>
  <c r="D26" i="1" s="1"/>
  <c r="I38" i="4"/>
  <c r="E26" i="1" s="1"/>
  <c r="F26" i="1" s="1"/>
  <c r="B25" i="1"/>
  <c r="D25" i="1" s="1"/>
  <c r="H38" i="4"/>
  <c r="E25" i="1" s="1"/>
  <c r="F25" i="1" s="1"/>
  <c r="B23" i="1"/>
  <c r="D23" i="1" s="1"/>
  <c r="F38" i="4"/>
  <c r="E23" i="1" s="1"/>
  <c r="F23" i="1" s="1"/>
  <c r="E38" i="4"/>
  <c r="E22" i="1" s="1"/>
  <c r="F22" i="1" s="1"/>
  <c r="B22" i="1"/>
  <c r="D22" i="1" s="1"/>
  <c r="B20" i="1"/>
  <c r="D20" i="1" s="1"/>
  <c r="C38" i="4"/>
  <c r="E20" i="1" s="1"/>
  <c r="F20" i="1" s="1"/>
  <c r="K38" i="4"/>
  <c r="E28" i="1" s="1"/>
  <c r="F28" i="1" s="1"/>
  <c r="B28" i="1"/>
  <c r="D28" i="1" s="1"/>
  <c r="B21" i="1"/>
  <c r="D21" i="1" s="1"/>
  <c r="D38" i="4"/>
  <c r="E21" i="1" s="1"/>
  <c r="F21" i="1" s="1"/>
  <c r="B30" i="1"/>
  <c r="D30" i="1" s="1"/>
  <c r="M38" i="4"/>
  <c r="E30" i="1" s="1"/>
  <c r="F30" i="1" s="1"/>
  <c r="B24" i="1"/>
  <c r="D24" i="1" s="1"/>
  <c r="G38" i="4"/>
  <c r="E24" i="1" s="1"/>
  <c r="F24" i="1" s="1"/>
  <c r="J38" i="4"/>
  <c r="E27" i="1" s="1"/>
  <c r="F27" i="1" s="1"/>
  <c r="B27" i="1"/>
  <c r="D27" i="1" s="1"/>
  <c r="B11" i="1" l="1"/>
  <c r="B13" i="1" s="1"/>
  <c r="N38" i="4"/>
  <c r="E19" i="1"/>
  <c r="F19" i="1" s="1"/>
  <c r="B15" i="1"/>
  <c r="D19" i="1"/>
  <c r="B31" i="1"/>
  <c r="D31" i="1" s="1"/>
  <c r="E31" i="1" l="1"/>
  <c r="B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I5" authorId="0" shapeId="0" xr:uid="{00000000-0006-0000-0100-000001000000}">
      <text>
        <r>
          <rPr>
            <sz val="10"/>
            <rFont val="Arial"/>
            <family val="2"/>
          </rPr>
          <t>Netto-Std/Tag = Std/Tag (Brutto) × Produktivitätsfaktor. Fließt in die Kapazitätsberechnung ein.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4" authorId="0" shapeId="0" xr:uid="{00000000-0006-0000-0200-000001000000}">
      <text>
        <r>
          <rPr>
            <sz val="10"/>
            <rFont val="Arial"/>
            <family val="2"/>
          </rPr>
          <t>Werktage (Mo–Fr) 2026 abzüglich bundesweiter Feiertage. Bei abweichendem Bundesland bitte anpassen.</t>
        </r>
      </text>
    </comment>
  </commentList>
</comments>
</file>

<file path=xl/sharedStrings.xml><?xml version="1.0" encoding="utf-8"?>
<sst xmlns="http://schemas.openxmlformats.org/spreadsheetml/2006/main" count="169" uniqueCount="107">
  <si>
    <t>Ressourcen · Verfügbarkeit · Auslastung — zentrale Steuerungsübersicht</t>
  </si>
  <si>
    <t>⚙  Einstellungen</t>
  </si>
  <si>
    <t>Planungsjahr</t>
  </si>
  <si>
    <t>2026</t>
  </si>
  <si>
    <t>Optimale Auslastung – untere Grenze</t>
  </si>
  <si>
    <t>Optimale Auslastung – obere Grenze</t>
  </si>
  <si>
    <t>◀ Farbschwellen für Auslastung (anpassbar)</t>
  </si>
  <si>
    <t>Zielauslastung (Empfehlung)</t>
  </si>
  <si>
    <t>📊  Kennzahlen (Jahr 2026)</t>
  </si>
  <si>
    <t>Netto-Gesamtkapazität (h)</t>
  </si>
  <si>
    <t>Geplanter Gesamtbedarf (h)</t>
  </si>
  <si>
    <t>Saldo (Kapazität − Bedarf) (h)</t>
  </si>
  <si>
    <t>Ø Auslastung (Jahr)</t>
  </si>
  <si>
    <t>Engpass-Monate (Auslastung &gt; obere Grenze)</t>
  </si>
  <si>
    <t>🗓  Monatsübersicht 2026</t>
  </si>
  <si>
    <t>Monat</t>
  </si>
  <si>
    <t>Netto-Kapazität (h)</t>
  </si>
  <si>
    <t>Geplanter Bedarf (h)</t>
  </si>
  <si>
    <t>Saldo (h)</t>
  </si>
  <si>
    <t>Auslastung (%)</t>
  </si>
  <si>
    <t>Status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</si>
  <si>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</si>
  <si>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</si>
  <si>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</si>
  <si>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</si>
  <si>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</si>
  <si>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</si>
  <si>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</si>
  <si>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</si>
  <si>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</si>
  <si>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</si>
  <si>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</si>
  <si>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</si>
  <si>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GESAMT / Ø</t>
  </si>
  <si>
    <t>Ressourcen – Stammdaten &amp; Netto-Kapazität</t>
  </si>
  <si>
    <t>Blaue Felder = Eingabe · schwarze Felder = automatisch berechnet</t>
  </si>
  <si>
    <t>Nr.</t>
  </si>
  <si>
    <t>Ressource / Mitarbeiter</t>
  </si>
  <si>
    <t>Abteilung / Typ</t>
  </si>
  <si>
    <t>Wochenstd. (Brutto)</t>
  </si>
  <si>
    <t>Arbeitstage/Wo.</t>
  </si>
  <si>
    <t>Std/Tag (Brutto)</t>
  </si>
  <si>
    <t>Verwaltungsquote %</t>
  </si>
  <si>
    <t>Produktivitäts-faktor</t>
  </si>
  <si>
    <t>Netto-Std/Tag</t>
  </si>
  <si>
    <t>Lukas Berger</t>
  </si>
  <si>
    <t>Entwicklung</t>
  </si>
  <si>
    <t>aktiv</t>
  </si>
  <si>
    <t>Mara Voss</t>
  </si>
  <si>
    <t>Design</t>
  </si>
  <si>
    <t>Felix Brandt</t>
  </si>
  <si>
    <t>Beratung</t>
  </si>
  <si>
    <t>Nina Engel</t>
  </si>
  <si>
    <t>Projektleitung</t>
  </si>
  <si>
    <t>Jonas Keller</t>
  </si>
  <si>
    <t>Sophie Lang</t>
  </si>
  <si>
    <t>Marketing</t>
  </si>
  <si>
    <t>David Roth</t>
  </si>
  <si>
    <t>Support</t>
  </si>
  <si>
    <t>Elena Wolf</t>
  </si>
  <si>
    <t>Analyse</t>
  </si>
  <si>
    <t>Verfügbarkeit – Arbeitstage &amp; Abwesenheiten (in Tagen)</t>
  </si>
  <si>
    <t>Abwesenheitstage = Urlaub + Krankheit + Weiterbildung (gesetzl. Feiertage sind in den Arbeitstagen bereits berücksichtigt)</t>
  </si>
  <si>
    <t>Arbeitstage je Monat (Soll)</t>
  </si>
  <si>
    <t>Ressource</t>
  </si>
  <si>
    <t>Abw. ges.</t>
  </si>
  <si>
    <t>Verfügb. Tage</t>
  </si>
  <si>
    <t>GESAMT</t>
  </si>
  <si>
    <t>Legende / Hinweise</t>
  </si>
  <si>
    <t>U = Urlaub · K = Krankheit · W = Weiterbildung — hier als Summe in Tagen erfassen</t>
  </si>
  <si>
    <t>Verfügbare Tage = Arbeitstage (Soll) − Abwesenheitstage</t>
  </si>
  <si>
    <t>Diese Werte fließen automatisch in die Netto-Kapazität im Kapazitätsplan ein.</t>
  </si>
  <si>
    <t>Kapazitätsplan 2026 – Bedarf · Kapazität · Auslastung</t>
  </si>
  <si>
    <t>Block 1 (blau) = Eingabe geplanter Stunden · Blöcke 2 &amp; 3 werden automatisch berechnet</t>
  </si>
  <si>
    <t>1 · Geplanter Bedarf (Projektstunden, h)</t>
  </si>
  <si>
    <t>Summe</t>
  </si>
  <si>
    <t>Gesamt (Bedarf)</t>
  </si>
  <si>
    <t>2 · Verfügbare Netto-Kapazität (h) = (Arbeitstage − Abwesenheit) × Netto-Std/Tag</t>
  </si>
  <si>
    <t>Gesamt (Kapazität)</t>
  </si>
  <si>
    <t>3 · Auslastung (%) = Bedarf ÷ Kapazität</t>
  </si>
  <si>
    <t>Ø Jahr</t>
  </si>
  <si>
    <t>Gesamt / Team</t>
  </si>
  <si>
    <t>Farblegende Auslastung:</t>
  </si>
  <si>
    <t>🟢  75 – 95 %  ·  Optimaler Zielbereich</t>
  </si>
  <si>
    <t>🟡  &lt; 75 %  ·  Unterauslastung – freie Kapazität</t>
  </si>
  <si>
    <t>🔴  &gt; 95 %  ·  Überlastung – Engpass, gegensteuern</t>
  </si>
  <si>
    <t>Anleitung – Kapazitätsplanung 2026</t>
  </si>
  <si>
    <t>So funktioniert die Vorlage</t>
  </si>
  <si>
    <t>Diese Arbeitsmappe gleicht die verfügbare Kapazität Ihres Teams mit dem geplanten Arbeitsbedarf ab und zeigt Engpässe sowie freie Kapazitäten pro Monat. Sie pflegen nur die blau hinterlegten Eingabefelder – alle Berechnungen laufen automatisch.</t>
  </si>
  <si>
    <t>Schritt 1 · Ressourcen pflegen  (Blatt »Ressourcen«)</t>
  </si>
  <si>
    <t>Tragen Sie jede Person bzw. Ressource mit Wochenstunden und Verwaltungsquote ein. Die Verwaltungsquote umfasst nicht-produktive Zeit wie Meetings, E-Mails und Organisation. Daraus errechnet sich automatisch die Netto-Stundenleistung pro Tag.</t>
  </si>
  <si>
    <t>Schritt 2 · Verfügbarkeit erfassen  (Blatt »Verfügbarkeit«)</t>
  </si>
  <si>
    <t>Prüfen Sie die Arbeitstage je Monat (Soll) – voreingestellt sind die Werktage 2026 abzüglich bundesweiter Feiertage; passen Sie diese bei Bedarf an Ihr Bundesland an. Tragen Sie anschließend geplante Abwesenheitstage (Urlaub, Krankheit, Weiterbildung) je Person und Monat ein.</t>
  </si>
  <si>
    <t>Schritt 3 · Bedarf planen  (Blatt »Kapazitätsplan«, Block 1)</t>
  </si>
  <si>
    <t>Erfassen Sie in Block 1 die geplanten Projektstunden je Ressource und Monat. Block 2 (Netto-Kapazität) und Block 3 (Auslastung) berechnen sich daraus automatisch.</t>
  </si>
  <si>
    <t>Schritt 4 · Auswerten &amp; steuern  (Blatt »Dashboard«)</t>
  </si>
  <si>
    <t>Das Dashboard zeigt Kennzahlen, die Monatsübersicht und das Diagramm. Rote Felder signalisieren Überlastung, gelbe freie Kapazität. Verschieben Sie bei Engpässen Aufgaben, priorisieren Sie neu oder ergänzen Sie externe Unterstützung.</t>
  </si>
  <si>
    <t>Farb- &amp; Eingabekonventionen</t>
  </si>
  <si>
    <t>🟦 Blaue Schrift / gelber Hintergrund = Eingabefeld (hier ändern).</t>
  </si>
  <si>
    <t>⬛ Schwarze Schrift = Formel innerhalb des Blattes.</t>
  </si>
  <si>
    <t>🟩 Grüne Schrift = Verknüpfung zu einem anderen Blatt.</t>
  </si>
  <si>
    <t>🟢 75–95 % Auslastung = optimal · 🟡 &lt; 75 % = Unterauslastung · 🔴 &gt; 95 % = Überlastung.</t>
  </si>
  <si>
    <t>Praxistipps</t>
  </si>
  <si>
    <t>• Planen Sie nie mit 100 % – halten Sie 15–20 % Puffer für Unvorhergesehenes bereit (Zielwert 80–85 %).</t>
  </si>
  <si>
    <t>• Aktualisieren Sie die Daten mindestens wöchentlich, damit die Auslastung aussagekräftig bleibt.</t>
  </si>
  <si>
    <t>• Die Auslastungs-Schwellen (75 % / 95 %) lassen sich im Dashboard unter »Einstellungen« anpassen.</t>
  </si>
  <si>
    <t>Kapazitätsplanung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</si>
</sst>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&quot; h&quot;"/>
    <numFmt numFmtId="166" formatCode="#,##0.0&quot; h&quot;;[Red]\(#,##0.0&quot;) h&quot;"/>
  </numFmts>
  <fonts count="21" x14ac:knownFonts="1">
    <font>
      <sz val="11"/>
      <color theme="1"/>
      <name val="Calibri"/>
      <family val="2"/>
      <charset val="1"/>
    </font>
    <font>
      <b/>
      <sz val="20"/>
      <color rgb="FFFFFFFF"/>
      <name val="Arial"/>
      <charset val="1"/>
    </font>
    <font>
      <i/>
      <sz val="10"/>
      <color rgb="FFFFFFFF"/>
      <name val="Arial"/>
      <charset val="1"/>
    </font>
    <font>
      <b/>
      <sz val="11"/>
      <color rgb="FF1F3A4D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0000FF"/>
      <name val="Arial"/>
      <charset val="1"/>
    </font>
    <font>
      <i/>
      <sz val="9"/>
      <color rgb="FF5A6B78"/>
      <name val="Arial"/>
      <charset val="1"/>
    </font>
    <font>
      <sz val="10"/>
      <color rgb="FF008000"/>
      <name val="Arial"/>
      <charset val="1"/>
    </font>
    <font>
      <b/>
      <sz val="10"/>
      <color rgb="FFFFFFFF"/>
      <name val="Arial"/>
      <charset val="1"/>
    </font>
    <font>
      <b/>
      <sz val="16"/>
      <color rgb="FFFFFFFF"/>
      <name val="Arial"/>
      <charset val="1"/>
    </font>
    <font>
      <sz val="10"/>
      <name val="Arial"/>
      <family val="2"/>
    </font>
    <font>
      <b/>
      <sz val="10"/>
      <color rgb="FF1F3A4D"/>
      <name val="Arial"/>
      <charset val="1"/>
    </font>
    <font>
      <b/>
      <sz val="9"/>
      <color rgb="FFFFFFFF"/>
      <name val="Arial"/>
      <charset val="1"/>
    </font>
    <font>
      <sz val="9"/>
      <color rgb="FF5A6B78"/>
      <name val="Arial"/>
      <charset val="1"/>
    </font>
    <font>
      <b/>
      <sz val="11"/>
      <color rgb="FFFFFFFF"/>
      <name val="Arial"/>
      <charset val="1"/>
    </font>
    <font>
      <b/>
      <sz val="9"/>
      <color rgb="FF0B6E33"/>
      <name val="Arial"/>
      <charset val="1"/>
    </font>
    <font>
      <b/>
      <sz val="9"/>
      <color rgb="FF9C6500"/>
      <name val="Arial"/>
      <charset val="1"/>
    </font>
    <font>
      <b/>
      <sz val="9"/>
      <color rgb="FF9C0006"/>
      <name val="Arial"/>
      <charset val="1"/>
    </font>
    <font>
      <b/>
      <sz val="11"/>
      <color rgb="FF2E6E8E"/>
      <name val="Arial"/>
      <charset val="1"/>
    </font>
    <font>
      <i/>
      <sz val="8"/>
      <color rgb="FF5A6B7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F3A4D"/>
        <bgColor rgb="FF003366"/>
      </patternFill>
    </fill>
    <fill>
      <patternFill patternType="solid">
        <fgColor rgb="FF2E6E8E"/>
        <bgColor rgb="FF3E7CB1"/>
      </patternFill>
    </fill>
    <fill>
      <patternFill patternType="solid">
        <fgColor rgb="FFFFF7DA"/>
        <bgColor rgb="FFF9F9F9"/>
      </patternFill>
    </fill>
    <fill>
      <patternFill patternType="solid">
        <fgColor rgb="FFEEF4F9"/>
        <bgColor rgb="FFF9F9F9"/>
      </patternFill>
    </fill>
    <fill>
      <patternFill patternType="solid">
        <fgColor rgb="FFFFFFFF"/>
        <bgColor rgb="FFF9F9F9"/>
      </patternFill>
    </fill>
    <fill>
      <patternFill patternType="solid">
        <fgColor rgb="FF3E7CB1"/>
        <bgColor rgb="FF4F81BD"/>
      </patternFill>
    </fill>
    <fill>
      <patternFill patternType="solid">
        <fgColor rgb="FFC6EFCE"/>
        <bgColor rgb="FFD9D9D9"/>
      </patternFill>
    </fill>
    <fill>
      <patternFill patternType="solid">
        <fgColor rgb="FFFFEB9C"/>
        <bgColor rgb="FFFFF7DA"/>
      </patternFill>
    </fill>
    <fill>
      <patternFill patternType="solid">
        <fgColor rgb="FFFFC7CE"/>
        <bgColor rgb="FFD9D9D9"/>
      </patternFill>
    </fill>
  </fills>
  <borders count="2">
    <border>
      <left/>
      <right/>
      <top/>
      <bottom/>
      <diagonal/>
    </border>
    <border>
      <left style="thin">
        <color rgb="FFB7C4CE"/>
      </left>
      <right style="thin">
        <color rgb="FFB7C4CE"/>
      </right>
      <top style="thin">
        <color rgb="FFB7C4CE"/>
      </top>
      <bottom style="thin">
        <color rgb="FFB7C4CE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8" fillId="10" borderId="1" xfId="0" applyFont="1" applyFill="1" applyBorder="1"/>
    <xf numFmtId="0" fontId="17" fillId="9" borderId="1" xfId="0" applyFont="1" applyFill="1" applyBorder="1"/>
    <xf numFmtId="0" fontId="16" fillId="8" borderId="1" xfId="0" applyFont="1" applyFill="1" applyBorder="1"/>
    <xf numFmtId="0" fontId="15" fillId="7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165" fontId="8" fillId="5" borderId="1" xfId="0" applyNumberFormat="1" applyFont="1" applyFill="1" applyBorder="1" applyAlignment="1">
      <alignment horizontal="right" vertical="center"/>
    </xf>
    <xf numFmtId="166" fontId="4" fillId="5" borderId="1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1" fontId="4" fillId="5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165" fontId="9" fillId="2" borderId="1" xfId="0" applyNumberFormat="1" applyFont="1" applyFill="1" applyBorder="1" applyAlignment="1">
      <alignment horizontal="right" vertical="center"/>
    </xf>
    <xf numFmtId="166" fontId="9" fillId="2" borderId="1" xfId="0" applyNumberFormat="1" applyFont="1" applyFill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1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165" fontId="6" fillId="4" borderId="1" xfId="0" applyNumberFormat="1" applyFont="1" applyFill="1" applyBorder="1" applyAlignment="1">
      <alignment horizontal="right" vertical="center"/>
    </xf>
    <xf numFmtId="165" fontId="4" fillId="6" borderId="1" xfId="0" applyNumberFormat="1" applyFont="1" applyFill="1" applyBorder="1" applyAlignment="1">
      <alignment horizontal="right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/>
    </xf>
    <xf numFmtId="1" fontId="4" fillId="6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1" fontId="4" fillId="5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12" fillId="0" borderId="0" xfId="0" applyFont="1"/>
    <xf numFmtId="0" fontId="14" fillId="0" borderId="0" xfId="0" applyFont="1"/>
    <xf numFmtId="165" fontId="8" fillId="6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19" fillId="0" borderId="0" xfId="0" applyFont="1"/>
    <xf numFmtId="0" fontId="4" fillId="0" borderId="0" xfId="0" applyFont="1" applyAlignment="1">
      <alignment vertical="top" wrapText="1"/>
    </xf>
    <xf numFmtId="0" fontId="20" fillId="0" borderId="0" xfId="0" applyFont="1"/>
  </cellXfs>
  <cellStyles count="1">
    <cellStyle name="Standard" xfId="0" builtinId="0"/>
  </cellStyles>
  <dxfs count="9">
    <dxf>
      <font>
        <b/>
        <sz val="10"/>
        <color rgb="FF0B6E33"/>
        <name val="Arial"/>
        <charset val="1"/>
      </font>
      <fill>
        <patternFill>
          <bgColor rgb="FFC6EFCE"/>
        </patternFill>
      </fill>
    </dxf>
    <dxf>
      <font>
        <b/>
        <sz val="10"/>
        <color rgb="FF9C6500"/>
        <name val="Arial"/>
        <charset val="1"/>
      </font>
      <fill>
        <patternFill>
          <bgColor rgb="FFFFEB9C"/>
        </patternFill>
      </fill>
    </dxf>
    <dxf>
      <font>
        <b/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0B6E33"/>
        <name val="Arial"/>
        <charset val="1"/>
      </font>
      <fill>
        <patternFill>
          <bgColor rgb="FFC6EFCE"/>
        </patternFill>
      </fill>
    </dxf>
    <dxf>
      <font>
        <sz val="10"/>
        <color rgb="FF9C6500"/>
        <name val="Arial"/>
        <charset val="1"/>
      </font>
      <fill>
        <patternFill>
          <bgColor rgb="FFFFEB9C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0B6E33"/>
        <name val="Arial"/>
        <charset val="1"/>
      </font>
      <fill>
        <patternFill>
          <bgColor rgb="FFC6EFCE"/>
        </patternFill>
      </fill>
    </dxf>
    <dxf>
      <font>
        <sz val="10"/>
        <color rgb="FF9C6500"/>
        <name val="Arial"/>
        <charset val="1"/>
      </font>
      <fill>
        <patternFill>
          <bgColor rgb="FFFFEB9C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2E6E8E"/>
      <rgbColor rgb="FFB7C4CE"/>
      <rgbColor rgb="FF878787"/>
      <rgbColor rgb="FF9999FF"/>
      <rgbColor rgb="FFC0504D"/>
      <rgbColor rgb="FFFFF7DA"/>
      <rgbColor rgb="FFEEF4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B6E33"/>
      <rgbColor rgb="FF0000FF"/>
      <rgbColor rgb="FF00CCFF"/>
      <rgbColor rgb="FFF9F9F9"/>
      <rgbColor rgb="FFC6EFCE"/>
      <rgbColor rgb="FFFFEB9C"/>
      <rgbColor rgb="FF99CCFF"/>
      <rgbColor rgb="FFFF99CC"/>
      <rgbColor rgb="FFCC99FF"/>
      <rgbColor rgb="FFFFC7CE"/>
      <rgbColor rgb="FF3E7CB1"/>
      <rgbColor rgb="FF33CCCC"/>
      <rgbColor rgb="FF99CC00"/>
      <rgbColor rgb="FFFFCC00"/>
      <rgbColor rgb="FFFF9900"/>
      <rgbColor rgb="FFFF6600"/>
      <rgbColor rgb="FF5A6B78"/>
      <rgbColor rgb="FF969696"/>
      <rgbColor rgb="FF003366"/>
      <rgbColor rgb="FF4F81BD"/>
      <rgbColor rgb="FF003300"/>
      <rgbColor rgb="FF333300"/>
      <rgbColor rgb="FF993300"/>
      <rgbColor rgb="FF993366"/>
      <rgbColor rgb="FF333399"/>
      <rgbColor rgb="FF1F3A4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Netto-Kapazität vs. geplanter Bedarf</a:t>
            </a:r>
          </a:p>
        </c:rich>
      </c:tx>
      <c:layout>
        <c:manualLayout>
          <c:xMode val="edge"/>
          <c:yMode val="edge"/>
          <c:x val="0.11667372024401385"/>
          <c:y val="1.3513513513513514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41995264265198"/>
          <c:y val="0.28852486344612327"/>
          <c:w val="0.8061402498033674"/>
          <c:h val="0.482436333971767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Dashboard!$B$18</c:f>
              <c:strCache>
                <c:ptCount val="1"/>
                <c:pt idx="0">
                  <c:v>Netto-Kapazität (h)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Dashboard!$A$19:$A$30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Dashboard!$B$19:$B$30</c:f>
              <c:numCache>
                <c:formatCode>#,##0.0" h"</c:formatCode>
                <c:ptCount val="12"/>
                <c:pt idx="0">
                  <c:v>998.08799999999997</c:v>
                </c:pt>
                <c:pt idx="1">
                  <c:v>939.36000000000013</c:v>
                </c:pt>
                <c:pt idx="2">
                  <c:v>1031.2160000000001</c:v>
                </c:pt>
                <c:pt idx="3">
                  <c:v>939.68000000000006</c:v>
                </c:pt>
                <c:pt idx="4">
                  <c:v>842.38400000000001</c:v>
                </c:pt>
                <c:pt idx="5">
                  <c:v>1015.76</c:v>
                </c:pt>
                <c:pt idx="6">
                  <c:v>726.05599999999993</c:v>
                </c:pt>
                <c:pt idx="7">
                  <c:v>633.21600000000001</c:v>
                </c:pt>
                <c:pt idx="8">
                  <c:v>1045.6160000000002</c:v>
                </c:pt>
                <c:pt idx="9">
                  <c:v>1045.6160000000002</c:v>
                </c:pt>
                <c:pt idx="10">
                  <c:v>998.08799999999997</c:v>
                </c:pt>
                <c:pt idx="11">
                  <c:v>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4-4865-990B-A516B8EC4E69}"/>
            </c:ext>
          </c:extLst>
        </c:ser>
        <c:ser>
          <c:idx val="1"/>
          <c:order val="1"/>
          <c:tx>
            <c:strRef>
              <c:f>Dashboard!$C$18</c:f>
              <c:strCache>
                <c:ptCount val="1"/>
                <c:pt idx="0">
                  <c:v>Geplanter Bedarf (h)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Dashboard!$A$19:$A$30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Dashboard!$C$19:$C$30</c:f>
              <c:numCache>
                <c:formatCode>#,##0.0" h"</c:formatCode>
                <c:ptCount val="12"/>
                <c:pt idx="0">
                  <c:v>855</c:v>
                </c:pt>
                <c:pt idx="1">
                  <c:v>891</c:v>
                </c:pt>
                <c:pt idx="2">
                  <c:v>898</c:v>
                </c:pt>
                <c:pt idx="3">
                  <c:v>874</c:v>
                </c:pt>
                <c:pt idx="4">
                  <c:v>911</c:v>
                </c:pt>
                <c:pt idx="5">
                  <c:v>887</c:v>
                </c:pt>
                <c:pt idx="6">
                  <c:v>690</c:v>
                </c:pt>
                <c:pt idx="7">
                  <c:v>600</c:v>
                </c:pt>
                <c:pt idx="8">
                  <c:v>962</c:v>
                </c:pt>
                <c:pt idx="9">
                  <c:v>983</c:v>
                </c:pt>
                <c:pt idx="10">
                  <c:v>916</c:v>
                </c:pt>
                <c:pt idx="11">
                  <c:v>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74-4865-990B-A516B8EC4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5548842"/>
        <c:axId val="66012916"/>
      </c:barChart>
      <c:catAx>
        <c:axId val="9554884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Monat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6012916"/>
        <c:crosses val="autoZero"/>
        <c:auto val="1"/>
        <c:lblAlgn val="ctr"/>
        <c:lblOffset val="100"/>
        <c:noMultiLvlLbl val="0"/>
      </c:catAx>
      <c:valAx>
        <c:axId val="660129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Stunden</a:t>
                </a:r>
              </a:p>
            </c:rich>
          </c:tx>
          <c:layout>
            <c:manualLayout>
              <c:xMode val="edge"/>
              <c:yMode val="edge"/>
              <c:x val="1.6597506758256442E-2"/>
              <c:y val="0.43826771653543306"/>
            </c:manualLayout>
          </c:layout>
          <c:overlay val="0"/>
          <c:spPr>
            <a:noFill/>
            <a:ln w="0">
              <a:noFill/>
            </a:ln>
          </c:spPr>
        </c:title>
        <c:numFmt formatCode="#,##0.0&quot; h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95548842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197663454402925"/>
          <c:y val="0.12789210470312831"/>
          <c:w val="0.27746740343333148"/>
          <c:h val="0.1629091296020429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CC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866775</xdr:colOff>
      <xdr:row>2</xdr:row>
      <xdr:rowOff>38100</xdr:rowOff>
    </xdr:from>
    <xdr:to>
      <xdr:col>9</xdr:col>
      <xdr:colOff>9526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showGridLines="0" tabSelected="1" zoomScaleNormal="100" workbookViewId="0">
      <selection activeCell="K24" sqref="K24"/>
    </sheetView>
  </sheetViews>
  <sheetFormatPr baseColWidth="10" defaultColWidth="8.7109375" defaultRowHeight="15" x14ac:dyDescent="0.25"/>
  <cols>
    <col min="1" max="1" width="34" customWidth="1"/>
    <col min="2" max="2" width="18" customWidth="1"/>
    <col min="3" max="3" width="19.42578125" customWidth="1"/>
    <col min="4" max="4" width="16" customWidth="1"/>
    <col min="5" max="5" width="15" customWidth="1"/>
    <col min="6" max="6" width="20" customWidth="1"/>
    <col min="8" max="18" width="11" customWidth="1"/>
  </cols>
  <sheetData>
    <row r="1" spans="1:9" ht="33.75" customHeight="1" x14ac:dyDescent="0.25">
      <c r="A1" s="8" t="s">
        <v>106</v>
      </c>
      <c r="B1" s="8"/>
      <c r="C1" s="8"/>
      <c r="D1" s="8"/>
      <c r="E1" s="8"/>
      <c r="F1" s="8"/>
      <c r="G1" s="8"/>
      <c r="H1" s="8"/>
      <c r="I1" s="8"/>
    </row>
    <row r="2" spans="1:9" ht="18" customHeight="1" x14ac:dyDescent="0.25">
      <c r="A2" s="7" t="s">
        <v>0</v>
      </c>
      <c r="B2" s="7"/>
      <c r="C2" s="7"/>
      <c r="D2" s="7"/>
      <c r="E2" s="7"/>
      <c r="F2" s="7"/>
      <c r="G2" s="7"/>
      <c r="H2" s="7"/>
      <c r="I2" s="7"/>
    </row>
    <row r="4" spans="1:9" x14ac:dyDescent="0.25">
      <c r="A4" s="9" t="s">
        <v>1</v>
      </c>
    </row>
    <row r="5" spans="1:9" x14ac:dyDescent="0.25">
      <c r="A5" s="10" t="s">
        <v>2</v>
      </c>
      <c r="B5" s="11" t="s">
        <v>3</v>
      </c>
    </row>
    <row r="6" spans="1:9" x14ac:dyDescent="0.25">
      <c r="A6" s="10" t="s">
        <v>4</v>
      </c>
      <c r="B6" s="12">
        <v>0.75</v>
      </c>
    </row>
    <row r="7" spans="1:9" x14ac:dyDescent="0.25">
      <c r="A7" s="10" t="s">
        <v>5</v>
      </c>
      <c r="B7" s="12">
        <v>0.95</v>
      </c>
      <c r="C7" s="57" t="s">
        <v>6</v>
      </c>
    </row>
    <row r="8" spans="1:9" x14ac:dyDescent="0.25">
      <c r="A8" s="10" t="s">
        <v>7</v>
      </c>
      <c r="B8" s="12">
        <v>0.85</v>
      </c>
    </row>
    <row r="10" spans="1:9" x14ac:dyDescent="0.25">
      <c r="A10" s="9" t="s">
        <v>8</v>
      </c>
    </row>
    <row r="11" spans="1:9" x14ac:dyDescent="0.25">
      <c r="A11" s="13" t="s">
        <v>9</v>
      </c>
      <c r="B11" s="14">
        <f>Kapazitätsplan!N26</f>
        <v>11147.08</v>
      </c>
    </row>
    <row r="12" spans="1:9" x14ac:dyDescent="0.25">
      <c r="A12" s="13" t="s">
        <v>10</v>
      </c>
      <c r="B12" s="14">
        <f>Kapazitätsplan!N14</f>
        <v>10225</v>
      </c>
    </row>
    <row r="13" spans="1:9" x14ac:dyDescent="0.25">
      <c r="A13" s="13" t="s">
        <v>11</v>
      </c>
      <c r="B13" s="15">
        <f>B11-B12</f>
        <v>922.07999999999993</v>
      </c>
    </row>
    <row r="14" spans="1:9" x14ac:dyDescent="0.25">
      <c r="A14" s="13" t="s">
        <v>12</v>
      </c>
      <c r="B14" s="16">
        <f>Kapazitätsplan!N38</f>
        <v>0.91728057930866203</v>
      </c>
    </row>
    <row r="15" spans="1:9" x14ac:dyDescent="0.25">
      <c r="A15" s="13" t="s">
        <v>13</v>
      </c>
      <c r="B15" s="17">
        <f>COUNTIF(Kapazitätsplan!B38:M38,"&gt;"&amp;$B$7)</f>
        <v>2</v>
      </c>
    </row>
    <row r="17" spans="1:6" x14ac:dyDescent="0.25">
      <c r="A17" s="9" t="s">
        <v>14</v>
      </c>
    </row>
    <row r="18" spans="1:6" ht="30" customHeight="1" x14ac:dyDescent="0.25">
      <c r="A18" s="18" t="s">
        <v>15</v>
      </c>
      <c r="B18" s="18" t="s">
        <v>16</v>
      </c>
      <c r="C18" s="18" t="s">
        <v>17</v>
      </c>
      <c r="D18" s="18" t="s">
        <v>18</v>
      </c>
      <c r="E18" s="18" t="s">
        <v>19</v>
      </c>
      <c r="F18" s="18" t="s">
        <v>20</v>
      </c>
    </row>
    <row r="19" spans="1:6" x14ac:dyDescent="0.25">
      <c r="A19" s="19" t="s">
        <v>21</v>
      </c>
      <c r="B19" s="20">
        <f>Kapazitätsplan!B26</f>
        <v>998.08799999999997</v>
      </c>
      <c r="C19" s="20">
        <f>Kapazitätsplan!B14</f>
        <v>855</v>
      </c>
      <c r="D19" s="21">
        <f t="shared" ref="D19:D31" si="0">B19-C19</f>
        <v>143.08799999999997</v>
      </c>
      <c r="E19" s="22">
        <f>Kapazitätsplan!B38</f>
        <v>0.85663789164883264</v>
      </c>
      <c r="F19" s="23" t="str">
        <f t="shared" ref="F19:F30" si="1">IF(E19&gt;$B$7,"⚠ Überlastet",IF(E19&lt;$B$6,"○ Unterauslastung","✓ Optimal"))</f>
        <v>✓ Optimal</v>
      </c>
    </row>
    <row r="20" spans="1:6" x14ac:dyDescent="0.25">
      <c r="A20" s="19" t="s">
        <v>22</v>
      </c>
      <c r="B20" s="14">
        <f>Kapazitätsplan!C26</f>
        <v>939.36000000000013</v>
      </c>
      <c r="C20" s="14">
        <f>Kapazitätsplan!C14</f>
        <v>891</v>
      </c>
      <c r="D20" s="15">
        <f t="shared" si="0"/>
        <v>48.360000000000127</v>
      </c>
      <c r="E20" s="22">
        <f>Kapazitätsplan!C38</f>
        <v>0.94851814001021961</v>
      </c>
      <c r="F20" s="24" t="str">
        <f t="shared" si="1"/>
        <v>✓ Optimal</v>
      </c>
    </row>
    <row r="21" spans="1:6" x14ac:dyDescent="0.25">
      <c r="A21" s="19" t="s">
        <v>23</v>
      </c>
      <c r="B21" s="20">
        <f>Kapazitätsplan!D26</f>
        <v>1031.2160000000001</v>
      </c>
      <c r="C21" s="20">
        <f>Kapazitätsplan!D14</f>
        <v>898</v>
      </c>
      <c r="D21" s="21">
        <f t="shared" si="0"/>
        <v>133.21600000000012</v>
      </c>
      <c r="E21" s="22">
        <f>Kapazitätsplan!D38</f>
        <v>0.87081658934694561</v>
      </c>
      <c r="F21" s="23" t="str">
        <f t="shared" si="1"/>
        <v>✓ Optimal</v>
      </c>
    </row>
    <row r="22" spans="1:6" x14ac:dyDescent="0.25">
      <c r="A22" s="19" t="s">
        <v>24</v>
      </c>
      <c r="B22" s="14">
        <f>Kapazitätsplan!E26</f>
        <v>939.68000000000006</v>
      </c>
      <c r="C22" s="14">
        <f>Kapazitätsplan!E14</f>
        <v>874</v>
      </c>
      <c r="D22" s="15">
        <f t="shared" si="0"/>
        <v>65.680000000000064</v>
      </c>
      <c r="E22" s="22">
        <f>Kapazitätsplan!E38</f>
        <v>0.93010386514558141</v>
      </c>
      <c r="F22" s="24" t="str">
        <f t="shared" si="1"/>
        <v>✓ Optimal</v>
      </c>
    </row>
    <row r="23" spans="1:6" x14ac:dyDescent="0.25">
      <c r="A23" s="19" t="s">
        <v>25</v>
      </c>
      <c r="B23" s="20">
        <f>Kapazitätsplan!F26</f>
        <v>842.38400000000001</v>
      </c>
      <c r="C23" s="20">
        <f>Kapazitätsplan!F14</f>
        <v>911</v>
      </c>
      <c r="D23" s="21">
        <f t="shared" si="0"/>
        <v>-68.615999999999985</v>
      </c>
      <c r="E23" s="22">
        <f>Kapazitätsplan!F38</f>
        <v>1.0814545385477408</v>
      </c>
      <c r="F23" s="23" t="str">
        <f t="shared" si="1"/>
        <v>⚠ Überlastet</v>
      </c>
    </row>
    <row r="24" spans="1:6" x14ac:dyDescent="0.25">
      <c r="A24" s="19" t="s">
        <v>26</v>
      </c>
      <c r="B24" s="14">
        <f>Kapazitätsplan!G26</f>
        <v>1015.76</v>
      </c>
      <c r="C24" s="14">
        <f>Kapazitätsplan!G14</f>
        <v>887</v>
      </c>
      <c r="D24" s="15">
        <f t="shared" si="0"/>
        <v>128.76</v>
      </c>
      <c r="E24" s="22">
        <f>Kapazitätsplan!G38</f>
        <v>0.87323777270221314</v>
      </c>
      <c r="F24" s="24" t="str">
        <f t="shared" si="1"/>
        <v>✓ Optimal</v>
      </c>
    </row>
    <row r="25" spans="1:6" x14ac:dyDescent="0.25">
      <c r="A25" s="19" t="s">
        <v>27</v>
      </c>
      <c r="B25" s="20">
        <f>Kapazitätsplan!H26</f>
        <v>726.05599999999993</v>
      </c>
      <c r="C25" s="20">
        <f>Kapazitätsplan!H14</f>
        <v>690</v>
      </c>
      <c r="D25" s="21">
        <f t="shared" si="0"/>
        <v>36.055999999999926</v>
      </c>
      <c r="E25" s="22">
        <f>Kapazitätsplan!H38</f>
        <v>0.9503399186839584</v>
      </c>
      <c r="F25" s="23" t="str">
        <f t="shared" si="1"/>
        <v>⚠ Überlastet</v>
      </c>
    </row>
    <row r="26" spans="1:6" x14ac:dyDescent="0.25">
      <c r="A26" s="19" t="s">
        <v>28</v>
      </c>
      <c r="B26" s="14">
        <f>Kapazitätsplan!I26</f>
        <v>633.21600000000001</v>
      </c>
      <c r="C26" s="14">
        <f>Kapazitätsplan!I14</f>
        <v>600</v>
      </c>
      <c r="D26" s="15">
        <f t="shared" si="0"/>
        <v>33.216000000000008</v>
      </c>
      <c r="E26" s="22">
        <f>Kapazitätsplan!I38</f>
        <v>0.94754396604002422</v>
      </c>
      <c r="F26" s="24" t="str">
        <f t="shared" si="1"/>
        <v>✓ Optimal</v>
      </c>
    </row>
    <row r="27" spans="1:6" x14ac:dyDescent="0.25">
      <c r="A27" s="19" t="s">
        <v>29</v>
      </c>
      <c r="B27" s="20">
        <f>Kapazitätsplan!J26</f>
        <v>1045.6160000000002</v>
      </c>
      <c r="C27" s="20">
        <f>Kapazitätsplan!J14</f>
        <v>962</v>
      </c>
      <c r="D27" s="21">
        <f t="shared" si="0"/>
        <v>83.616000000000213</v>
      </c>
      <c r="E27" s="22">
        <f>Kapazitätsplan!J38</f>
        <v>0.92003182812810802</v>
      </c>
      <c r="F27" s="23" t="str">
        <f t="shared" si="1"/>
        <v>✓ Optimal</v>
      </c>
    </row>
    <row r="28" spans="1:6" x14ac:dyDescent="0.25">
      <c r="A28" s="19" t="s">
        <v>30</v>
      </c>
      <c r="B28" s="14">
        <f>Kapazitätsplan!K26</f>
        <v>1045.6160000000002</v>
      </c>
      <c r="C28" s="14">
        <f>Kapazitätsplan!K14</f>
        <v>983</v>
      </c>
      <c r="D28" s="15">
        <f t="shared" si="0"/>
        <v>62.616000000000213</v>
      </c>
      <c r="E28" s="22">
        <f>Kapazitätsplan!K38</f>
        <v>0.94011568300408543</v>
      </c>
      <c r="F28" s="24" t="str">
        <f t="shared" si="1"/>
        <v>✓ Optimal</v>
      </c>
    </row>
    <row r="29" spans="1:6" x14ac:dyDescent="0.25">
      <c r="A29" s="19" t="s">
        <v>31</v>
      </c>
      <c r="B29" s="20">
        <f>Kapazitätsplan!L26</f>
        <v>998.08799999999997</v>
      </c>
      <c r="C29" s="20">
        <f>Kapazitätsplan!L14</f>
        <v>916</v>
      </c>
      <c r="D29" s="21">
        <f t="shared" si="0"/>
        <v>82.087999999999965</v>
      </c>
      <c r="E29" s="22">
        <f>Kapazitätsplan!L38</f>
        <v>0.91775474707641014</v>
      </c>
      <c r="F29" s="23" t="str">
        <f t="shared" si="1"/>
        <v>✓ Optimal</v>
      </c>
    </row>
    <row r="30" spans="1:6" x14ac:dyDescent="0.25">
      <c r="A30" s="19" t="s">
        <v>32</v>
      </c>
      <c r="B30" s="14">
        <f>Kapazitätsplan!M26</f>
        <v>932</v>
      </c>
      <c r="C30" s="14">
        <f>Kapazitätsplan!M14</f>
        <v>758</v>
      </c>
      <c r="D30" s="15">
        <f t="shared" si="0"/>
        <v>174</v>
      </c>
      <c r="E30" s="22">
        <f>Kapazitätsplan!M38</f>
        <v>0.81330472103004292</v>
      </c>
      <c r="F30" s="24" t="str">
        <f t="shared" si="1"/>
        <v>✓ Optimal</v>
      </c>
    </row>
    <row r="31" spans="1:6" x14ac:dyDescent="0.25">
      <c r="A31" s="25" t="s">
        <v>33</v>
      </c>
      <c r="B31" s="26">
        <f>SUM(B19:B30)</f>
        <v>11147.08</v>
      </c>
      <c r="C31" s="26">
        <f>SUM(C19:C30)</f>
        <v>10225</v>
      </c>
      <c r="D31" s="27">
        <f t="shared" si="0"/>
        <v>922.07999999999993</v>
      </c>
      <c r="E31" s="28">
        <f>Kapazitätsplan!N38</f>
        <v>0.91728057930866203</v>
      </c>
      <c r="F31" s="29"/>
    </row>
  </sheetData>
  <mergeCells count="2">
    <mergeCell ref="A1:I1"/>
    <mergeCell ref="A2:I2"/>
  </mergeCells>
  <conditionalFormatting sqref="E19:E30">
    <cfRule type="cellIs" dxfId="8" priority="2" operator="greaterThan">
      <formula>0.95</formula>
    </cfRule>
    <cfRule type="cellIs" dxfId="7" priority="3" operator="lessThan">
      <formula>0.75</formula>
    </cfRule>
    <cfRule type="cellIs" dxfId="6" priority="4" operator="between">
      <formula>0.75</formula>
      <formula>0.95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showGridLines="0" zoomScaleNormal="100" workbookViewId="0">
      <selection sqref="A1:J1"/>
    </sheetView>
  </sheetViews>
  <sheetFormatPr baseColWidth="10" defaultColWidth="8.7109375" defaultRowHeight="15" x14ac:dyDescent="0.25"/>
  <cols>
    <col min="1" max="1" width="6" customWidth="1"/>
    <col min="2" max="2" width="22" customWidth="1"/>
    <col min="3" max="4" width="18" customWidth="1"/>
    <col min="5" max="5" width="15" customWidth="1"/>
    <col min="6" max="6" width="14" customWidth="1"/>
    <col min="7" max="8" width="18" customWidth="1"/>
    <col min="9" max="9" width="16" customWidth="1"/>
    <col min="10" max="10" width="12" customWidth="1"/>
  </cols>
  <sheetData>
    <row r="1" spans="1:10" ht="27.75" customHeight="1" x14ac:dyDescent="0.25">
      <c r="A1" s="6" t="s">
        <v>34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25">
      <c r="A2" s="5" t="s">
        <v>35</v>
      </c>
      <c r="B2" s="5"/>
      <c r="C2" s="5"/>
      <c r="D2" s="5"/>
      <c r="E2" s="5"/>
      <c r="F2" s="5"/>
      <c r="G2" s="5"/>
      <c r="H2" s="5"/>
      <c r="I2" s="5"/>
      <c r="J2" s="5"/>
    </row>
    <row r="4" spans="1:10" ht="33.75" customHeight="1" x14ac:dyDescent="0.25">
      <c r="A4" s="18" t="s">
        <v>36</v>
      </c>
      <c r="B4" s="18" t="s">
        <v>37</v>
      </c>
      <c r="C4" s="18" t="s">
        <v>38</v>
      </c>
      <c r="D4" s="18" t="s">
        <v>39</v>
      </c>
      <c r="E4" s="18" t="s">
        <v>40</v>
      </c>
      <c r="F4" s="18" t="s">
        <v>41</v>
      </c>
      <c r="G4" s="18" t="s">
        <v>42</v>
      </c>
      <c r="H4" s="18" t="s">
        <v>43</v>
      </c>
      <c r="I4" s="18" t="s">
        <v>44</v>
      </c>
      <c r="J4" s="18" t="s">
        <v>20</v>
      </c>
    </row>
    <row r="5" spans="1:10" x14ac:dyDescent="0.25">
      <c r="A5" s="30">
        <v>1</v>
      </c>
      <c r="B5" s="31" t="s">
        <v>45</v>
      </c>
      <c r="C5" s="31" t="s">
        <v>46</v>
      </c>
      <c r="D5" s="32">
        <v>40</v>
      </c>
      <c r="E5" s="30">
        <v>5</v>
      </c>
      <c r="F5" s="33">
        <f t="shared" ref="F5:F12" si="0">D5/E5</f>
        <v>8</v>
      </c>
      <c r="G5" s="12">
        <v>0.2</v>
      </c>
      <c r="H5" s="34">
        <f t="shared" ref="H5:H12" si="1">1-G5</f>
        <v>0.8</v>
      </c>
      <c r="I5" s="33">
        <f t="shared" ref="I5:I12" si="2">F5*H5</f>
        <v>6.4</v>
      </c>
      <c r="J5" s="35" t="s">
        <v>47</v>
      </c>
    </row>
    <row r="6" spans="1:10" x14ac:dyDescent="0.25">
      <c r="A6" s="30">
        <v>2</v>
      </c>
      <c r="B6" s="31" t="s">
        <v>48</v>
      </c>
      <c r="C6" s="31" t="s">
        <v>49</v>
      </c>
      <c r="D6" s="32">
        <v>32</v>
      </c>
      <c r="E6" s="30">
        <v>5</v>
      </c>
      <c r="F6" s="36">
        <f t="shared" si="0"/>
        <v>6.4</v>
      </c>
      <c r="G6" s="12">
        <v>0.15</v>
      </c>
      <c r="H6" s="37">
        <f t="shared" si="1"/>
        <v>0.85</v>
      </c>
      <c r="I6" s="36">
        <f t="shared" si="2"/>
        <v>5.44</v>
      </c>
      <c r="J6" s="35" t="s">
        <v>47</v>
      </c>
    </row>
    <row r="7" spans="1:10" x14ac:dyDescent="0.25">
      <c r="A7" s="30">
        <v>3</v>
      </c>
      <c r="B7" s="31" t="s">
        <v>50</v>
      </c>
      <c r="C7" s="31" t="s">
        <v>51</v>
      </c>
      <c r="D7" s="32">
        <v>40</v>
      </c>
      <c r="E7" s="30">
        <v>5</v>
      </c>
      <c r="F7" s="33">
        <f t="shared" si="0"/>
        <v>8</v>
      </c>
      <c r="G7" s="12">
        <v>0.25</v>
      </c>
      <c r="H7" s="34">
        <f t="shared" si="1"/>
        <v>0.75</v>
      </c>
      <c r="I7" s="33">
        <f t="shared" si="2"/>
        <v>6</v>
      </c>
      <c r="J7" s="35" t="s">
        <v>47</v>
      </c>
    </row>
    <row r="8" spans="1:10" x14ac:dyDescent="0.25">
      <c r="A8" s="30">
        <v>4</v>
      </c>
      <c r="B8" s="31" t="s">
        <v>52</v>
      </c>
      <c r="C8" s="31" t="s">
        <v>53</v>
      </c>
      <c r="D8" s="32">
        <v>40</v>
      </c>
      <c r="E8" s="30">
        <v>5</v>
      </c>
      <c r="F8" s="36">
        <f t="shared" si="0"/>
        <v>8</v>
      </c>
      <c r="G8" s="12">
        <v>0.3</v>
      </c>
      <c r="H8" s="37">
        <f t="shared" si="1"/>
        <v>0.7</v>
      </c>
      <c r="I8" s="36">
        <f t="shared" si="2"/>
        <v>5.6</v>
      </c>
      <c r="J8" s="35" t="s">
        <v>47</v>
      </c>
    </row>
    <row r="9" spans="1:10" x14ac:dyDescent="0.25">
      <c r="A9" s="30">
        <v>5</v>
      </c>
      <c r="B9" s="31" t="s">
        <v>54</v>
      </c>
      <c r="C9" s="31" t="s">
        <v>46</v>
      </c>
      <c r="D9" s="32">
        <v>40</v>
      </c>
      <c r="E9" s="30">
        <v>5</v>
      </c>
      <c r="F9" s="33">
        <f t="shared" si="0"/>
        <v>8</v>
      </c>
      <c r="G9" s="12">
        <v>0.15</v>
      </c>
      <c r="H9" s="34">
        <f t="shared" si="1"/>
        <v>0.85</v>
      </c>
      <c r="I9" s="33">
        <f t="shared" si="2"/>
        <v>6.8</v>
      </c>
      <c r="J9" s="35" t="s">
        <v>47</v>
      </c>
    </row>
    <row r="10" spans="1:10" x14ac:dyDescent="0.25">
      <c r="A10" s="30">
        <v>6</v>
      </c>
      <c r="B10" s="31" t="s">
        <v>55</v>
      </c>
      <c r="C10" s="31" t="s">
        <v>56</v>
      </c>
      <c r="D10" s="32">
        <v>30</v>
      </c>
      <c r="E10" s="30">
        <v>5</v>
      </c>
      <c r="F10" s="36">
        <f t="shared" si="0"/>
        <v>6</v>
      </c>
      <c r="G10" s="12">
        <v>0.2</v>
      </c>
      <c r="H10" s="37">
        <f t="shared" si="1"/>
        <v>0.8</v>
      </c>
      <c r="I10" s="36">
        <f t="shared" si="2"/>
        <v>4.8000000000000007</v>
      </c>
      <c r="J10" s="35" t="s">
        <v>47</v>
      </c>
    </row>
    <row r="11" spans="1:10" x14ac:dyDescent="0.25">
      <c r="A11" s="30">
        <v>7</v>
      </c>
      <c r="B11" s="31" t="s">
        <v>57</v>
      </c>
      <c r="C11" s="31" t="s">
        <v>58</v>
      </c>
      <c r="D11" s="32">
        <v>40</v>
      </c>
      <c r="E11" s="30">
        <v>5</v>
      </c>
      <c r="F11" s="33">
        <f t="shared" si="0"/>
        <v>8</v>
      </c>
      <c r="G11" s="12">
        <v>0.18</v>
      </c>
      <c r="H11" s="34">
        <f t="shared" si="1"/>
        <v>0.82000000000000006</v>
      </c>
      <c r="I11" s="33">
        <f t="shared" si="2"/>
        <v>6.5600000000000005</v>
      </c>
      <c r="J11" s="35" t="s">
        <v>47</v>
      </c>
    </row>
    <row r="12" spans="1:10" x14ac:dyDescent="0.25">
      <c r="A12" s="30">
        <v>8</v>
      </c>
      <c r="B12" s="31" t="s">
        <v>59</v>
      </c>
      <c r="C12" s="31" t="s">
        <v>60</v>
      </c>
      <c r="D12" s="32">
        <v>38</v>
      </c>
      <c r="E12" s="30">
        <v>5</v>
      </c>
      <c r="F12" s="36">
        <f t="shared" si="0"/>
        <v>7.6</v>
      </c>
      <c r="G12" s="12">
        <v>0.22</v>
      </c>
      <c r="H12" s="37">
        <f t="shared" si="1"/>
        <v>0.78</v>
      </c>
      <c r="I12" s="36">
        <f t="shared" si="2"/>
        <v>5.9279999999999999</v>
      </c>
      <c r="J12" s="35" t="s">
        <v>47</v>
      </c>
    </row>
  </sheetData>
  <mergeCells count="2">
    <mergeCell ref="A1:J1"/>
    <mergeCell ref="A2:J2"/>
  </mergeCells>
  <dataValidations count="2">
    <dataValidation type="list" allowBlank="1" sqref="C5:C12" xr:uid="{00000000-0002-0000-0100-000000000000}">
      <formula1>"Entwicklung,Design,Beratung,Projektleitung,Marketing,Support,Analyse,Vertrieb,Verwaltung"</formula1>
      <formula2>0</formula2>
    </dataValidation>
    <dataValidation type="list" allowBlank="1" sqref="J5:J12" xr:uid="{00000000-0002-0000-0100-000001000000}">
      <formula1>"aktiv,inaktiv"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"/>
  <sheetViews>
    <sheetView showGridLines="0" zoomScaleNormal="100" workbookViewId="0">
      <selection sqref="A1:O1"/>
    </sheetView>
  </sheetViews>
  <sheetFormatPr baseColWidth="10" defaultColWidth="8.7109375" defaultRowHeight="15" x14ac:dyDescent="0.25"/>
  <cols>
    <col min="1" max="1" width="22" customWidth="1"/>
    <col min="2" max="13" width="6.5703125" customWidth="1"/>
    <col min="14" max="14" width="12" customWidth="1"/>
    <col min="15" max="15" width="14" customWidth="1"/>
  </cols>
  <sheetData>
    <row r="1" spans="1:15" ht="27.75" customHeight="1" x14ac:dyDescent="0.25">
      <c r="A1" s="6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5" t="s">
        <v>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4" spans="1:15" x14ac:dyDescent="0.25">
      <c r="A4" s="38" t="s">
        <v>63</v>
      </c>
      <c r="B4" s="30">
        <v>21</v>
      </c>
      <c r="C4" s="30">
        <v>20</v>
      </c>
      <c r="D4" s="30">
        <v>22</v>
      </c>
      <c r="E4" s="30">
        <v>20</v>
      </c>
      <c r="F4" s="30">
        <v>18</v>
      </c>
      <c r="G4" s="30">
        <v>22</v>
      </c>
      <c r="H4" s="30">
        <v>23</v>
      </c>
      <c r="I4" s="30">
        <v>21</v>
      </c>
      <c r="J4" s="30">
        <v>22</v>
      </c>
      <c r="K4" s="30">
        <v>22</v>
      </c>
      <c r="L4" s="30">
        <v>21</v>
      </c>
      <c r="M4" s="30">
        <v>22</v>
      </c>
      <c r="N4" s="11">
        <f>SUM(B4:M4)</f>
        <v>254</v>
      </c>
    </row>
    <row r="6" spans="1:15" x14ac:dyDescent="0.25">
      <c r="A6" s="39" t="s">
        <v>64</v>
      </c>
      <c r="B6" s="40" t="s">
        <v>21</v>
      </c>
      <c r="C6" s="40" t="s">
        <v>22</v>
      </c>
      <c r="D6" s="40" t="s">
        <v>23</v>
      </c>
      <c r="E6" s="40" t="s">
        <v>24</v>
      </c>
      <c r="F6" s="40" t="s">
        <v>25</v>
      </c>
      <c r="G6" s="40" t="s">
        <v>26</v>
      </c>
      <c r="H6" s="40" t="s">
        <v>27</v>
      </c>
      <c r="I6" s="40" t="s">
        <v>28</v>
      </c>
      <c r="J6" s="40" t="s">
        <v>29</v>
      </c>
      <c r="K6" s="40" t="s">
        <v>30</v>
      </c>
      <c r="L6" s="40" t="s">
        <v>31</v>
      </c>
      <c r="M6" s="40" t="s">
        <v>32</v>
      </c>
      <c r="N6" s="41" t="s">
        <v>65</v>
      </c>
      <c r="O6" s="41" t="s">
        <v>66</v>
      </c>
    </row>
    <row r="7" spans="1:15" x14ac:dyDescent="0.25">
      <c r="A7" s="42" t="str">
        <f>Ressourcen!B5</f>
        <v>Lukas Berger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10</v>
      </c>
      <c r="I7" s="30">
        <v>5</v>
      </c>
      <c r="J7" s="30">
        <v>0</v>
      </c>
      <c r="K7" s="30">
        <v>0</v>
      </c>
      <c r="L7" s="30">
        <v>0</v>
      </c>
      <c r="M7" s="30">
        <v>3</v>
      </c>
      <c r="N7" s="43">
        <f t="shared" ref="N7:N14" si="0">SUM(B7:M7)</f>
        <v>18</v>
      </c>
      <c r="O7" s="43">
        <f t="shared" ref="O7:O14" si="1">$N$4-N7</f>
        <v>236</v>
      </c>
    </row>
    <row r="8" spans="1:15" x14ac:dyDescent="0.25">
      <c r="A8" s="44" t="str">
        <f>Ressourcen!B6</f>
        <v>Mara Voss</v>
      </c>
      <c r="B8" s="30">
        <v>0</v>
      </c>
      <c r="C8" s="30">
        <v>0</v>
      </c>
      <c r="D8" s="30">
        <v>0</v>
      </c>
      <c r="E8" s="30">
        <v>2</v>
      </c>
      <c r="F8" s="30">
        <v>0</v>
      </c>
      <c r="G8" s="30">
        <v>0</v>
      </c>
      <c r="H8" s="30">
        <v>8</v>
      </c>
      <c r="I8" s="30">
        <v>8</v>
      </c>
      <c r="J8" s="30">
        <v>0</v>
      </c>
      <c r="K8" s="30">
        <v>0</v>
      </c>
      <c r="L8" s="30">
        <v>0</v>
      </c>
      <c r="M8" s="30">
        <v>2</v>
      </c>
      <c r="N8" s="45">
        <f t="shared" si="0"/>
        <v>20</v>
      </c>
      <c r="O8" s="45">
        <f t="shared" si="1"/>
        <v>234</v>
      </c>
    </row>
    <row r="9" spans="1:15" x14ac:dyDescent="0.25">
      <c r="A9" s="42" t="str">
        <f>Ressourcen!B7</f>
        <v>Felix Brandt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3</v>
      </c>
      <c r="H9" s="30">
        <v>5</v>
      </c>
      <c r="I9" s="30">
        <v>10</v>
      </c>
      <c r="J9" s="30">
        <v>0</v>
      </c>
      <c r="K9" s="30">
        <v>0</v>
      </c>
      <c r="L9" s="30">
        <v>0</v>
      </c>
      <c r="M9" s="30">
        <v>2</v>
      </c>
      <c r="N9" s="43">
        <f t="shared" si="0"/>
        <v>20</v>
      </c>
      <c r="O9" s="43">
        <f t="shared" si="1"/>
        <v>234</v>
      </c>
    </row>
    <row r="10" spans="1:15" x14ac:dyDescent="0.25">
      <c r="A10" s="44" t="str">
        <f>Ressourcen!B8</f>
        <v>Nina Engel</v>
      </c>
      <c r="B10" s="30">
        <v>0</v>
      </c>
      <c r="C10" s="30">
        <v>2</v>
      </c>
      <c r="D10" s="30">
        <v>0</v>
      </c>
      <c r="E10" s="30">
        <v>0</v>
      </c>
      <c r="F10" s="30">
        <v>0</v>
      </c>
      <c r="G10" s="30">
        <v>0</v>
      </c>
      <c r="H10" s="30">
        <v>10</v>
      </c>
      <c r="I10" s="30">
        <v>5</v>
      </c>
      <c r="J10" s="30">
        <v>0</v>
      </c>
      <c r="K10" s="30">
        <v>0</v>
      </c>
      <c r="L10" s="30">
        <v>0</v>
      </c>
      <c r="M10" s="30">
        <v>3</v>
      </c>
      <c r="N10" s="45">
        <f t="shared" si="0"/>
        <v>20</v>
      </c>
      <c r="O10" s="45">
        <f t="shared" si="1"/>
        <v>234</v>
      </c>
    </row>
    <row r="11" spans="1:15" x14ac:dyDescent="0.25">
      <c r="A11" s="42" t="str">
        <f>Ressourcen!B9</f>
        <v>Jonas Keller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5</v>
      </c>
      <c r="I11" s="30">
        <v>12</v>
      </c>
      <c r="J11" s="30">
        <v>0</v>
      </c>
      <c r="K11" s="30">
        <v>0</v>
      </c>
      <c r="L11" s="30">
        <v>0</v>
      </c>
      <c r="M11" s="30">
        <v>2</v>
      </c>
      <c r="N11" s="43">
        <f t="shared" si="0"/>
        <v>19</v>
      </c>
      <c r="O11" s="43">
        <f t="shared" si="1"/>
        <v>235</v>
      </c>
    </row>
    <row r="12" spans="1:15" x14ac:dyDescent="0.25">
      <c r="A12" s="44" t="str">
        <f>Ressourcen!B10</f>
        <v>Sophie Lang</v>
      </c>
      <c r="B12" s="30">
        <v>0</v>
      </c>
      <c r="C12" s="30">
        <v>0</v>
      </c>
      <c r="D12" s="30">
        <v>3</v>
      </c>
      <c r="E12" s="30">
        <v>0</v>
      </c>
      <c r="F12" s="30">
        <v>0</v>
      </c>
      <c r="G12" s="30">
        <v>0</v>
      </c>
      <c r="H12" s="30">
        <v>8</v>
      </c>
      <c r="I12" s="30">
        <v>7</v>
      </c>
      <c r="J12" s="30">
        <v>0</v>
      </c>
      <c r="K12" s="30">
        <v>0</v>
      </c>
      <c r="L12" s="30">
        <v>0</v>
      </c>
      <c r="M12" s="30">
        <v>2</v>
      </c>
      <c r="N12" s="45">
        <f t="shared" si="0"/>
        <v>20</v>
      </c>
      <c r="O12" s="45">
        <f t="shared" si="1"/>
        <v>234</v>
      </c>
    </row>
    <row r="13" spans="1:15" x14ac:dyDescent="0.25">
      <c r="A13" s="42" t="str">
        <f>Ressourcen!B11</f>
        <v>David Roth</v>
      </c>
      <c r="B13" s="30">
        <v>0</v>
      </c>
      <c r="C13" s="30">
        <v>0</v>
      </c>
      <c r="D13" s="30">
        <v>0</v>
      </c>
      <c r="E13" s="30">
        <v>0</v>
      </c>
      <c r="F13" s="30">
        <v>2</v>
      </c>
      <c r="G13" s="30">
        <v>0</v>
      </c>
      <c r="H13" s="30">
        <v>10</v>
      </c>
      <c r="I13" s="30">
        <v>5</v>
      </c>
      <c r="J13" s="30">
        <v>0</v>
      </c>
      <c r="K13" s="30">
        <v>0</v>
      </c>
      <c r="L13" s="30">
        <v>0</v>
      </c>
      <c r="M13" s="30">
        <v>3</v>
      </c>
      <c r="N13" s="43">
        <f t="shared" si="0"/>
        <v>20</v>
      </c>
      <c r="O13" s="43">
        <f t="shared" si="1"/>
        <v>234</v>
      </c>
    </row>
    <row r="14" spans="1:15" x14ac:dyDescent="0.25">
      <c r="A14" s="44" t="str">
        <f>Ressourcen!B12</f>
        <v>Elena Wolf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2</v>
      </c>
      <c r="H14" s="30">
        <v>6</v>
      </c>
      <c r="I14" s="30">
        <v>9</v>
      </c>
      <c r="J14" s="30">
        <v>0</v>
      </c>
      <c r="K14" s="30">
        <v>0</v>
      </c>
      <c r="L14" s="30">
        <v>0</v>
      </c>
      <c r="M14" s="30">
        <v>2</v>
      </c>
      <c r="N14" s="45">
        <f t="shared" si="0"/>
        <v>19</v>
      </c>
      <c r="O14" s="45">
        <f t="shared" si="1"/>
        <v>235</v>
      </c>
    </row>
    <row r="15" spans="1:15" x14ac:dyDescent="0.25">
      <c r="A15" s="25" t="s">
        <v>67</v>
      </c>
      <c r="B15" s="46">
        <f t="shared" ref="B15:N15" si="2">SUM(B7:B14)</f>
        <v>0</v>
      </c>
      <c r="C15" s="46">
        <f t="shared" si="2"/>
        <v>2</v>
      </c>
      <c r="D15" s="46">
        <f t="shared" si="2"/>
        <v>3</v>
      </c>
      <c r="E15" s="46">
        <f t="shared" si="2"/>
        <v>2</v>
      </c>
      <c r="F15" s="46">
        <f t="shared" si="2"/>
        <v>2</v>
      </c>
      <c r="G15" s="46">
        <f t="shared" si="2"/>
        <v>5</v>
      </c>
      <c r="H15" s="46">
        <f t="shared" si="2"/>
        <v>62</v>
      </c>
      <c r="I15" s="46">
        <f t="shared" si="2"/>
        <v>61</v>
      </c>
      <c r="J15" s="46">
        <f t="shared" si="2"/>
        <v>0</v>
      </c>
      <c r="K15" s="46">
        <f t="shared" si="2"/>
        <v>0</v>
      </c>
      <c r="L15" s="46">
        <f t="shared" si="2"/>
        <v>0</v>
      </c>
      <c r="M15" s="46">
        <f t="shared" si="2"/>
        <v>19</v>
      </c>
      <c r="N15" s="46">
        <f t="shared" si="2"/>
        <v>156</v>
      </c>
      <c r="O15" s="47"/>
    </row>
    <row r="17" spans="1:1" x14ac:dyDescent="0.25">
      <c r="A17" s="48" t="s">
        <v>68</v>
      </c>
    </row>
    <row r="18" spans="1:1" x14ac:dyDescent="0.25">
      <c r="A18" s="49" t="s">
        <v>69</v>
      </c>
    </row>
    <row r="19" spans="1:1" x14ac:dyDescent="0.25">
      <c r="A19" s="49" t="s">
        <v>70</v>
      </c>
    </row>
    <row r="20" spans="1:1" x14ac:dyDescent="0.25">
      <c r="A20" s="49" t="s">
        <v>71</v>
      </c>
    </row>
  </sheetData>
  <mergeCells count="2">
    <mergeCell ref="A1:O1"/>
    <mergeCell ref="A2:O2"/>
  </mergeCell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3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O1"/>
    </sheetView>
  </sheetViews>
  <sheetFormatPr baseColWidth="10" defaultColWidth="8.7109375" defaultRowHeight="15" x14ac:dyDescent="0.25"/>
  <cols>
    <col min="1" max="1" width="22" customWidth="1"/>
    <col min="2" max="13" width="8.42578125" customWidth="1"/>
    <col min="14" max="14" width="11" customWidth="1"/>
    <col min="15" max="15" width="18" customWidth="1"/>
  </cols>
  <sheetData>
    <row r="1" spans="1:15" ht="27.75" customHeight="1" x14ac:dyDescent="0.25">
      <c r="A1" s="6" t="s">
        <v>72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5" t="s">
        <v>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4" spans="1:15" ht="19.5" customHeight="1" x14ac:dyDescent="0.25">
      <c r="A4" s="4" t="s">
        <v>74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39" t="s">
        <v>64</v>
      </c>
      <c r="B5" s="40" t="s">
        <v>21</v>
      </c>
      <c r="C5" s="40" t="s">
        <v>22</v>
      </c>
      <c r="D5" s="40" t="s">
        <v>23</v>
      </c>
      <c r="E5" s="40" t="s">
        <v>24</v>
      </c>
      <c r="F5" s="40" t="s">
        <v>25</v>
      </c>
      <c r="G5" s="40" t="s">
        <v>26</v>
      </c>
      <c r="H5" s="40" t="s">
        <v>27</v>
      </c>
      <c r="I5" s="40" t="s">
        <v>28</v>
      </c>
      <c r="J5" s="40" t="s">
        <v>29</v>
      </c>
      <c r="K5" s="40" t="s">
        <v>30</v>
      </c>
      <c r="L5" s="40" t="s">
        <v>31</v>
      </c>
      <c r="M5" s="40" t="s">
        <v>32</v>
      </c>
      <c r="N5" s="40" t="s">
        <v>75</v>
      </c>
    </row>
    <row r="6" spans="1:15" x14ac:dyDescent="0.25">
      <c r="A6" s="42" t="str">
        <f>Ressourcen!B5</f>
        <v>Lukas Berger</v>
      </c>
      <c r="B6" s="32">
        <v>120</v>
      </c>
      <c r="C6" s="32">
        <v>125</v>
      </c>
      <c r="D6" s="32">
        <v>130</v>
      </c>
      <c r="E6" s="32">
        <v>110</v>
      </c>
      <c r="F6" s="32">
        <v>128</v>
      </c>
      <c r="G6" s="32">
        <v>132</v>
      </c>
      <c r="H6" s="32">
        <v>90</v>
      </c>
      <c r="I6" s="32">
        <v>80</v>
      </c>
      <c r="J6" s="32">
        <v>135</v>
      </c>
      <c r="K6" s="32">
        <v>140</v>
      </c>
      <c r="L6" s="32">
        <v>130</v>
      </c>
      <c r="M6" s="32">
        <v>100</v>
      </c>
      <c r="N6" s="33">
        <f t="shared" ref="N6:N14" si="0">SUM(B6:M6)</f>
        <v>1420</v>
      </c>
    </row>
    <row r="7" spans="1:15" x14ac:dyDescent="0.25">
      <c r="A7" s="44" t="str">
        <f>Ressourcen!B6</f>
        <v>Mara Voss</v>
      </c>
      <c r="B7" s="32">
        <v>90</v>
      </c>
      <c r="C7" s="32">
        <v>95</v>
      </c>
      <c r="D7" s="32">
        <v>88</v>
      </c>
      <c r="E7" s="32">
        <v>92</v>
      </c>
      <c r="F7" s="32">
        <v>80</v>
      </c>
      <c r="G7" s="32">
        <v>85</v>
      </c>
      <c r="H7" s="32">
        <v>60</v>
      </c>
      <c r="I7" s="32">
        <v>55</v>
      </c>
      <c r="J7" s="32">
        <v>96</v>
      </c>
      <c r="K7" s="32">
        <v>100</v>
      </c>
      <c r="L7" s="32">
        <v>94</v>
      </c>
      <c r="M7" s="32">
        <v>70</v>
      </c>
      <c r="N7" s="36">
        <f t="shared" si="0"/>
        <v>1005</v>
      </c>
    </row>
    <row r="8" spans="1:15" x14ac:dyDescent="0.25">
      <c r="A8" s="42" t="str">
        <f>Ressourcen!B7</f>
        <v>Felix Brandt</v>
      </c>
      <c r="B8" s="32">
        <v>110</v>
      </c>
      <c r="C8" s="32">
        <v>115</v>
      </c>
      <c r="D8" s="32">
        <v>120</v>
      </c>
      <c r="E8" s="32">
        <v>118</v>
      </c>
      <c r="F8" s="32">
        <v>122</v>
      </c>
      <c r="G8" s="32">
        <v>100</v>
      </c>
      <c r="H8" s="32">
        <v>95</v>
      </c>
      <c r="I8" s="32">
        <v>70</v>
      </c>
      <c r="J8" s="32">
        <v>125</v>
      </c>
      <c r="K8" s="32">
        <v>130</v>
      </c>
      <c r="L8" s="32">
        <v>120</v>
      </c>
      <c r="M8" s="32">
        <v>105</v>
      </c>
      <c r="N8" s="33">
        <f t="shared" si="0"/>
        <v>1330</v>
      </c>
    </row>
    <row r="9" spans="1:15" x14ac:dyDescent="0.25">
      <c r="A9" s="44" t="str">
        <f>Ressourcen!B8</f>
        <v>Nina Engel</v>
      </c>
      <c r="B9" s="32">
        <v>100</v>
      </c>
      <c r="C9" s="32">
        <v>105</v>
      </c>
      <c r="D9" s="32">
        <v>110</v>
      </c>
      <c r="E9" s="32">
        <v>108</v>
      </c>
      <c r="F9" s="32">
        <v>112</v>
      </c>
      <c r="G9" s="32">
        <v>115</v>
      </c>
      <c r="H9" s="32">
        <v>90</v>
      </c>
      <c r="I9" s="32">
        <v>85</v>
      </c>
      <c r="J9" s="32">
        <v>118</v>
      </c>
      <c r="K9" s="32">
        <v>120</v>
      </c>
      <c r="L9" s="32">
        <v>110</v>
      </c>
      <c r="M9" s="32">
        <v>95</v>
      </c>
      <c r="N9" s="36">
        <f t="shared" si="0"/>
        <v>1268</v>
      </c>
    </row>
    <row r="10" spans="1:15" x14ac:dyDescent="0.25">
      <c r="A10" s="42" t="str">
        <f>Ressourcen!B9</f>
        <v>Jonas Keller</v>
      </c>
      <c r="B10" s="32">
        <v>135</v>
      </c>
      <c r="C10" s="32">
        <v>140</v>
      </c>
      <c r="D10" s="32">
        <v>138</v>
      </c>
      <c r="E10" s="32">
        <v>130</v>
      </c>
      <c r="F10" s="32">
        <v>142</v>
      </c>
      <c r="G10" s="32">
        <v>145</v>
      </c>
      <c r="H10" s="32">
        <v>100</v>
      </c>
      <c r="I10" s="32">
        <v>95</v>
      </c>
      <c r="J10" s="32">
        <v>150</v>
      </c>
      <c r="K10" s="32">
        <v>148</v>
      </c>
      <c r="L10" s="32">
        <v>140</v>
      </c>
      <c r="M10" s="32">
        <v>110</v>
      </c>
      <c r="N10" s="33">
        <f t="shared" si="0"/>
        <v>1573</v>
      </c>
    </row>
    <row r="11" spans="1:15" x14ac:dyDescent="0.25">
      <c r="A11" s="44" t="str">
        <f>Ressourcen!B10</f>
        <v>Sophie Lang</v>
      </c>
      <c r="B11" s="32">
        <v>80</v>
      </c>
      <c r="C11" s="32">
        <v>85</v>
      </c>
      <c r="D11" s="32">
        <v>82</v>
      </c>
      <c r="E11" s="32">
        <v>88</v>
      </c>
      <c r="F11" s="32">
        <v>90</v>
      </c>
      <c r="G11" s="32">
        <v>86</v>
      </c>
      <c r="H11" s="32">
        <v>60</v>
      </c>
      <c r="I11" s="32">
        <v>50</v>
      </c>
      <c r="J11" s="32">
        <v>92</v>
      </c>
      <c r="K11" s="32">
        <v>95</v>
      </c>
      <c r="L11" s="32">
        <v>90</v>
      </c>
      <c r="M11" s="32">
        <v>72</v>
      </c>
      <c r="N11" s="36">
        <f t="shared" si="0"/>
        <v>970</v>
      </c>
    </row>
    <row r="12" spans="1:15" x14ac:dyDescent="0.25">
      <c r="A12" s="42" t="str">
        <f>Ressourcen!B11</f>
        <v>David Roth</v>
      </c>
      <c r="B12" s="32">
        <v>115</v>
      </c>
      <c r="C12" s="32">
        <v>118</v>
      </c>
      <c r="D12" s="32">
        <v>120</v>
      </c>
      <c r="E12" s="32">
        <v>116</v>
      </c>
      <c r="F12" s="32">
        <v>122</v>
      </c>
      <c r="G12" s="32">
        <v>124</v>
      </c>
      <c r="H12" s="32">
        <v>100</v>
      </c>
      <c r="I12" s="32">
        <v>90</v>
      </c>
      <c r="J12" s="32">
        <v>128</v>
      </c>
      <c r="K12" s="32">
        <v>130</v>
      </c>
      <c r="L12" s="32">
        <v>120</v>
      </c>
      <c r="M12" s="32">
        <v>108</v>
      </c>
      <c r="N12" s="33">
        <f t="shared" si="0"/>
        <v>1391</v>
      </c>
    </row>
    <row r="13" spans="1:15" x14ac:dyDescent="0.25">
      <c r="A13" s="44" t="str">
        <f>Ressourcen!B12</f>
        <v>Elena Wolf</v>
      </c>
      <c r="B13" s="32">
        <v>105</v>
      </c>
      <c r="C13" s="32">
        <v>108</v>
      </c>
      <c r="D13" s="32">
        <v>110</v>
      </c>
      <c r="E13" s="32">
        <v>112</v>
      </c>
      <c r="F13" s="32">
        <v>115</v>
      </c>
      <c r="G13" s="32">
        <v>100</v>
      </c>
      <c r="H13" s="32">
        <v>95</v>
      </c>
      <c r="I13" s="32">
        <v>75</v>
      </c>
      <c r="J13" s="32">
        <v>118</v>
      </c>
      <c r="K13" s="32">
        <v>120</v>
      </c>
      <c r="L13" s="32">
        <v>112</v>
      </c>
      <c r="M13" s="32">
        <v>98</v>
      </c>
      <c r="N13" s="36">
        <f t="shared" si="0"/>
        <v>1268</v>
      </c>
    </row>
    <row r="14" spans="1:15" x14ac:dyDescent="0.25">
      <c r="A14" s="25" t="s">
        <v>76</v>
      </c>
      <c r="B14" s="26">
        <f t="shared" ref="B14:M14" si="1">SUM(B6:B13)</f>
        <v>855</v>
      </c>
      <c r="C14" s="26">
        <f t="shared" si="1"/>
        <v>891</v>
      </c>
      <c r="D14" s="26">
        <f t="shared" si="1"/>
        <v>898</v>
      </c>
      <c r="E14" s="26">
        <f t="shared" si="1"/>
        <v>874</v>
      </c>
      <c r="F14" s="26">
        <f t="shared" si="1"/>
        <v>911</v>
      </c>
      <c r="G14" s="26">
        <f t="shared" si="1"/>
        <v>887</v>
      </c>
      <c r="H14" s="26">
        <f t="shared" si="1"/>
        <v>690</v>
      </c>
      <c r="I14" s="26">
        <f t="shared" si="1"/>
        <v>600</v>
      </c>
      <c r="J14" s="26">
        <f t="shared" si="1"/>
        <v>962</v>
      </c>
      <c r="K14" s="26">
        <f t="shared" si="1"/>
        <v>983</v>
      </c>
      <c r="L14" s="26">
        <f t="shared" si="1"/>
        <v>916</v>
      </c>
      <c r="M14" s="26">
        <f t="shared" si="1"/>
        <v>758</v>
      </c>
      <c r="N14" s="26">
        <f t="shared" si="0"/>
        <v>10225</v>
      </c>
    </row>
    <row r="16" spans="1:15" ht="19.5" customHeight="1" x14ac:dyDescent="0.25">
      <c r="A16" s="4" t="s">
        <v>77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25">
      <c r="A17" s="39" t="s">
        <v>64</v>
      </c>
      <c r="B17" s="40" t="s">
        <v>21</v>
      </c>
      <c r="C17" s="40" t="s">
        <v>22</v>
      </c>
      <c r="D17" s="40" t="s">
        <v>23</v>
      </c>
      <c r="E17" s="40" t="s">
        <v>24</v>
      </c>
      <c r="F17" s="40" t="s">
        <v>25</v>
      </c>
      <c r="G17" s="40" t="s">
        <v>26</v>
      </c>
      <c r="H17" s="40" t="s">
        <v>27</v>
      </c>
      <c r="I17" s="40" t="s">
        <v>28</v>
      </c>
      <c r="J17" s="40" t="s">
        <v>29</v>
      </c>
      <c r="K17" s="40" t="s">
        <v>30</v>
      </c>
      <c r="L17" s="40" t="s">
        <v>31</v>
      </c>
      <c r="M17" s="40" t="s">
        <v>32</v>
      </c>
      <c r="N17" s="40" t="s">
        <v>75</v>
      </c>
    </row>
    <row r="18" spans="1:15" x14ac:dyDescent="0.25">
      <c r="A18" s="42" t="str">
        <f>Ressourcen!B5</f>
        <v>Lukas Berger</v>
      </c>
      <c r="B18" s="50">
        <f>(Verfügbarkeit!B$4-Verfügbarkeit!B7)*Ressourcen!$I5</f>
        <v>134.4</v>
      </c>
      <c r="C18" s="50">
        <f>(Verfügbarkeit!C$4-Verfügbarkeit!C7)*Ressourcen!$I5</f>
        <v>128</v>
      </c>
      <c r="D18" s="50">
        <f>(Verfügbarkeit!D$4-Verfügbarkeit!D7)*Ressourcen!$I5</f>
        <v>140.80000000000001</v>
      </c>
      <c r="E18" s="50">
        <f>(Verfügbarkeit!E$4-Verfügbarkeit!E7)*Ressourcen!$I5</f>
        <v>128</v>
      </c>
      <c r="F18" s="50">
        <f>(Verfügbarkeit!F$4-Verfügbarkeit!F7)*Ressourcen!$I5</f>
        <v>115.2</v>
      </c>
      <c r="G18" s="50">
        <f>(Verfügbarkeit!G$4-Verfügbarkeit!G7)*Ressourcen!$I5</f>
        <v>140.80000000000001</v>
      </c>
      <c r="H18" s="50">
        <f>(Verfügbarkeit!H$4-Verfügbarkeit!H7)*Ressourcen!$I5</f>
        <v>83.2</v>
      </c>
      <c r="I18" s="50">
        <f>(Verfügbarkeit!I$4-Verfügbarkeit!I7)*Ressourcen!$I5</f>
        <v>102.4</v>
      </c>
      <c r="J18" s="50">
        <f>(Verfügbarkeit!J$4-Verfügbarkeit!J7)*Ressourcen!$I5</f>
        <v>140.80000000000001</v>
      </c>
      <c r="K18" s="50">
        <f>(Verfügbarkeit!K$4-Verfügbarkeit!K7)*Ressourcen!$I5</f>
        <v>140.80000000000001</v>
      </c>
      <c r="L18" s="50">
        <f>(Verfügbarkeit!L$4-Verfügbarkeit!L7)*Ressourcen!$I5</f>
        <v>134.4</v>
      </c>
      <c r="M18" s="50">
        <f>(Verfügbarkeit!M$4-Verfügbarkeit!M7)*Ressourcen!$I5</f>
        <v>121.60000000000001</v>
      </c>
      <c r="N18" s="33">
        <f t="shared" ref="N18:N26" si="2">SUM(B18:M18)</f>
        <v>1510.4</v>
      </c>
    </row>
    <row r="19" spans="1:15" x14ac:dyDescent="0.25">
      <c r="A19" s="44" t="str">
        <f>Ressourcen!B6</f>
        <v>Mara Voss</v>
      </c>
      <c r="B19" s="14">
        <f>(Verfügbarkeit!B$4-Verfügbarkeit!B8)*Ressourcen!$I6</f>
        <v>114.24000000000001</v>
      </c>
      <c r="C19" s="14">
        <f>(Verfügbarkeit!C$4-Verfügbarkeit!C8)*Ressourcen!$I6</f>
        <v>108.80000000000001</v>
      </c>
      <c r="D19" s="14">
        <f>(Verfügbarkeit!D$4-Verfügbarkeit!D8)*Ressourcen!$I6</f>
        <v>119.68</v>
      </c>
      <c r="E19" s="14">
        <f>(Verfügbarkeit!E$4-Verfügbarkeit!E8)*Ressourcen!$I6</f>
        <v>97.92</v>
      </c>
      <c r="F19" s="14">
        <f>(Verfügbarkeit!F$4-Verfügbarkeit!F8)*Ressourcen!$I6</f>
        <v>97.92</v>
      </c>
      <c r="G19" s="14">
        <f>(Verfügbarkeit!G$4-Verfügbarkeit!G8)*Ressourcen!$I6</f>
        <v>119.68</v>
      </c>
      <c r="H19" s="14">
        <f>(Verfügbarkeit!H$4-Verfügbarkeit!H8)*Ressourcen!$I6</f>
        <v>81.600000000000009</v>
      </c>
      <c r="I19" s="14">
        <f>(Verfügbarkeit!I$4-Verfügbarkeit!I8)*Ressourcen!$I6</f>
        <v>70.72</v>
      </c>
      <c r="J19" s="14">
        <f>(Verfügbarkeit!J$4-Verfügbarkeit!J8)*Ressourcen!$I6</f>
        <v>119.68</v>
      </c>
      <c r="K19" s="14">
        <f>(Verfügbarkeit!K$4-Verfügbarkeit!K8)*Ressourcen!$I6</f>
        <v>119.68</v>
      </c>
      <c r="L19" s="14">
        <f>(Verfügbarkeit!L$4-Verfügbarkeit!L8)*Ressourcen!$I6</f>
        <v>114.24000000000001</v>
      </c>
      <c r="M19" s="14">
        <f>(Verfügbarkeit!M$4-Verfügbarkeit!M8)*Ressourcen!$I6</f>
        <v>108.80000000000001</v>
      </c>
      <c r="N19" s="36">
        <f t="shared" si="2"/>
        <v>1272.96</v>
      </c>
    </row>
    <row r="20" spans="1:15" x14ac:dyDescent="0.25">
      <c r="A20" s="42" t="str">
        <f>Ressourcen!B7</f>
        <v>Felix Brandt</v>
      </c>
      <c r="B20" s="50">
        <f>(Verfügbarkeit!B$4-Verfügbarkeit!B9)*Ressourcen!$I7</f>
        <v>126</v>
      </c>
      <c r="C20" s="50">
        <f>(Verfügbarkeit!C$4-Verfügbarkeit!C9)*Ressourcen!$I7</f>
        <v>120</v>
      </c>
      <c r="D20" s="50">
        <f>(Verfügbarkeit!D$4-Verfügbarkeit!D9)*Ressourcen!$I7</f>
        <v>132</v>
      </c>
      <c r="E20" s="50">
        <f>(Verfügbarkeit!E$4-Verfügbarkeit!E9)*Ressourcen!$I7</f>
        <v>120</v>
      </c>
      <c r="F20" s="50">
        <f>(Verfügbarkeit!F$4-Verfügbarkeit!F9)*Ressourcen!$I7</f>
        <v>108</v>
      </c>
      <c r="G20" s="50">
        <f>(Verfügbarkeit!G$4-Verfügbarkeit!G9)*Ressourcen!$I7</f>
        <v>114</v>
      </c>
      <c r="H20" s="50">
        <f>(Verfügbarkeit!H$4-Verfügbarkeit!H9)*Ressourcen!$I7</f>
        <v>108</v>
      </c>
      <c r="I20" s="50">
        <f>(Verfügbarkeit!I$4-Verfügbarkeit!I9)*Ressourcen!$I7</f>
        <v>66</v>
      </c>
      <c r="J20" s="50">
        <f>(Verfügbarkeit!J$4-Verfügbarkeit!J9)*Ressourcen!$I7</f>
        <v>132</v>
      </c>
      <c r="K20" s="50">
        <f>(Verfügbarkeit!K$4-Verfügbarkeit!K9)*Ressourcen!$I7</f>
        <v>132</v>
      </c>
      <c r="L20" s="50">
        <f>(Verfügbarkeit!L$4-Verfügbarkeit!L9)*Ressourcen!$I7</f>
        <v>126</v>
      </c>
      <c r="M20" s="50">
        <f>(Verfügbarkeit!M$4-Verfügbarkeit!M9)*Ressourcen!$I7</f>
        <v>120</v>
      </c>
      <c r="N20" s="33">
        <f t="shared" si="2"/>
        <v>1404</v>
      </c>
    </row>
    <row r="21" spans="1:15" x14ac:dyDescent="0.25">
      <c r="A21" s="44" t="str">
        <f>Ressourcen!B8</f>
        <v>Nina Engel</v>
      </c>
      <c r="B21" s="14">
        <f>(Verfügbarkeit!B$4-Verfügbarkeit!B10)*Ressourcen!$I8</f>
        <v>117.6</v>
      </c>
      <c r="C21" s="14">
        <f>(Verfügbarkeit!C$4-Verfügbarkeit!C10)*Ressourcen!$I8</f>
        <v>100.8</v>
      </c>
      <c r="D21" s="14">
        <f>(Verfügbarkeit!D$4-Verfügbarkeit!D10)*Ressourcen!$I8</f>
        <v>123.19999999999999</v>
      </c>
      <c r="E21" s="14">
        <f>(Verfügbarkeit!E$4-Verfügbarkeit!E10)*Ressourcen!$I8</f>
        <v>112</v>
      </c>
      <c r="F21" s="14">
        <f>(Verfügbarkeit!F$4-Verfügbarkeit!F10)*Ressourcen!$I8</f>
        <v>100.8</v>
      </c>
      <c r="G21" s="14">
        <f>(Verfügbarkeit!G$4-Verfügbarkeit!G10)*Ressourcen!$I8</f>
        <v>123.19999999999999</v>
      </c>
      <c r="H21" s="14">
        <f>(Verfügbarkeit!H$4-Verfügbarkeit!H10)*Ressourcen!$I8</f>
        <v>72.8</v>
      </c>
      <c r="I21" s="14">
        <f>(Verfügbarkeit!I$4-Verfügbarkeit!I10)*Ressourcen!$I8</f>
        <v>89.6</v>
      </c>
      <c r="J21" s="14">
        <f>(Verfügbarkeit!J$4-Verfügbarkeit!J10)*Ressourcen!$I8</f>
        <v>123.19999999999999</v>
      </c>
      <c r="K21" s="14">
        <f>(Verfügbarkeit!K$4-Verfügbarkeit!K10)*Ressourcen!$I8</f>
        <v>123.19999999999999</v>
      </c>
      <c r="L21" s="14">
        <f>(Verfügbarkeit!L$4-Verfügbarkeit!L10)*Ressourcen!$I8</f>
        <v>117.6</v>
      </c>
      <c r="M21" s="14">
        <f>(Verfügbarkeit!M$4-Verfügbarkeit!M10)*Ressourcen!$I8</f>
        <v>106.39999999999999</v>
      </c>
      <c r="N21" s="36">
        <f t="shared" si="2"/>
        <v>1310.3999999999999</v>
      </c>
    </row>
    <row r="22" spans="1:15" x14ac:dyDescent="0.25">
      <c r="A22" s="42" t="str">
        <f>Ressourcen!B9</f>
        <v>Jonas Keller</v>
      </c>
      <c r="B22" s="50">
        <f>(Verfügbarkeit!B$4-Verfügbarkeit!B11)*Ressourcen!$I9</f>
        <v>142.79999999999998</v>
      </c>
      <c r="C22" s="50">
        <f>(Verfügbarkeit!C$4-Verfügbarkeit!C11)*Ressourcen!$I9</f>
        <v>136</v>
      </c>
      <c r="D22" s="50">
        <f>(Verfügbarkeit!D$4-Verfügbarkeit!D11)*Ressourcen!$I9</f>
        <v>149.6</v>
      </c>
      <c r="E22" s="50">
        <f>(Verfügbarkeit!E$4-Verfügbarkeit!E11)*Ressourcen!$I9</f>
        <v>136</v>
      </c>
      <c r="F22" s="50">
        <f>(Verfügbarkeit!F$4-Verfügbarkeit!F11)*Ressourcen!$I9</f>
        <v>122.39999999999999</v>
      </c>
      <c r="G22" s="50">
        <f>(Verfügbarkeit!G$4-Verfügbarkeit!G11)*Ressourcen!$I9</f>
        <v>149.6</v>
      </c>
      <c r="H22" s="50">
        <f>(Verfügbarkeit!H$4-Verfügbarkeit!H11)*Ressourcen!$I9</f>
        <v>122.39999999999999</v>
      </c>
      <c r="I22" s="50">
        <f>(Verfügbarkeit!I$4-Verfügbarkeit!I11)*Ressourcen!$I9</f>
        <v>61.199999999999996</v>
      </c>
      <c r="J22" s="50">
        <f>(Verfügbarkeit!J$4-Verfügbarkeit!J11)*Ressourcen!$I9</f>
        <v>149.6</v>
      </c>
      <c r="K22" s="50">
        <f>(Verfügbarkeit!K$4-Verfügbarkeit!K11)*Ressourcen!$I9</f>
        <v>149.6</v>
      </c>
      <c r="L22" s="50">
        <f>(Verfügbarkeit!L$4-Verfügbarkeit!L11)*Ressourcen!$I9</f>
        <v>142.79999999999998</v>
      </c>
      <c r="M22" s="50">
        <f>(Verfügbarkeit!M$4-Verfügbarkeit!M11)*Ressourcen!$I9</f>
        <v>136</v>
      </c>
      <c r="N22" s="33">
        <f t="shared" si="2"/>
        <v>1597.9999999999998</v>
      </c>
    </row>
    <row r="23" spans="1:15" x14ac:dyDescent="0.25">
      <c r="A23" s="44" t="str">
        <f>Ressourcen!B10</f>
        <v>Sophie Lang</v>
      </c>
      <c r="B23" s="14">
        <f>(Verfügbarkeit!B$4-Verfügbarkeit!B12)*Ressourcen!$I10</f>
        <v>100.80000000000001</v>
      </c>
      <c r="C23" s="14">
        <f>(Verfügbarkeit!C$4-Verfügbarkeit!C12)*Ressourcen!$I10</f>
        <v>96.000000000000014</v>
      </c>
      <c r="D23" s="14">
        <f>(Verfügbarkeit!D$4-Verfügbarkeit!D12)*Ressourcen!$I10</f>
        <v>91.200000000000017</v>
      </c>
      <c r="E23" s="14">
        <f>(Verfügbarkeit!E$4-Verfügbarkeit!E12)*Ressourcen!$I10</f>
        <v>96.000000000000014</v>
      </c>
      <c r="F23" s="14">
        <f>(Verfügbarkeit!F$4-Verfügbarkeit!F12)*Ressourcen!$I10</f>
        <v>86.4</v>
      </c>
      <c r="G23" s="14">
        <f>(Verfügbarkeit!G$4-Verfügbarkeit!G12)*Ressourcen!$I10</f>
        <v>105.60000000000002</v>
      </c>
      <c r="H23" s="14">
        <f>(Verfügbarkeit!H$4-Verfügbarkeit!H12)*Ressourcen!$I10</f>
        <v>72.000000000000014</v>
      </c>
      <c r="I23" s="14">
        <f>(Verfügbarkeit!I$4-Verfügbarkeit!I12)*Ressourcen!$I10</f>
        <v>67.200000000000017</v>
      </c>
      <c r="J23" s="14">
        <f>(Verfügbarkeit!J$4-Verfügbarkeit!J12)*Ressourcen!$I10</f>
        <v>105.60000000000002</v>
      </c>
      <c r="K23" s="14">
        <f>(Verfügbarkeit!K$4-Verfügbarkeit!K12)*Ressourcen!$I10</f>
        <v>105.60000000000002</v>
      </c>
      <c r="L23" s="14">
        <f>(Verfügbarkeit!L$4-Verfügbarkeit!L12)*Ressourcen!$I10</f>
        <v>100.80000000000001</v>
      </c>
      <c r="M23" s="14">
        <f>(Verfügbarkeit!M$4-Verfügbarkeit!M12)*Ressourcen!$I10</f>
        <v>96.000000000000014</v>
      </c>
      <c r="N23" s="36">
        <f t="shared" si="2"/>
        <v>1123.2</v>
      </c>
    </row>
    <row r="24" spans="1:15" x14ac:dyDescent="0.25">
      <c r="A24" s="42" t="str">
        <f>Ressourcen!B11</f>
        <v>David Roth</v>
      </c>
      <c r="B24" s="50">
        <f>(Verfügbarkeit!B$4-Verfügbarkeit!B13)*Ressourcen!$I11</f>
        <v>137.76000000000002</v>
      </c>
      <c r="C24" s="50">
        <f>(Verfügbarkeit!C$4-Verfügbarkeit!C13)*Ressourcen!$I11</f>
        <v>131.20000000000002</v>
      </c>
      <c r="D24" s="50">
        <f>(Verfügbarkeit!D$4-Verfügbarkeit!D13)*Ressourcen!$I11</f>
        <v>144.32000000000002</v>
      </c>
      <c r="E24" s="50">
        <f>(Verfügbarkeit!E$4-Verfügbarkeit!E13)*Ressourcen!$I11</f>
        <v>131.20000000000002</v>
      </c>
      <c r="F24" s="50">
        <f>(Verfügbarkeit!F$4-Verfügbarkeit!F13)*Ressourcen!$I11</f>
        <v>104.96000000000001</v>
      </c>
      <c r="G24" s="50">
        <f>(Verfügbarkeit!G$4-Verfügbarkeit!G13)*Ressourcen!$I11</f>
        <v>144.32000000000002</v>
      </c>
      <c r="H24" s="50">
        <f>(Verfügbarkeit!H$4-Verfügbarkeit!H13)*Ressourcen!$I11</f>
        <v>85.28</v>
      </c>
      <c r="I24" s="50">
        <f>(Verfügbarkeit!I$4-Verfügbarkeit!I13)*Ressourcen!$I11</f>
        <v>104.96000000000001</v>
      </c>
      <c r="J24" s="50">
        <f>(Verfügbarkeit!J$4-Verfügbarkeit!J13)*Ressourcen!$I11</f>
        <v>144.32000000000002</v>
      </c>
      <c r="K24" s="50">
        <f>(Verfügbarkeit!K$4-Verfügbarkeit!K13)*Ressourcen!$I11</f>
        <v>144.32000000000002</v>
      </c>
      <c r="L24" s="50">
        <f>(Verfügbarkeit!L$4-Verfügbarkeit!L13)*Ressourcen!$I11</f>
        <v>137.76000000000002</v>
      </c>
      <c r="M24" s="50">
        <f>(Verfügbarkeit!M$4-Verfügbarkeit!M13)*Ressourcen!$I11</f>
        <v>124.64000000000001</v>
      </c>
      <c r="N24" s="33">
        <f t="shared" si="2"/>
        <v>1535.0400000000002</v>
      </c>
    </row>
    <row r="25" spans="1:15" x14ac:dyDescent="0.25">
      <c r="A25" s="44" t="str">
        <f>Ressourcen!B12</f>
        <v>Elena Wolf</v>
      </c>
      <c r="B25" s="14">
        <f>(Verfügbarkeit!B$4-Verfügbarkeit!B14)*Ressourcen!$I12</f>
        <v>124.488</v>
      </c>
      <c r="C25" s="14">
        <f>(Verfügbarkeit!C$4-Verfügbarkeit!C14)*Ressourcen!$I12</f>
        <v>118.56</v>
      </c>
      <c r="D25" s="14">
        <f>(Verfügbarkeit!D$4-Verfügbarkeit!D14)*Ressourcen!$I12</f>
        <v>130.416</v>
      </c>
      <c r="E25" s="14">
        <f>(Verfügbarkeit!E$4-Verfügbarkeit!E14)*Ressourcen!$I12</f>
        <v>118.56</v>
      </c>
      <c r="F25" s="14">
        <f>(Verfügbarkeit!F$4-Verfügbarkeit!F14)*Ressourcen!$I12</f>
        <v>106.70399999999999</v>
      </c>
      <c r="G25" s="14">
        <f>(Verfügbarkeit!G$4-Verfügbarkeit!G14)*Ressourcen!$I12</f>
        <v>118.56</v>
      </c>
      <c r="H25" s="14">
        <f>(Verfügbarkeit!H$4-Verfügbarkeit!H14)*Ressourcen!$I12</f>
        <v>100.776</v>
      </c>
      <c r="I25" s="14">
        <f>(Verfügbarkeit!I$4-Verfügbarkeit!I14)*Ressourcen!$I12</f>
        <v>71.135999999999996</v>
      </c>
      <c r="J25" s="14">
        <f>(Verfügbarkeit!J$4-Verfügbarkeit!J14)*Ressourcen!$I12</f>
        <v>130.416</v>
      </c>
      <c r="K25" s="14">
        <f>(Verfügbarkeit!K$4-Verfügbarkeit!K14)*Ressourcen!$I12</f>
        <v>130.416</v>
      </c>
      <c r="L25" s="14">
        <f>(Verfügbarkeit!L$4-Verfügbarkeit!L14)*Ressourcen!$I12</f>
        <v>124.488</v>
      </c>
      <c r="M25" s="14">
        <f>(Verfügbarkeit!M$4-Verfügbarkeit!M14)*Ressourcen!$I12</f>
        <v>118.56</v>
      </c>
      <c r="N25" s="36">
        <f t="shared" si="2"/>
        <v>1393.08</v>
      </c>
    </row>
    <row r="26" spans="1:15" x14ac:dyDescent="0.25">
      <c r="A26" s="25" t="s">
        <v>78</v>
      </c>
      <c r="B26" s="26">
        <f t="shared" ref="B26:M26" si="3">SUM(B18:B25)</f>
        <v>998.08799999999997</v>
      </c>
      <c r="C26" s="26">
        <f t="shared" si="3"/>
        <v>939.36000000000013</v>
      </c>
      <c r="D26" s="26">
        <f t="shared" si="3"/>
        <v>1031.2160000000001</v>
      </c>
      <c r="E26" s="26">
        <f t="shared" si="3"/>
        <v>939.68000000000006</v>
      </c>
      <c r="F26" s="26">
        <f t="shared" si="3"/>
        <v>842.38400000000001</v>
      </c>
      <c r="G26" s="26">
        <f t="shared" si="3"/>
        <v>1015.76</v>
      </c>
      <c r="H26" s="26">
        <f t="shared" si="3"/>
        <v>726.05599999999993</v>
      </c>
      <c r="I26" s="26">
        <f t="shared" si="3"/>
        <v>633.21600000000001</v>
      </c>
      <c r="J26" s="26">
        <f t="shared" si="3"/>
        <v>1045.6160000000002</v>
      </c>
      <c r="K26" s="26">
        <f t="shared" si="3"/>
        <v>1045.6160000000002</v>
      </c>
      <c r="L26" s="26">
        <f t="shared" si="3"/>
        <v>998.08799999999997</v>
      </c>
      <c r="M26" s="26">
        <f t="shared" si="3"/>
        <v>932</v>
      </c>
      <c r="N26" s="26">
        <f t="shared" si="2"/>
        <v>11147.08</v>
      </c>
    </row>
    <row r="28" spans="1:15" ht="19.5" customHeight="1" x14ac:dyDescent="0.25">
      <c r="A28" s="4" t="s">
        <v>79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25">
      <c r="A29" s="39" t="s">
        <v>64</v>
      </c>
      <c r="B29" s="40" t="s">
        <v>21</v>
      </c>
      <c r="C29" s="40" t="s">
        <v>22</v>
      </c>
      <c r="D29" s="40" t="s">
        <v>23</v>
      </c>
      <c r="E29" s="40" t="s">
        <v>24</v>
      </c>
      <c r="F29" s="40" t="s">
        <v>25</v>
      </c>
      <c r="G29" s="40" t="s">
        <v>26</v>
      </c>
      <c r="H29" s="40" t="s">
        <v>27</v>
      </c>
      <c r="I29" s="40" t="s">
        <v>28</v>
      </c>
      <c r="J29" s="40" t="s">
        <v>29</v>
      </c>
      <c r="K29" s="40" t="s">
        <v>30</v>
      </c>
      <c r="L29" s="40" t="s">
        <v>31</v>
      </c>
      <c r="M29" s="40" t="s">
        <v>32</v>
      </c>
      <c r="N29" s="40" t="s">
        <v>80</v>
      </c>
      <c r="O29" s="40" t="s">
        <v>20</v>
      </c>
    </row>
    <row r="30" spans="1:15" x14ac:dyDescent="0.25">
      <c r="A30" s="42" t="str">
        <f>Ressourcen!B5</f>
        <v>Lukas Berger</v>
      </c>
      <c r="B30" s="51">
        <f t="shared" ref="B30:M30" si="4">IFERROR(B6/B18,0)</f>
        <v>0.89285714285714279</v>
      </c>
      <c r="C30" s="51">
        <f t="shared" si="4"/>
        <v>0.9765625</v>
      </c>
      <c r="D30" s="51">
        <f t="shared" si="4"/>
        <v>0.92329545454545447</v>
      </c>
      <c r="E30" s="51">
        <f t="shared" si="4"/>
        <v>0.859375</v>
      </c>
      <c r="F30" s="51">
        <f t="shared" si="4"/>
        <v>1.1111111111111112</v>
      </c>
      <c r="G30" s="51">
        <f t="shared" si="4"/>
        <v>0.93749999999999989</v>
      </c>
      <c r="H30" s="51">
        <f t="shared" si="4"/>
        <v>1.0817307692307692</v>
      </c>
      <c r="I30" s="51">
        <f t="shared" si="4"/>
        <v>0.78125</v>
      </c>
      <c r="J30" s="51">
        <f t="shared" si="4"/>
        <v>0.95880681818181812</v>
      </c>
      <c r="K30" s="51">
        <f t="shared" si="4"/>
        <v>0.99431818181818177</v>
      </c>
      <c r="L30" s="51">
        <f t="shared" si="4"/>
        <v>0.96726190476190477</v>
      </c>
      <c r="M30" s="51">
        <f t="shared" si="4"/>
        <v>0.82236842105263153</v>
      </c>
      <c r="N30" s="52">
        <f t="shared" ref="N30:N37" si="5">IFERROR(SUM(B6:M6)/SUM(B18:M18),0)</f>
        <v>0.94014830508474567</v>
      </c>
      <c r="O30" s="53" t="str">
        <f>IF(N30&gt;Dashboard!$B$7,"⚠ Überlastet",IF(N30&lt;Dashboard!$B$6,"○ Unterauslastung","✓ Optimal"))</f>
        <v>✓ Optimal</v>
      </c>
    </row>
    <row r="31" spans="1:15" x14ac:dyDescent="0.25">
      <c r="A31" s="44" t="str">
        <f>Ressourcen!B6</f>
        <v>Mara Voss</v>
      </c>
      <c r="B31" s="51">
        <f t="shared" ref="B31:M31" si="6">IFERROR(B7/B19,0)</f>
        <v>0.78781512605042014</v>
      </c>
      <c r="C31" s="51">
        <f t="shared" si="6"/>
        <v>0.87316176470588225</v>
      </c>
      <c r="D31" s="51">
        <f t="shared" si="6"/>
        <v>0.73529411764705876</v>
      </c>
      <c r="E31" s="51">
        <f t="shared" si="6"/>
        <v>0.93954248366013071</v>
      </c>
      <c r="F31" s="51">
        <f t="shared" si="6"/>
        <v>0.81699346405228757</v>
      </c>
      <c r="G31" s="51">
        <f t="shared" si="6"/>
        <v>0.71022727272727271</v>
      </c>
      <c r="H31" s="51">
        <f t="shared" si="6"/>
        <v>0.73529411764705876</v>
      </c>
      <c r="I31" s="51">
        <f t="shared" si="6"/>
        <v>0.77771493212669685</v>
      </c>
      <c r="J31" s="51">
        <f t="shared" si="6"/>
        <v>0.80213903743315507</v>
      </c>
      <c r="K31" s="51">
        <f t="shared" si="6"/>
        <v>0.83556149732620311</v>
      </c>
      <c r="L31" s="51">
        <f t="shared" si="6"/>
        <v>0.82282913165266103</v>
      </c>
      <c r="M31" s="51">
        <f t="shared" si="6"/>
        <v>0.64338235294117641</v>
      </c>
      <c r="N31" s="52">
        <f t="shared" si="5"/>
        <v>0.78949849170437403</v>
      </c>
      <c r="O31" s="24" t="str">
        <f>IF(N31&gt;Dashboard!$B$7,"⚠ Überlastet",IF(N31&lt;Dashboard!$B$6,"○ Unterauslastung","✓ Optimal"))</f>
        <v>✓ Optimal</v>
      </c>
    </row>
    <row r="32" spans="1:15" x14ac:dyDescent="0.25">
      <c r="A32" s="42" t="str">
        <f>Ressourcen!B7</f>
        <v>Felix Brandt</v>
      </c>
      <c r="B32" s="51">
        <f t="shared" ref="B32:M32" si="7">IFERROR(B8/B20,0)</f>
        <v>0.87301587301587302</v>
      </c>
      <c r="C32" s="51">
        <f t="shared" si="7"/>
        <v>0.95833333333333337</v>
      </c>
      <c r="D32" s="51">
        <f t="shared" si="7"/>
        <v>0.90909090909090906</v>
      </c>
      <c r="E32" s="51">
        <f t="shared" si="7"/>
        <v>0.98333333333333328</v>
      </c>
      <c r="F32" s="51">
        <f t="shared" si="7"/>
        <v>1.1296296296296295</v>
      </c>
      <c r="G32" s="51">
        <f t="shared" si="7"/>
        <v>0.8771929824561403</v>
      </c>
      <c r="H32" s="51">
        <f t="shared" si="7"/>
        <v>0.87962962962962965</v>
      </c>
      <c r="I32" s="51">
        <f t="shared" si="7"/>
        <v>1.0606060606060606</v>
      </c>
      <c r="J32" s="51">
        <f t="shared" si="7"/>
        <v>0.94696969696969702</v>
      </c>
      <c r="K32" s="51">
        <f t="shared" si="7"/>
        <v>0.98484848484848486</v>
      </c>
      <c r="L32" s="51">
        <f t="shared" si="7"/>
        <v>0.95238095238095233</v>
      </c>
      <c r="M32" s="51">
        <f t="shared" si="7"/>
        <v>0.875</v>
      </c>
      <c r="N32" s="52">
        <f t="shared" si="5"/>
        <v>0.94729344729344733</v>
      </c>
      <c r="O32" s="53" t="str">
        <f>IF(N32&gt;Dashboard!$B$7,"⚠ Überlastet",IF(N32&lt;Dashboard!$B$6,"○ Unterauslastung","✓ Optimal"))</f>
        <v>✓ Optimal</v>
      </c>
    </row>
    <row r="33" spans="1:15" x14ac:dyDescent="0.25">
      <c r="A33" s="44" t="str">
        <f>Ressourcen!B8</f>
        <v>Nina Engel</v>
      </c>
      <c r="B33" s="51">
        <f t="shared" ref="B33:M33" si="8">IFERROR(B9/B21,0)</f>
        <v>0.85034013605442182</v>
      </c>
      <c r="C33" s="51">
        <f t="shared" si="8"/>
        <v>1.0416666666666667</v>
      </c>
      <c r="D33" s="51">
        <f t="shared" si="8"/>
        <v>0.8928571428571429</v>
      </c>
      <c r="E33" s="51">
        <f t="shared" si="8"/>
        <v>0.9642857142857143</v>
      </c>
      <c r="F33" s="51">
        <f t="shared" si="8"/>
        <v>1.1111111111111112</v>
      </c>
      <c r="G33" s="51">
        <f t="shared" si="8"/>
        <v>0.93344155844155852</v>
      </c>
      <c r="H33" s="51">
        <f t="shared" si="8"/>
        <v>1.2362637362637363</v>
      </c>
      <c r="I33" s="51">
        <f t="shared" si="8"/>
        <v>0.9486607142857143</v>
      </c>
      <c r="J33" s="51">
        <f t="shared" si="8"/>
        <v>0.95779220779220786</v>
      </c>
      <c r="K33" s="51">
        <f t="shared" si="8"/>
        <v>0.97402597402597413</v>
      </c>
      <c r="L33" s="51">
        <f t="shared" si="8"/>
        <v>0.93537414965986398</v>
      </c>
      <c r="M33" s="51">
        <f t="shared" si="8"/>
        <v>0.8928571428571429</v>
      </c>
      <c r="N33" s="52">
        <f t="shared" si="5"/>
        <v>0.96764346764346776</v>
      </c>
      <c r="O33" s="24" t="str">
        <f>IF(N33&gt;Dashboard!$B$7,"⚠ Überlastet",IF(N33&lt;Dashboard!$B$6,"○ Unterauslastung","✓ Optimal"))</f>
        <v>⚠ Überlastet</v>
      </c>
    </row>
    <row r="34" spans="1:15" x14ac:dyDescent="0.25">
      <c r="A34" s="42" t="str">
        <f>Ressourcen!B9</f>
        <v>Jonas Keller</v>
      </c>
      <c r="B34" s="51">
        <f t="shared" ref="B34:M34" si="9">IFERROR(B10/B22,0)</f>
        <v>0.94537815126050428</v>
      </c>
      <c r="C34" s="51">
        <f t="shared" si="9"/>
        <v>1.0294117647058822</v>
      </c>
      <c r="D34" s="51">
        <f t="shared" si="9"/>
        <v>0.92245989304812837</v>
      </c>
      <c r="E34" s="51">
        <f t="shared" si="9"/>
        <v>0.95588235294117652</v>
      </c>
      <c r="F34" s="51">
        <f t="shared" si="9"/>
        <v>1.1601307189542485</v>
      </c>
      <c r="G34" s="51">
        <f t="shared" si="9"/>
        <v>0.96925133689839571</v>
      </c>
      <c r="H34" s="51">
        <f t="shared" si="9"/>
        <v>0.81699346405228768</v>
      </c>
      <c r="I34" s="51">
        <f t="shared" si="9"/>
        <v>1.5522875816993464</v>
      </c>
      <c r="J34" s="51">
        <f t="shared" si="9"/>
        <v>1.0026737967914439</v>
      </c>
      <c r="K34" s="51">
        <f t="shared" si="9"/>
        <v>0.98930481283422467</v>
      </c>
      <c r="L34" s="51">
        <f t="shared" si="9"/>
        <v>0.98039215686274517</v>
      </c>
      <c r="M34" s="51">
        <f t="shared" si="9"/>
        <v>0.80882352941176472</v>
      </c>
      <c r="N34" s="52">
        <f t="shared" si="5"/>
        <v>0.98435544430538191</v>
      </c>
      <c r="O34" s="53" t="str">
        <f>IF(N34&gt;Dashboard!$B$7,"⚠ Überlastet",IF(N34&lt;Dashboard!$B$6,"○ Unterauslastung","✓ Optimal"))</f>
        <v>⚠ Überlastet</v>
      </c>
    </row>
    <row r="35" spans="1:15" x14ac:dyDescent="0.25">
      <c r="A35" s="44" t="str">
        <f>Ressourcen!B10</f>
        <v>Sophie Lang</v>
      </c>
      <c r="B35" s="51">
        <f t="shared" ref="B35:M35" si="10">IFERROR(B11/B23,0)</f>
        <v>0.79365079365079361</v>
      </c>
      <c r="C35" s="51">
        <f t="shared" si="10"/>
        <v>0.88541666666666652</v>
      </c>
      <c r="D35" s="51">
        <f t="shared" si="10"/>
        <v>0.89912280701754366</v>
      </c>
      <c r="E35" s="51">
        <f t="shared" si="10"/>
        <v>0.91666666666666652</v>
      </c>
      <c r="F35" s="51">
        <f t="shared" si="10"/>
        <v>1.0416666666666665</v>
      </c>
      <c r="G35" s="51">
        <f t="shared" si="10"/>
        <v>0.81439393939393923</v>
      </c>
      <c r="H35" s="51">
        <f t="shared" si="10"/>
        <v>0.83333333333333315</v>
      </c>
      <c r="I35" s="51">
        <f t="shared" si="10"/>
        <v>0.74404761904761885</v>
      </c>
      <c r="J35" s="51">
        <f t="shared" si="10"/>
        <v>0.87121212121212099</v>
      </c>
      <c r="K35" s="51">
        <f t="shared" si="10"/>
        <v>0.89962121212121193</v>
      </c>
      <c r="L35" s="51">
        <f t="shared" si="10"/>
        <v>0.89285714285714279</v>
      </c>
      <c r="M35" s="51">
        <f t="shared" si="10"/>
        <v>0.74999999999999989</v>
      </c>
      <c r="N35" s="52">
        <f t="shared" si="5"/>
        <v>0.86360398860398857</v>
      </c>
      <c r="O35" s="24" t="str">
        <f>IF(N35&gt;Dashboard!$B$7,"⚠ Überlastet",IF(N35&lt;Dashboard!$B$6,"○ Unterauslastung","✓ Optimal"))</f>
        <v>✓ Optimal</v>
      </c>
    </row>
    <row r="36" spans="1:15" x14ac:dyDescent="0.25">
      <c r="A36" s="42" t="str">
        <f>Ressourcen!B11</f>
        <v>David Roth</v>
      </c>
      <c r="B36" s="51">
        <f t="shared" ref="B36:M36" si="11">IFERROR(B12/B24,0)</f>
        <v>0.83478513356562123</v>
      </c>
      <c r="C36" s="51">
        <f t="shared" si="11"/>
        <v>0.89939024390243894</v>
      </c>
      <c r="D36" s="51">
        <f t="shared" si="11"/>
        <v>0.83148558758314839</v>
      </c>
      <c r="E36" s="51">
        <f t="shared" si="11"/>
        <v>0.88414634146341453</v>
      </c>
      <c r="F36" s="51">
        <f t="shared" si="11"/>
        <v>1.1623475609756098</v>
      </c>
      <c r="G36" s="51">
        <f t="shared" si="11"/>
        <v>0.85920177383592</v>
      </c>
      <c r="H36" s="51">
        <f t="shared" si="11"/>
        <v>1.1726078799249531</v>
      </c>
      <c r="I36" s="51">
        <f t="shared" si="11"/>
        <v>0.85746951219512191</v>
      </c>
      <c r="J36" s="51">
        <f t="shared" si="11"/>
        <v>0.88691796008869161</v>
      </c>
      <c r="K36" s="51">
        <f t="shared" si="11"/>
        <v>0.90077605321507748</v>
      </c>
      <c r="L36" s="51">
        <f t="shared" si="11"/>
        <v>0.87108013937282214</v>
      </c>
      <c r="M36" s="51">
        <f t="shared" si="11"/>
        <v>0.86649550706033363</v>
      </c>
      <c r="N36" s="52">
        <f t="shared" si="5"/>
        <v>0.90616531165311642</v>
      </c>
      <c r="O36" s="53" t="str">
        <f>IF(N36&gt;Dashboard!$B$7,"⚠ Überlastet",IF(N36&lt;Dashboard!$B$6,"○ Unterauslastung","✓ Optimal"))</f>
        <v>✓ Optimal</v>
      </c>
    </row>
    <row r="37" spans="1:15" x14ac:dyDescent="0.25">
      <c r="A37" s="44" t="str">
        <f>Ressourcen!B12</f>
        <v>Elena Wolf</v>
      </c>
      <c r="B37" s="51">
        <f t="shared" ref="B37:M37" si="12">IFERROR(B13/B25,0)</f>
        <v>0.84345479082321184</v>
      </c>
      <c r="C37" s="51">
        <f t="shared" si="12"/>
        <v>0.91093117408906876</v>
      </c>
      <c r="D37" s="51">
        <f t="shared" si="12"/>
        <v>0.84345479082321184</v>
      </c>
      <c r="E37" s="51">
        <f t="shared" si="12"/>
        <v>0.94466936572199733</v>
      </c>
      <c r="F37" s="51">
        <f t="shared" si="12"/>
        <v>1.0777477882741042</v>
      </c>
      <c r="G37" s="51">
        <f t="shared" si="12"/>
        <v>0.84345479082321184</v>
      </c>
      <c r="H37" s="51">
        <f t="shared" si="12"/>
        <v>0.94268476621417796</v>
      </c>
      <c r="I37" s="51">
        <f t="shared" si="12"/>
        <v>1.0543184885290149</v>
      </c>
      <c r="J37" s="51">
        <f t="shared" si="12"/>
        <v>0.90479695742853639</v>
      </c>
      <c r="K37" s="51">
        <f t="shared" si="12"/>
        <v>0.92013249907986749</v>
      </c>
      <c r="L37" s="51">
        <f t="shared" si="12"/>
        <v>0.89968511021142605</v>
      </c>
      <c r="M37" s="51">
        <f t="shared" si="12"/>
        <v>0.82658569500674761</v>
      </c>
      <c r="N37" s="52">
        <f t="shared" si="5"/>
        <v>0.91021334022453848</v>
      </c>
      <c r="O37" s="24" t="str">
        <f>IF(N37&gt;Dashboard!$B$7,"⚠ Überlastet",IF(N37&lt;Dashboard!$B$6,"○ Unterauslastung","✓ Optimal"))</f>
        <v>✓ Optimal</v>
      </c>
    </row>
    <row r="38" spans="1:15" x14ac:dyDescent="0.25">
      <c r="A38" s="25" t="s">
        <v>81</v>
      </c>
      <c r="B38" s="54">
        <f t="shared" ref="B38:M38" si="13">IFERROR(B14/B26,0)</f>
        <v>0.85663789164883264</v>
      </c>
      <c r="C38" s="54">
        <f t="shared" si="13"/>
        <v>0.94851814001021961</v>
      </c>
      <c r="D38" s="54">
        <f t="shared" si="13"/>
        <v>0.87081658934694561</v>
      </c>
      <c r="E38" s="54">
        <f t="shared" si="13"/>
        <v>0.93010386514558141</v>
      </c>
      <c r="F38" s="54">
        <f t="shared" si="13"/>
        <v>1.0814545385477408</v>
      </c>
      <c r="G38" s="54">
        <f t="shared" si="13"/>
        <v>0.87323777270221314</v>
      </c>
      <c r="H38" s="54">
        <f t="shared" si="13"/>
        <v>0.9503399186839584</v>
      </c>
      <c r="I38" s="54">
        <f t="shared" si="13"/>
        <v>0.94754396604002422</v>
      </c>
      <c r="J38" s="54">
        <f t="shared" si="13"/>
        <v>0.92003182812810802</v>
      </c>
      <c r="K38" s="54">
        <f t="shared" si="13"/>
        <v>0.94011568300408543</v>
      </c>
      <c r="L38" s="54">
        <f t="shared" si="13"/>
        <v>0.91775474707641014</v>
      </c>
      <c r="M38" s="54">
        <f t="shared" si="13"/>
        <v>0.81330472103004292</v>
      </c>
      <c r="N38" s="54">
        <f>IFERROR(N14/N26,0)</f>
        <v>0.91728057930866203</v>
      </c>
      <c r="O38" s="47"/>
    </row>
    <row r="40" spans="1:15" x14ac:dyDescent="0.25">
      <c r="A40" s="48" t="s">
        <v>82</v>
      </c>
    </row>
    <row r="41" spans="1:15" x14ac:dyDescent="0.25">
      <c r="A41" s="3" t="s">
        <v>83</v>
      </c>
      <c r="B41" s="3"/>
      <c r="C41" s="3"/>
      <c r="D41" s="3"/>
    </row>
    <row r="42" spans="1:15" x14ac:dyDescent="0.25">
      <c r="A42" s="2" t="s">
        <v>84</v>
      </c>
      <c r="B42" s="2"/>
      <c r="C42" s="2"/>
      <c r="D42" s="2"/>
    </row>
    <row r="43" spans="1:15" x14ac:dyDescent="0.25">
      <c r="A43" s="1" t="s">
        <v>85</v>
      </c>
      <c r="B43" s="1"/>
      <c r="C43" s="1"/>
      <c r="D43" s="1"/>
    </row>
  </sheetData>
  <mergeCells count="8">
    <mergeCell ref="A41:D41"/>
    <mergeCell ref="A42:D42"/>
    <mergeCell ref="A43:D43"/>
    <mergeCell ref="A1:O1"/>
    <mergeCell ref="A2:O2"/>
    <mergeCell ref="A4:O4"/>
    <mergeCell ref="A16:O16"/>
    <mergeCell ref="A28:O28"/>
  </mergeCells>
  <conditionalFormatting sqref="B30:M37">
    <cfRule type="cellIs" dxfId="5" priority="2" operator="greaterThan">
      <formula>0.95</formula>
    </cfRule>
    <cfRule type="cellIs" dxfId="4" priority="3" operator="lessThan">
      <formula>0.75</formula>
    </cfRule>
    <cfRule type="cellIs" dxfId="3" priority="4" operator="between">
      <formula>0.75</formula>
      <formula>0.95</formula>
    </cfRule>
  </conditionalFormatting>
  <conditionalFormatting sqref="N30:N37">
    <cfRule type="cellIs" dxfId="2" priority="5" operator="greaterThan">
      <formula>0.95</formula>
    </cfRule>
    <cfRule type="cellIs" dxfId="1" priority="6" operator="lessThan">
      <formula>0.75</formula>
    </cfRule>
    <cfRule type="cellIs" dxfId="0" priority="7" operator="between">
      <formula>0.75</formula>
      <formula>0.95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1"/>
  <sheetViews>
    <sheetView showGridLines="0" zoomScaleNormal="100" workbookViewId="0">
      <selection sqref="A1:B1"/>
    </sheetView>
  </sheetViews>
  <sheetFormatPr baseColWidth="10" defaultColWidth="8.7109375" defaultRowHeight="15" x14ac:dyDescent="0.25"/>
  <cols>
    <col min="1" max="1" width="4" customWidth="1"/>
    <col min="2" max="2" width="104" customWidth="1"/>
  </cols>
  <sheetData>
    <row r="1" spans="1:2" ht="27.75" customHeight="1" x14ac:dyDescent="0.25">
      <c r="A1" s="6" t="s">
        <v>86</v>
      </c>
      <c r="B1" s="6"/>
    </row>
    <row r="3" spans="1:2" ht="19.5" customHeight="1" x14ac:dyDescent="0.25">
      <c r="B3" s="55" t="s">
        <v>87</v>
      </c>
    </row>
    <row r="4" spans="1:2" ht="30" customHeight="1" x14ac:dyDescent="0.25">
      <c r="B4" s="56" t="s">
        <v>88</v>
      </c>
    </row>
    <row r="5" spans="1:2" ht="19.5" customHeight="1" x14ac:dyDescent="0.25">
      <c r="B5" s="55" t="s">
        <v>89</v>
      </c>
    </row>
    <row r="6" spans="1:2" ht="30" customHeight="1" x14ac:dyDescent="0.25">
      <c r="B6" s="56" t="s">
        <v>90</v>
      </c>
    </row>
    <row r="7" spans="1:2" ht="19.5" customHeight="1" x14ac:dyDescent="0.25">
      <c r="B7" s="55" t="s">
        <v>91</v>
      </c>
    </row>
    <row r="8" spans="1:2" ht="30" customHeight="1" x14ac:dyDescent="0.25">
      <c r="B8" s="56" t="s">
        <v>92</v>
      </c>
    </row>
    <row r="9" spans="1:2" ht="19.5" customHeight="1" x14ac:dyDescent="0.25">
      <c r="B9" s="55" t="s">
        <v>93</v>
      </c>
    </row>
    <row r="10" spans="1:2" ht="30" customHeight="1" x14ac:dyDescent="0.25">
      <c r="B10" s="56" t="s">
        <v>94</v>
      </c>
    </row>
    <row r="11" spans="1:2" ht="19.5" customHeight="1" x14ac:dyDescent="0.25">
      <c r="B11" s="55" t="s">
        <v>95</v>
      </c>
    </row>
    <row r="12" spans="1:2" ht="30" customHeight="1" x14ac:dyDescent="0.25">
      <c r="B12" s="56" t="s">
        <v>96</v>
      </c>
    </row>
    <row r="13" spans="1:2" ht="19.5" customHeight="1" x14ac:dyDescent="0.25">
      <c r="B13" s="55" t="s">
        <v>97</v>
      </c>
    </row>
    <row r="14" spans="1:2" ht="15.75" customHeight="1" x14ac:dyDescent="0.25">
      <c r="B14" s="56" t="s">
        <v>98</v>
      </c>
    </row>
    <row r="15" spans="1:2" ht="15.75" customHeight="1" x14ac:dyDescent="0.25">
      <c r="B15" s="56" t="s">
        <v>99</v>
      </c>
    </row>
    <row r="16" spans="1:2" ht="15.75" customHeight="1" x14ac:dyDescent="0.25">
      <c r="B16" s="56" t="s">
        <v>100</v>
      </c>
    </row>
    <row r="17" spans="2:2" ht="15.75" customHeight="1" x14ac:dyDescent="0.25">
      <c r="B17" s="56" t="s">
        <v>101</v>
      </c>
    </row>
    <row r="18" spans="2:2" ht="19.5" customHeight="1" x14ac:dyDescent="0.25">
      <c r="B18" s="55" t="s">
        <v>102</v>
      </c>
    </row>
    <row r="19" spans="2:2" ht="30" customHeight="1" x14ac:dyDescent="0.25">
      <c r="B19" s="56" t="s">
        <v>103</v>
      </c>
    </row>
    <row r="20" spans="2:2" ht="30" customHeight="1" x14ac:dyDescent="0.25">
      <c r="B20" s="56" t="s">
        <v>104</v>
      </c>
    </row>
    <row r="21" spans="2:2" ht="30" customHeight="1" x14ac:dyDescent="0.25">
      <c r="B21" s="56" t="s">
        <v>105</v>
      </c>
    </row>
  </sheetData>
  <mergeCells count="1">
    <mergeCell ref="A1:B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Dashboard</vt:lpstr>
      <vt:lpstr>Ressourcen</vt:lpstr>
      <vt:lpstr>Verfügbarkeit</vt:lpstr>
      <vt:lpstr>Kapazitätsplan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2026-06-12T06:18:32Z</dcterms:created>
  <dcterms:modified xsi:type="dcterms:W3CDTF">2026-06-12T06:51:49Z</dcterms:modified>
  <dc:language>en-US</dc:language>
</cp:coreProperties>
</file>