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66890070-500B-41E3-AE8A-5F101BC5BDA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ashboard" sheetId="1" r:id="rId1"/>
    <sheet name="Akquise-Liste" sheetId="2" r:id="rId2"/>
    <sheet name="Anrufprotokoll" sheetId="3" r:id="rId3"/>
    <sheet name="Einstellungen" sheetId="4" state="hidden" r:id="rId4"/>
  </sheets>
  <definedNames>
    <definedName name="_xlnm._FilterDatabase" localSheetId="1" hidden="1">'Akquise-Liste'!$A$4:$U$39</definedName>
    <definedName name="_xlnm._FilterDatabase" localSheetId="2" hidden="1">Anrufprotokoll!$A$4:$K$89</definedName>
    <definedName name="lst_Branche">Einstellungen!$C$2:$C$16</definedName>
    <definedName name="lst_Ergebnis">Einstellungen!$G$2:$G$10</definedName>
    <definedName name="lst_JaNein">Einstellungen!$H$2:$H$3</definedName>
    <definedName name="lst_Kanal">Einstellungen!$F$2:$F$7</definedName>
    <definedName name="lst_Mitarbeiter">Einstellungen!$E$2:$E$6</definedName>
    <definedName name="lst_Prio">Einstellungen!$B$2:$B$4</definedName>
    <definedName name="lst_Quelle">Einstellungen!$D$2:$D$11</definedName>
    <definedName name="lst_Status">Einstellungen!$A$2:$A$12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" i="1" l="1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T39" i="2"/>
  <c r="Q39" i="2"/>
  <c r="O39" i="2"/>
  <c r="T38" i="2"/>
  <c r="Q38" i="2"/>
  <c r="O38" i="2"/>
  <c r="T37" i="2"/>
  <c r="Q37" i="2"/>
  <c r="O37" i="2"/>
  <c r="T36" i="2"/>
  <c r="Q36" i="2"/>
  <c r="O36" i="2"/>
  <c r="T35" i="2"/>
  <c r="Q35" i="2"/>
  <c r="O35" i="2"/>
  <c r="T34" i="2"/>
  <c r="Q34" i="2"/>
  <c r="O34" i="2"/>
  <c r="T33" i="2"/>
  <c r="Q33" i="2"/>
  <c r="O33" i="2"/>
  <c r="T32" i="2"/>
  <c r="Q32" i="2"/>
  <c r="O32" i="2"/>
  <c r="T31" i="2"/>
  <c r="Q31" i="2"/>
  <c r="O31" i="2"/>
  <c r="T30" i="2"/>
  <c r="Q30" i="2"/>
  <c r="O30" i="2"/>
  <c r="T29" i="2"/>
  <c r="Q29" i="2"/>
  <c r="O29" i="2"/>
  <c r="T28" i="2"/>
  <c r="Q28" i="2"/>
  <c r="O28" i="2"/>
  <c r="T27" i="2"/>
  <c r="Q27" i="2"/>
  <c r="O27" i="2"/>
  <c r="T26" i="2"/>
  <c r="Q26" i="2"/>
  <c r="O26" i="2"/>
  <c r="T25" i="2"/>
  <c r="Q25" i="2"/>
  <c r="O25" i="2"/>
  <c r="T24" i="2"/>
  <c r="Q24" i="2"/>
  <c r="O24" i="2"/>
  <c r="T23" i="2"/>
  <c r="Q23" i="2"/>
  <c r="O23" i="2"/>
  <c r="T22" i="2"/>
  <c r="Q22" i="2"/>
  <c r="O22" i="2"/>
  <c r="T21" i="2"/>
  <c r="Q21" i="2"/>
  <c r="O21" i="2"/>
  <c r="T20" i="2"/>
  <c r="Q20" i="2"/>
  <c r="O20" i="2"/>
  <c r="T19" i="2"/>
  <c r="Q19" i="2"/>
  <c r="O19" i="2"/>
  <c r="T18" i="2"/>
  <c r="Q18" i="2"/>
  <c r="O18" i="2"/>
  <c r="T17" i="2"/>
  <c r="Q17" i="2"/>
  <c r="O17" i="2"/>
  <c r="T16" i="2"/>
  <c r="Q16" i="2"/>
  <c r="O16" i="2"/>
  <c r="T15" i="2"/>
  <c r="Q15" i="2"/>
  <c r="O15" i="2"/>
  <c r="T14" i="2"/>
  <c r="Q14" i="2"/>
  <c r="O14" i="2"/>
  <c r="T13" i="2"/>
  <c r="Q13" i="2"/>
  <c r="O13" i="2"/>
  <c r="T12" i="2"/>
  <c r="Q12" i="2"/>
  <c r="O12" i="2"/>
  <c r="T11" i="2"/>
  <c r="Q11" i="2"/>
  <c r="O11" i="2"/>
  <c r="T10" i="2"/>
  <c r="Q10" i="2"/>
  <c r="O10" i="2"/>
  <c r="T9" i="2"/>
  <c r="Q9" i="2"/>
  <c r="O9" i="2"/>
  <c r="T8" i="2"/>
  <c r="J38" i="1" s="1"/>
  <c r="Q8" i="2"/>
  <c r="O8" i="2"/>
  <c r="T7" i="2"/>
  <c r="Q7" i="2"/>
  <c r="O7" i="2"/>
  <c r="T6" i="2"/>
  <c r="J34" i="1" s="1"/>
  <c r="Q6" i="2"/>
  <c r="O6" i="2"/>
  <c r="T5" i="2"/>
  <c r="Q5" i="2"/>
  <c r="O5" i="2"/>
  <c r="D42" i="1"/>
  <c r="C42" i="1"/>
  <c r="D41" i="1"/>
  <c r="C41" i="1"/>
  <c r="D40" i="1"/>
  <c r="C40" i="1"/>
  <c r="D39" i="1"/>
  <c r="C39" i="1"/>
  <c r="I38" i="1"/>
  <c r="H38" i="1"/>
  <c r="D38" i="1"/>
  <c r="C38" i="1"/>
  <c r="J37" i="1"/>
  <c r="I37" i="1"/>
  <c r="H37" i="1"/>
  <c r="D37" i="1"/>
  <c r="C37" i="1"/>
  <c r="J36" i="1"/>
  <c r="I36" i="1"/>
  <c r="H36" i="1"/>
  <c r="D36" i="1"/>
  <c r="C36" i="1"/>
  <c r="J35" i="1"/>
  <c r="I35" i="1"/>
  <c r="H35" i="1"/>
  <c r="D35" i="1"/>
  <c r="C35" i="1"/>
  <c r="I34" i="1"/>
  <c r="H34" i="1"/>
  <c r="D34" i="1"/>
  <c r="C34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H14" i="1"/>
  <c r="E14" i="1"/>
  <c r="B14" i="1"/>
  <c r="H10" i="1"/>
  <c r="E10" i="1"/>
  <c r="B10" i="1"/>
  <c r="H6" i="1"/>
  <c r="E6" i="1"/>
  <c r="B6" i="1"/>
  <c r="B48" i="1" l="1"/>
  <c r="H48" i="1"/>
  <c r="E48" i="1"/>
</calcChain>
</file>

<file path=xl/sharedStrings.xml><?xml version="1.0" encoding="utf-8"?>
<sst xmlns="http://schemas.openxmlformats.org/spreadsheetml/2006/main" count="959" uniqueCount="355">
  <si>
    <t>LEADS GESAMT</t>
  </si>
  <si>
    <t>ANRUFE / KONTAKTE</t>
  </si>
  <si>
    <t>ERREICHUNGSQUOTE</t>
  </si>
  <si>
    <t>TERMINE VEREINBART</t>
  </si>
  <si>
    <t>ABSCHLÜSSE</t>
  </si>
  <si>
    <t>ABSCHLUSSQUOTE</t>
  </si>
  <si>
    <t>PIPELINE-WERT</t>
  </si>
  <si>
    <t>GEWICHTETER FORECAST</t>
  </si>
  <si>
    <t>UMSATZ GEWONNEN</t>
  </si>
  <si>
    <t>PIPELINE-FUNNEL · Verteilung nach Status</t>
  </si>
  <si>
    <t>Phase</t>
  </si>
  <si>
    <t>Anzahl</t>
  </si>
  <si>
    <t>Visualisierung</t>
  </si>
  <si>
    <t>Neu / Recherchiert</t>
  </si>
  <si>
    <t>Erstkontakt / Kontakt</t>
  </si>
  <si>
    <t>Bedarf qualifiziert</t>
  </si>
  <si>
    <t>Termin vereinbart</t>
  </si>
  <si>
    <t>Angebot versendet</t>
  </si>
  <si>
    <t>Verhandlung</t>
  </si>
  <si>
    <t>Gewonnen</t>
  </si>
  <si>
    <t>Verloren / K.I.</t>
  </si>
  <si>
    <t>LEAD-QUELLEN</t>
  </si>
  <si>
    <t>MITARBEITER-PERFORMANCE</t>
  </si>
  <si>
    <t>Quelle</t>
  </si>
  <si>
    <t>Leads</t>
  </si>
  <si>
    <t>Anteil</t>
  </si>
  <si>
    <t>Mitarbeiter</t>
  </si>
  <si>
    <t>Forecast (€)</t>
  </si>
  <si>
    <t>LinkedIn</t>
  </si>
  <si>
    <t>Lukas Berger</t>
  </si>
  <si>
    <t>XING</t>
  </si>
  <si>
    <t>Sophia Wagner</t>
  </si>
  <si>
    <t>Messe / Event</t>
  </si>
  <si>
    <t>Maximilian Schulz</t>
  </si>
  <si>
    <t>Empfehlung</t>
  </si>
  <si>
    <t>Anna Hoffmann</t>
  </si>
  <si>
    <t>Webrecherche</t>
  </si>
  <si>
    <t>Tobias Krüger</t>
  </si>
  <si>
    <t>Branchenverzeichnis</t>
  </si>
  <si>
    <t>Newsletter-Abonnent</t>
  </si>
  <si>
    <t>Webinar-Teilnehmer</t>
  </si>
  <si>
    <t>Eigene Recherche</t>
  </si>
  <si>
    <t>WIEDERVORLAGEN – ÜBERFÄLLIG &amp; DIESE WOCHE</t>
  </si>
  <si>
    <t>Überfällig (rot)</t>
  </si>
  <si>
    <t>Diese Woche (≤7 Tage)</t>
  </si>
  <si>
    <t>Geplant (&gt;7 Tage)</t>
  </si>
  <si>
    <t>Hinweis: Alle Kennzahlen werden automatisch aus den Tabellen «Akquise-Liste» und «Anrufprotokoll» berechnet. Dropdown-Listen können in der ausgeblendeten Tabelle «Einstellungen» angepasst werden.</t>
  </si>
  <si>
    <t>AKQUISE-LISTE – LEAD-PIPELINE 2026</t>
  </si>
  <si>
    <t>Zentrale Übersicht aller Interessenten – Status, Wiedervorlage und Pipeline-Wert auf einen Blick</t>
  </si>
  <si>
    <t>Lead-ID</t>
  </si>
  <si>
    <t>Firma</t>
  </si>
  <si>
    <t>Branche</t>
  </si>
  <si>
    <t>Ansprechpartner</t>
  </si>
  <si>
    <t>Position</t>
  </si>
  <si>
    <t>Telefon</t>
  </si>
  <si>
    <t>E-Mail</t>
  </si>
  <si>
    <t>Ort</t>
  </si>
  <si>
    <t>Vertriebsmitarbeiter</t>
  </si>
  <si>
    <t>Status</t>
  </si>
  <si>
    <t>Priorität</t>
  </si>
  <si>
    <t>Erstkontakt</t>
  </si>
  <si>
    <t>Letzter Kontakt</t>
  </si>
  <si>
    <t>Anrufversuche</t>
  </si>
  <si>
    <t>Wiedervorlage</t>
  </si>
  <si>
    <t>Tage bis WV</t>
  </si>
  <si>
    <t>Umsatzpotenzial (€)</t>
  </si>
  <si>
    <t>Abschluss-W'keit</t>
  </si>
  <si>
    <t>Erwarteter Umsatz (€)</t>
  </si>
  <si>
    <t>Notizen</t>
  </si>
  <si>
    <t>L-2026001</t>
  </si>
  <si>
    <t>Nordstern Maschinenbau GmbH</t>
  </si>
  <si>
    <t>Maschinenbau</t>
  </si>
  <si>
    <t>Dr. Heinrich Baumgartner</t>
  </si>
  <si>
    <t>Geschäftsführer</t>
  </si>
  <si>
    <t>+49 40 5512847</t>
  </si>
  <si>
    <t>h.baumgartner@nordstern-mb.de</t>
  </si>
  <si>
    <t>Hamburg</t>
  </si>
  <si>
    <t>Erstkontakt versucht</t>
  </si>
  <si>
    <t>B - Mittel</t>
  </si>
  <si>
    <t>Nutzt aktuell Wettbewerber-Lösung, Vertragsende Q4/2026. Sehr offen für Vergleichsangebot.</t>
  </si>
  <si>
    <t>L-2026002</t>
  </si>
  <si>
    <t>Adler Logistik AG</t>
  </si>
  <si>
    <t>Logistik &amp; Transport</t>
  </si>
  <si>
    <t>Petra Vollmer</t>
  </si>
  <si>
    <t>Leiterin Einkauf</t>
  </si>
  <si>
    <t>+49 89 6633120</t>
  </si>
  <si>
    <t>p.vollmer@adler-logistik.de</t>
  </si>
  <si>
    <t>München</t>
  </si>
  <si>
    <t>A - Hoch</t>
  </si>
  <si>
    <t>Konzernweite Beschaffung. Lead empfohlen über Messe Logistik Süd.</t>
  </si>
  <si>
    <t>L-2026003</t>
  </si>
  <si>
    <t>Bergstein Consulting GmbH</t>
  </si>
  <si>
    <t>Unternehmensberatung</t>
  </si>
  <si>
    <t>Markus Steinhoff</t>
  </si>
  <si>
    <t>Managing Partner</t>
  </si>
  <si>
    <t>+49 30 28049553</t>
  </si>
  <si>
    <t>m.steinhoff@bergstein-consulting.de</t>
  </si>
  <si>
    <t>Berlin</t>
  </si>
  <si>
    <t>C - Niedrig</t>
  </si>
  <si>
    <t>Drei Calls geführt, Entscheidung wartet auf internes Budget-Meeting im Juli.</t>
  </si>
  <si>
    <t>L-2026004</t>
  </si>
  <si>
    <t>Hanselmann IT-Solutions</t>
  </si>
  <si>
    <t>IT &amp; Software</t>
  </si>
  <si>
    <t>Julia Reinhardt</t>
  </si>
  <si>
    <t>CTO</t>
  </si>
  <si>
    <t>+49 711 4480921</t>
  </si>
  <si>
    <t>j.reinhardt@hanselmann-it.de</t>
  </si>
  <si>
    <t>Stuttgart</t>
  </si>
  <si>
    <t>Recherchiert</t>
  </si>
  <si>
    <t>Technisches Pre-Sales-Gespräch positiv. Angebot v2 angefordert.</t>
  </si>
  <si>
    <t>L-2026005</t>
  </si>
  <si>
    <t>Frankfurter Werkzeugbau GmbH</t>
  </si>
  <si>
    <t>Wolfgang Möller</t>
  </si>
  <si>
    <t>Produktionsleiter</t>
  </si>
  <si>
    <t>+49 69 7702384</t>
  </si>
  <si>
    <t>w.moeller@ffm-werkzeugbau.de</t>
  </si>
  <si>
    <t>Frankfurt am Main</t>
  </si>
  <si>
    <t>L-2026006</t>
  </si>
  <si>
    <t>Westfalen Engineering UG</t>
  </si>
  <si>
    <t>Sabine Kowalski</t>
  </si>
  <si>
    <t>Projektleiterin</t>
  </si>
  <si>
    <t>+49 231 4456709</t>
  </si>
  <si>
    <t>s.kowalski@westfalen-eng.de</t>
  </si>
  <si>
    <t>Dortmund</t>
  </si>
  <si>
    <t>Erstkontakt per LinkedIn-InMail – Reaktion ausstehend.</t>
  </si>
  <si>
    <t>L-2026007</t>
  </si>
  <si>
    <t>Sonnenfels Bauplanung</t>
  </si>
  <si>
    <t>Bauwesen</t>
  </si>
  <si>
    <t>Andreas Lechner</t>
  </si>
  <si>
    <t>Inhaber</t>
  </si>
  <si>
    <t>+49 911 3367812</t>
  </si>
  <si>
    <t>a.lechner@sonnenfels-bau.de</t>
  </si>
  <si>
    <t>Nürnberg</t>
  </si>
  <si>
    <t>L-2026008</t>
  </si>
  <si>
    <t>Blauwasser Energie GmbH</t>
  </si>
  <si>
    <t>Energie &amp; Umwelt</t>
  </si>
  <si>
    <t>Dr. Katrin Sommer</t>
  </si>
  <si>
    <t>Leiterin Beschaffung</t>
  </si>
  <si>
    <t>+49 421 5587024</t>
  </si>
  <si>
    <t>k.sommer@blauwasser-energie.de</t>
  </si>
  <si>
    <t>Bremen</t>
  </si>
  <si>
    <t>L-2026009</t>
  </si>
  <si>
    <t>TechVision Innovations GmbH</t>
  </si>
  <si>
    <t>Felix Brandtner</t>
  </si>
  <si>
    <t>Head of Operations</t>
  </si>
  <si>
    <t>+49 351 4498027</t>
  </si>
  <si>
    <t>f.brandtner@techvision-inn.de</t>
  </si>
  <si>
    <t>Dresden</t>
  </si>
  <si>
    <t>Kontakt hergestellt</t>
  </si>
  <si>
    <t>Pilotprojekt vereinbart, Start September 2026.</t>
  </si>
  <si>
    <t>L-2026010</t>
  </si>
  <si>
    <t>Aurora Marketing Group</t>
  </si>
  <si>
    <t>Marketing &amp; Werbung</t>
  </si>
  <si>
    <t>Lena Pfeiffer</t>
  </si>
  <si>
    <t>Geschäftsführerin</t>
  </si>
  <si>
    <t>+49 221 9988175</t>
  </si>
  <si>
    <t>l.pfeiffer@aurora-marketing.de</t>
  </si>
  <si>
    <t>Köln</t>
  </si>
  <si>
    <t>Neu</t>
  </si>
  <si>
    <t>Buchungsentscheidung Marketing-Tool-Suite läuft.</t>
  </si>
  <si>
    <t>L-2026011</t>
  </si>
  <si>
    <t>Lindenberg &amp; Partner KG</t>
  </si>
  <si>
    <t>Finanzdienstleistungen</t>
  </si>
  <si>
    <t>Hans-Jürgen Lindenberg</t>
  </si>
  <si>
    <t>Senior Partner</t>
  </si>
  <si>
    <t>+49 69 2270488</t>
  </si>
  <si>
    <t>h.lindenberg@lindenberg-partner.de</t>
  </si>
  <si>
    <t>Hochpriorisierter Account – persönliche Empfehlung über Vorstandsebene.</t>
  </si>
  <si>
    <t>L-2026012</t>
  </si>
  <si>
    <t>Schwarzwald Pharma GmbH</t>
  </si>
  <si>
    <t>Gesundheitswesen</t>
  </si>
  <si>
    <t>Dr. Miriam Holzer</t>
  </si>
  <si>
    <t>Einkaufsleitung</t>
  </si>
  <si>
    <t>+49 761 7720945</t>
  </si>
  <si>
    <t>m.holzer@schwarzwald-pharma.de</t>
  </si>
  <si>
    <t>Freiburg</t>
  </si>
  <si>
    <t>Compliance-Vorgaben sehr strikt, ISO-Zertifikate angefragt.</t>
  </si>
  <si>
    <t>L-2026013</t>
  </si>
  <si>
    <t>Donau IT-Systems GmbH</t>
  </si>
  <si>
    <t>Stefan Mayrhofer</t>
  </si>
  <si>
    <t>IT-Direktor</t>
  </si>
  <si>
    <t>+49 941 5503168</t>
  </si>
  <si>
    <t>s.mayrhofer@donau-itsys.de</t>
  </si>
  <si>
    <t>Regensburg</t>
  </si>
  <si>
    <t>L-2026014</t>
  </si>
  <si>
    <t>Mosel Verlagsgesellschaft mbH</t>
  </si>
  <si>
    <t>Bildung &amp; Forschung</t>
  </si>
  <si>
    <t>Christine Adler</t>
  </si>
  <si>
    <t>Verlagsleiterin</t>
  </si>
  <si>
    <t>+49 651 9912407</t>
  </si>
  <si>
    <t>c.adler@mosel-verlag.de</t>
  </si>
  <si>
    <t>Trier</t>
  </si>
  <si>
    <t>L-2026015</t>
  </si>
  <si>
    <t>Sturmhof Immobilien AG</t>
  </si>
  <si>
    <t>Immobilienwirtschaft</t>
  </si>
  <si>
    <t>Robert Eichinger</t>
  </si>
  <si>
    <t>Vorstand</t>
  </si>
  <si>
    <t>+49 89 4427819</t>
  </si>
  <si>
    <t>r.eichinger@sturmhof-immo.de</t>
  </si>
  <si>
    <t>Großauftrag möglich, Entscheidung erfolgt Vorstandssitzung 22.06.</t>
  </si>
  <si>
    <t>L-2026016</t>
  </si>
  <si>
    <t>Vogelsang Handel KG</t>
  </si>
  <si>
    <t>Großhandel</t>
  </si>
  <si>
    <t>Birgit Neumann</t>
  </si>
  <si>
    <t>Prokuristin</t>
  </si>
  <si>
    <t>+49 511 8870243</t>
  </si>
  <si>
    <t>b.neumann@vogelsang-handel.de</t>
  </si>
  <si>
    <t>Hannover</t>
  </si>
  <si>
    <t>L-2026017</t>
  </si>
  <si>
    <t>Eisenberger Automotive GmbH</t>
  </si>
  <si>
    <t>Automobilzulieferer</t>
  </si>
  <si>
    <t>Thomas Wegener</t>
  </si>
  <si>
    <t>Leiter Vertrieb</t>
  </si>
  <si>
    <t>+49 821 6630057</t>
  </si>
  <si>
    <t>t.wegener@eisenberger-auto.de</t>
  </si>
  <si>
    <t>Augsburg</t>
  </si>
  <si>
    <t>L-2026018</t>
  </si>
  <si>
    <t>Klarbach Lebensmittel GmbH</t>
  </si>
  <si>
    <t>Lebensmittelindustrie</t>
  </si>
  <si>
    <t>Ines Falkenberg</t>
  </si>
  <si>
    <t>Marketingleiterin</t>
  </si>
  <si>
    <t>+49 341 9925816</t>
  </si>
  <si>
    <t>i.falkenberg@klarbach-food.de</t>
  </si>
  <si>
    <t>Leipzig</t>
  </si>
  <si>
    <t>Verloren</t>
  </si>
  <si>
    <t>L-2026019</t>
  </si>
  <si>
    <t>Greifenstein Beratung mbH</t>
  </si>
  <si>
    <t>Bernhard Köhler</t>
  </si>
  <si>
    <t>Partner</t>
  </si>
  <si>
    <t>+49 211 3309752</t>
  </si>
  <si>
    <t>b.koehler@greifenstein-beratung.de</t>
  </si>
  <si>
    <t>Düsseldorf</t>
  </si>
  <si>
    <t>Aktuell kein Bedarf, erneute Ansprache Q1/2027 vereinbart.</t>
  </si>
  <si>
    <t>L-2026020</t>
  </si>
  <si>
    <t>Silberweg Logistics SE</t>
  </si>
  <si>
    <t>Carolin Hupfeld</t>
  </si>
  <si>
    <t>COO</t>
  </si>
  <si>
    <t>+49 40 7748320</t>
  </si>
  <si>
    <t>c.hupfeld@silberweg-log.de</t>
  </si>
  <si>
    <t>Kein Interesse</t>
  </si>
  <si>
    <t>Interner Wechsel auf Konzern-Rahmenvertrag – kein Bedarf.</t>
  </si>
  <si>
    <t>L-2026021</t>
  </si>
  <si>
    <t>Tannenhof Bauelemente</t>
  </si>
  <si>
    <t>Jürgen Maibach</t>
  </si>
  <si>
    <t>+49 7531 4408165</t>
  </si>
  <si>
    <t>j.maibach@tannenhof-bau.de</t>
  </si>
  <si>
    <t>Konstanz</t>
  </si>
  <si>
    <t>L-2026022</t>
  </si>
  <si>
    <t>Pixelwerk Digital GmbH</t>
  </si>
  <si>
    <t>Mira Karlsruh</t>
  </si>
  <si>
    <t>Account Director</t>
  </si>
  <si>
    <t>+49 30 8841729</t>
  </si>
  <si>
    <t>m.karlsruh@pixelwerk-digital.de</t>
  </si>
  <si>
    <t>Webinar-Teilnehmer, sehr engagiert. Anschluss-Demo gewünscht.</t>
  </si>
  <si>
    <t>L-2026023</t>
  </si>
  <si>
    <t>Rheingold Finanzpartner</t>
  </si>
  <si>
    <t>Klaus Wendelborn</t>
  </si>
  <si>
    <t>Vorstandsvorsitzender</t>
  </si>
  <si>
    <t>+49 6131 7780459</t>
  </si>
  <si>
    <t>k.wendelborn@rheingold-finanz.de</t>
  </si>
  <si>
    <t>Mainz</t>
  </si>
  <si>
    <t>L-2026024</t>
  </si>
  <si>
    <t>Falkenberg Sondermaschinen</t>
  </si>
  <si>
    <t>Daniela Roth</t>
  </si>
  <si>
    <t>Leiterin F&amp;E</t>
  </si>
  <si>
    <t>+49 7141 5520368</t>
  </si>
  <si>
    <t>d.roth@falkenberg-sm.de</t>
  </si>
  <si>
    <t>Ludwigsburg</t>
  </si>
  <si>
    <t>F&amp;E-Projekt mit Budget Q4. Sehr passender Use-Case.</t>
  </si>
  <si>
    <t>L-2026025</t>
  </si>
  <si>
    <t>Klarsicht Optik Handel</t>
  </si>
  <si>
    <t>Stephan Dornbach</t>
  </si>
  <si>
    <t>Einkäufer</t>
  </si>
  <si>
    <t>+49 521 4408172</t>
  </si>
  <si>
    <t>s.dornbach@klarsicht-optik.de</t>
  </si>
  <si>
    <t>Bielefeld</t>
  </si>
  <si>
    <t>ANRUFPROTOKOLL 2026</t>
  </si>
  <si>
    <t>Dokumentation aller Kontaktversuche – Firma und Ansprechpartner werden automatisch aus der Akquise-Liste übernommen</t>
  </si>
  <si>
    <t>Datum</t>
  </si>
  <si>
    <t>Uhrzeit</t>
  </si>
  <si>
    <t>Kanal</t>
  </si>
  <si>
    <t>Erreicht?</t>
  </si>
  <si>
    <t>Gesprächsergebnis</t>
  </si>
  <si>
    <t>Dauer (Min)</t>
  </si>
  <si>
    <t>Gesprächsnotiz</t>
  </si>
  <si>
    <t>Nächster Schritt</t>
  </si>
  <si>
    <t>09:00</t>
  </si>
  <si>
    <t>Ja</t>
  </si>
  <si>
    <t>Informationen versendet</t>
  </si>
  <si>
    <t>Ansprechpartner im Meeting. Mitarbeiterin nahm Notiz auf, Rückruf zugesagt.</t>
  </si>
  <si>
    <t>Demo-Termin vorbereiten</t>
  </si>
  <si>
    <t>10:45</t>
  </si>
  <si>
    <t>DSGVO-Widerspruch</t>
  </si>
  <si>
    <t>Aktuell anderer Anbieter unter Vertrag, Vertragsende erst 2027.</t>
  </si>
  <si>
    <t>Angebot bis Freitag versenden</t>
  </si>
  <si>
    <t>16:00</t>
  </si>
  <si>
    <t>Falsche Durchwahl – richtige Person inzwischen verifiziert.</t>
  </si>
  <si>
    <t>Use-Case-Dokument schicken</t>
  </si>
  <si>
    <t>Referenzkunden zusammenstellen</t>
  </si>
  <si>
    <t>17:15</t>
  </si>
  <si>
    <t>Nein</t>
  </si>
  <si>
    <t>Mailbox / Nicht erreicht</t>
  </si>
  <si>
    <t>Demo-Termin per Videocall für nächste Woche fixiert.</t>
  </si>
  <si>
    <t>Kurz und freundlich abgelehnt, eigene Lösung intern aufgebaut.</t>
  </si>
  <si>
    <t>17:45</t>
  </si>
  <si>
    <t>Detailliertes Bedarfsgespräch geführt. Entscheidung erwartet im Juli/August.</t>
  </si>
  <si>
    <t>Preisliste und AGB versenden</t>
  </si>
  <si>
    <t>16:30</t>
  </si>
  <si>
    <t>Falscher Ansprechpartner</t>
  </si>
  <si>
    <t>Sekretariat verbunden, Entscheider nicht im Büro. Rückruf in 2 Tagen vereinbart.</t>
  </si>
  <si>
    <t>Kontakt im CRM auf 'inaktiv' setzen</t>
  </si>
  <si>
    <t>Persönlichen Folgetermin abstimmen</t>
  </si>
  <si>
    <t>13:30</t>
  </si>
  <si>
    <t>Persönlich getroffen auf Branchen-Messe. Visitenkarte ausgetauscht.</t>
  </si>
  <si>
    <t>15:45</t>
  </si>
  <si>
    <t>12:15</t>
  </si>
  <si>
    <t>Pricing-Frage gestellt, Standard-Angebot per E-Mail verschickt.</t>
  </si>
  <si>
    <t>13:00</t>
  </si>
  <si>
    <t>Rückruf am vereinbarten Tag</t>
  </si>
  <si>
    <t>Anrufbeantworter. Nachricht hinterlassen mit Rückruf-Bitte.</t>
  </si>
  <si>
    <t>10:30</t>
  </si>
  <si>
    <t>Konkretes Pilotprojekt diskutiert, Aufwand und Timeline abgestimmt.</t>
  </si>
  <si>
    <t>Wiedervorlage in 3 Monaten</t>
  </si>
  <si>
    <t>17:00</t>
  </si>
  <si>
    <t>10:15</t>
  </si>
  <si>
    <t>Videocall</t>
  </si>
  <si>
    <t>12:45</t>
  </si>
  <si>
    <t>Direkt durchgestellt, sehr offenes Gespräch. Use-Case passt zu aktuellem Projekt.</t>
  </si>
  <si>
    <t>12:30</t>
  </si>
  <si>
    <t>14:30</t>
  </si>
  <si>
    <t>14:00</t>
  </si>
  <si>
    <t>11:15</t>
  </si>
  <si>
    <t>13:15</t>
  </si>
  <si>
    <t>16:45</t>
  </si>
  <si>
    <t>11:00</t>
  </si>
  <si>
    <t>Internes Briefing mit Vertriebsleitung</t>
  </si>
  <si>
    <t>14:15</t>
  </si>
  <si>
    <t>Bereits versorgt</t>
  </si>
  <si>
    <t>Ansprechpartner hat Unternehmen verlassen. Nachfolge wird recherchiert.</t>
  </si>
  <si>
    <t>13:45</t>
  </si>
  <si>
    <t>Sehr knappes Gespräch, Zeitdruck. Unterlagen per E-Mail nachgereicht.</t>
  </si>
  <si>
    <t>16:15</t>
  </si>
  <si>
    <t>Erstkontakt freundlich, kurze Vorstellung der Lösung. Interesse erkennbar, Detail-Termin geplant.</t>
  </si>
  <si>
    <t>15:30</t>
  </si>
  <si>
    <t>11:45</t>
  </si>
  <si>
    <t>Wiedervorlage gewünscht</t>
  </si>
  <si>
    <t>15:15</t>
  </si>
  <si>
    <t>14:45</t>
  </si>
  <si>
    <t>11:30</t>
  </si>
  <si>
    <t>Ja/Nein</t>
  </si>
  <si>
    <t>Einzelhandel</t>
  </si>
  <si>
    <t>Persönlich</t>
  </si>
  <si>
    <t>Falsche Nummer</t>
  </si>
  <si>
    <t>Kaltliste eingekauft</t>
  </si>
  <si>
    <t>KALTAKQUISE VORLAGE – VERTRIEBS-DASHBOARD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</si>
</sst>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&quot; €&quot;"/>
    <numFmt numFmtId="166" formatCode="0;\-0;&quot;&quot;"/>
    <numFmt numFmtId="167" formatCode="#,##0&quot; €&quot;;;\–"/>
    <numFmt numFmtId="168" formatCode="dd\.mm\.yyyy"/>
    <numFmt numFmtId="169" formatCode="#,##0;[Red]\-#,##0;\–"/>
    <numFmt numFmtId="170" formatCode="#,##0&quot; €&quot;;[Red]\-#,##0&quot; €&quot;;\–"/>
  </numFmts>
  <fonts count="17" x14ac:knownFonts="1">
    <font>
      <sz val="11"/>
      <color theme="1"/>
      <name val="Calibri"/>
      <family val="2"/>
      <charset val="1"/>
    </font>
    <font>
      <b/>
      <sz val="24"/>
      <color rgb="FF1F3A5F"/>
      <name val="Arial"/>
      <charset val="1"/>
    </font>
    <font>
      <i/>
      <sz val="11"/>
      <color rgb="FF595959"/>
      <name val="Arial"/>
      <charset val="1"/>
    </font>
    <font>
      <b/>
      <sz val="9"/>
      <color rgb="FF595959"/>
      <name val="Arial"/>
      <charset val="1"/>
    </font>
    <font>
      <b/>
      <sz val="20"/>
      <color rgb="FF1F3A5F"/>
      <name val="Arial"/>
      <charset val="1"/>
    </font>
    <font>
      <b/>
      <sz val="18"/>
      <color rgb="FF2E5C8A"/>
      <name val="Arial"/>
      <charset val="1"/>
    </font>
    <font>
      <b/>
      <sz val="14"/>
      <color rgb="FF1F3A5F"/>
      <name val="Arial"/>
      <charset val="1"/>
    </font>
    <font>
      <b/>
      <sz val="10"/>
      <color rgb="FFFFFFFF"/>
      <name val="Arial"/>
      <charset val="1"/>
    </font>
    <font>
      <b/>
      <sz val="10"/>
      <color rgb="FF000000"/>
      <name val="Arial"/>
      <charset val="1"/>
    </font>
    <font>
      <sz val="9"/>
      <color rgb="FF595959"/>
      <name val="Arial"/>
      <charset val="1"/>
    </font>
    <font>
      <sz val="10"/>
      <color rgb="FF000000"/>
      <name val="Arial"/>
      <charset val="1"/>
    </font>
    <font>
      <b/>
      <sz val="22"/>
      <color rgb="FFC0504D"/>
      <name val="Arial"/>
      <charset val="1"/>
    </font>
    <font>
      <b/>
      <sz val="22"/>
      <color rgb="FFED7D31"/>
      <name val="Arial"/>
      <charset val="1"/>
    </font>
    <font>
      <b/>
      <sz val="22"/>
      <color rgb="FF70AD47"/>
      <name val="Arial"/>
      <charset val="1"/>
    </font>
    <font>
      <i/>
      <sz val="9"/>
      <color rgb="FF595959"/>
      <name val="Arial"/>
      <charset val="1"/>
    </font>
    <font>
      <b/>
      <sz val="22"/>
      <color rgb="FFFFFFFF"/>
      <name val="Arial"/>
      <charset val="1"/>
    </font>
    <font>
      <i/>
      <sz val="11"/>
      <color rgb="FFFFFFFF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DCE6F1"/>
        <bgColor rgb="FFDDEBF7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1F3A5F"/>
        <bgColor rgb="FF1F4E79"/>
      </patternFill>
    </fill>
    <fill>
      <patternFill patternType="solid">
        <fgColor rgb="FFC0504D"/>
        <bgColor rgb="FF993366"/>
      </patternFill>
    </fill>
    <fill>
      <patternFill patternType="solid">
        <fgColor rgb="FFED7D31"/>
        <bgColor rgb="FFFF8080"/>
      </patternFill>
    </fill>
    <fill>
      <patternFill patternType="solid">
        <fgColor rgb="FF70AD47"/>
        <bgColor rgb="FF339966"/>
      </patternFill>
    </fill>
    <fill>
      <patternFill patternType="solid">
        <fgColor rgb="FF2E5C8A"/>
        <bgColor rgb="FF1F4E79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1F3A5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7" fillId="8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left" vertical="center" indent="1"/>
    </xf>
    <xf numFmtId="0" fontId="7" fillId="5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indent="1"/>
    </xf>
    <xf numFmtId="165" fontId="4" fillId="3" borderId="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7" fillId="5" borderId="4" xfId="0" applyFont="1" applyFill="1" applyBorder="1" applyAlignment="1">
      <alignment horizontal="left" vertical="center" indent="1"/>
    </xf>
    <xf numFmtId="0" fontId="7" fillId="5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indent="1"/>
    </xf>
    <xf numFmtId="3" fontId="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indent="1"/>
    </xf>
    <xf numFmtId="167" fontId="10" fillId="0" borderId="5" xfId="0" applyNumberFormat="1" applyFont="1" applyBorder="1" applyAlignment="1">
      <alignment horizontal="right" vertical="center" indent="1"/>
    </xf>
    <xf numFmtId="0" fontId="10" fillId="4" borderId="5" xfId="0" applyFont="1" applyFill="1" applyBorder="1" applyAlignment="1">
      <alignment horizontal="left" vertical="center" indent="1"/>
    </xf>
    <xf numFmtId="3" fontId="8" fillId="4" borderId="5" xfId="0" applyNumberFormat="1" applyFont="1" applyFill="1" applyBorder="1" applyAlignment="1">
      <alignment horizontal="center" vertical="center"/>
    </xf>
    <xf numFmtId="167" fontId="10" fillId="4" borderId="5" xfId="0" applyNumberFormat="1" applyFont="1" applyFill="1" applyBorder="1" applyAlignment="1">
      <alignment horizontal="right" vertical="center" indent="1"/>
    </xf>
    <xf numFmtId="0" fontId="7" fillId="5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168" fontId="10" fillId="0" borderId="5" xfId="0" applyNumberFormat="1" applyFont="1" applyBorder="1" applyAlignment="1">
      <alignment horizontal="center" vertical="center"/>
    </xf>
    <xf numFmtId="169" fontId="10" fillId="0" borderId="5" xfId="0" applyNumberFormat="1" applyFont="1" applyBorder="1" applyAlignment="1">
      <alignment horizontal="center" vertical="center"/>
    </xf>
    <xf numFmtId="170" fontId="10" fillId="0" borderId="5" xfId="0" applyNumberFormat="1" applyFont="1" applyBorder="1" applyAlignment="1">
      <alignment horizontal="right" vertical="center"/>
    </xf>
    <xf numFmtId="9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/>
    </xf>
    <xf numFmtId="168" fontId="10" fillId="4" borderId="5" xfId="0" applyNumberFormat="1" applyFont="1" applyFill="1" applyBorder="1" applyAlignment="1">
      <alignment horizontal="center" vertical="center"/>
    </xf>
    <xf numFmtId="169" fontId="10" fillId="4" borderId="5" xfId="0" applyNumberFormat="1" applyFont="1" applyFill="1" applyBorder="1" applyAlignment="1">
      <alignment horizontal="center" vertical="center"/>
    </xf>
    <xf numFmtId="170" fontId="10" fillId="4" borderId="5" xfId="0" applyNumberFormat="1" applyFont="1" applyFill="1" applyBorder="1" applyAlignment="1">
      <alignment horizontal="right" vertical="center"/>
    </xf>
    <xf numFmtId="9" fontId="10" fillId="4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8" fillId="2" borderId="0" xfId="0" applyFont="1" applyFill="1"/>
    <xf numFmtId="3" fontId="11" fillId="3" borderId="6" xfId="0" applyNumberFormat="1" applyFont="1" applyFill="1" applyBorder="1" applyAlignment="1">
      <alignment horizontal="center" vertical="center"/>
    </xf>
    <xf numFmtId="3" fontId="12" fillId="3" borderId="6" xfId="0" applyNumberFormat="1" applyFont="1" applyFill="1" applyBorder="1" applyAlignment="1">
      <alignment horizontal="center" vertical="center"/>
    </xf>
    <xf numFmtId="3" fontId="13" fillId="3" borderId="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15" fillId="5" borderId="0" xfId="0" applyFont="1" applyFill="1" applyAlignment="1">
      <alignment horizontal="left" vertical="center" indent="1"/>
    </xf>
    <xf numFmtId="0" fontId="16" fillId="9" borderId="0" xfId="0" applyFont="1" applyFill="1" applyAlignment="1">
      <alignment horizontal="left" vertical="center" indent="1"/>
    </xf>
  </cellXfs>
  <cellStyles count="1">
    <cellStyle name="Standard" xfId="0" builtinId="0"/>
  </cellStyles>
  <dxfs count="19">
    <dxf>
      <font>
        <b/>
        <sz val="10"/>
        <color rgb="FF843C0C"/>
        <name val="Arial"/>
        <charset val="1"/>
      </font>
      <fill>
        <patternFill>
          <bgColor rgb="FFF8CBAD"/>
        </patternFill>
      </fill>
    </dxf>
    <dxf>
      <font>
        <b/>
        <sz val="10"/>
        <color rgb="FF006100"/>
        <name val="Arial"/>
        <charset val="1"/>
      </font>
      <fill>
        <patternFill>
          <bgColor rgb="FFC6EFCE"/>
        </patternFill>
      </fill>
    </dxf>
    <dxf>
      <font>
        <b/>
        <sz val="10"/>
        <color rgb="FF006100"/>
        <name val="Arial"/>
        <charset val="1"/>
      </font>
      <fill>
        <patternFill>
          <bgColor rgb="FFC6EFCE"/>
        </patternFill>
      </fill>
    </dxf>
    <dxf>
      <font>
        <b/>
        <sz val="10"/>
        <color rgb="FF7F6000"/>
        <name val="Arial"/>
        <charset val="1"/>
      </font>
      <fill>
        <patternFill>
          <bgColor rgb="FFFFE699"/>
        </patternFill>
      </fill>
    </dxf>
    <dxf>
      <font>
        <b/>
        <sz val="10"/>
        <color rgb="FF843C0C"/>
        <name val="Arial"/>
        <charset val="1"/>
      </font>
      <fill>
        <patternFill>
          <bgColor rgb="FFF8CBAD"/>
        </patternFill>
      </fill>
    </dxf>
    <dxf>
      <font>
        <b/>
        <sz val="10"/>
        <color rgb="FFFFFFFF"/>
        <name val="Arial"/>
        <charset val="1"/>
      </font>
      <fill>
        <patternFill>
          <bgColor rgb="FFBFBFBF"/>
        </patternFill>
      </fill>
    </dxf>
    <dxf>
      <font>
        <b/>
        <sz val="10"/>
        <color rgb="FFFFFFFF"/>
        <name val="Arial"/>
        <charset val="1"/>
      </font>
      <fill>
        <patternFill>
          <bgColor rgb="FFED7D31"/>
        </patternFill>
      </fill>
    </dxf>
    <dxf>
      <font>
        <b/>
        <sz val="10"/>
        <color rgb="FFFFFFFF"/>
        <name val="Arial"/>
        <charset val="1"/>
      </font>
      <fill>
        <patternFill>
          <bgColor rgb="FFC0504D"/>
        </patternFill>
      </fill>
    </dxf>
    <dxf>
      <font>
        <b/>
        <sz val="10"/>
        <color rgb="FF843C0C"/>
        <name val="Arial"/>
        <charset val="1"/>
      </font>
      <fill>
        <patternFill>
          <bgColor rgb="FFFCE4D6"/>
        </patternFill>
      </fill>
    </dxf>
    <dxf>
      <font>
        <b/>
        <sz val="10"/>
        <color rgb="FF843C0C"/>
        <name val="Arial"/>
        <charset val="1"/>
      </font>
      <fill>
        <patternFill>
          <bgColor rgb="FFF8CBAD"/>
        </patternFill>
      </fill>
    </dxf>
    <dxf>
      <font>
        <b/>
        <sz val="10"/>
        <color rgb="FF000000"/>
        <name val="Arial"/>
        <charset val="1"/>
      </font>
      <fill>
        <patternFill>
          <bgColor rgb="FFFFFFFF"/>
        </patternFill>
      </fill>
    </dxf>
    <dxf>
      <font>
        <b/>
        <sz val="10"/>
        <color rgb="FF595959"/>
        <name val="Arial"/>
        <charset val="1"/>
      </font>
      <fill>
        <patternFill>
          <bgColor rgb="FFF2F2F2"/>
        </patternFill>
      </fill>
    </dxf>
    <dxf>
      <font>
        <b/>
        <sz val="10"/>
        <color rgb="FF595959"/>
        <name val="Arial"/>
        <charset val="1"/>
      </font>
      <fill>
        <patternFill>
          <bgColor rgb="FFF2F2F2"/>
        </patternFill>
      </fill>
    </dxf>
    <dxf>
      <font>
        <b/>
        <sz val="10"/>
        <color rgb="FF375623"/>
        <name val="Arial"/>
        <charset val="1"/>
      </font>
      <fill>
        <patternFill>
          <bgColor rgb="FFE2EFDA"/>
        </patternFill>
      </fill>
    </dxf>
    <dxf>
      <font>
        <b/>
        <sz val="10"/>
        <color rgb="FF1F4E79"/>
        <name val="Arial"/>
        <charset val="1"/>
      </font>
      <fill>
        <patternFill>
          <bgColor rgb="FFDDEBF7"/>
        </patternFill>
      </fill>
    </dxf>
    <dxf>
      <font>
        <b/>
        <sz val="10"/>
        <color rgb="FF1F4E79"/>
        <name val="Arial"/>
        <charset val="1"/>
      </font>
      <fill>
        <patternFill>
          <bgColor rgb="FFBDD7EE"/>
        </patternFill>
      </fill>
    </dxf>
    <dxf>
      <font>
        <b/>
        <sz val="10"/>
        <color rgb="FF7F6000"/>
        <name val="Arial"/>
        <charset val="1"/>
      </font>
      <fill>
        <patternFill>
          <bgColor rgb="FFFFD966"/>
        </patternFill>
      </fill>
    </dxf>
    <dxf>
      <font>
        <b/>
        <sz val="10"/>
        <color rgb="FF7F6000"/>
        <name val="Arial"/>
        <charset val="1"/>
      </font>
      <fill>
        <patternFill>
          <bgColor rgb="FFFFE699"/>
        </patternFill>
      </fill>
    </dxf>
    <dxf>
      <font>
        <b/>
        <sz val="10"/>
        <color rgb="FF006100"/>
        <name val="Arial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7F6000"/>
      <rgbColor rgb="FF800080"/>
      <rgbColor rgb="FF008080"/>
      <rgbColor rgb="FFBFBFBF"/>
      <rgbColor rgb="FF7F7F7F"/>
      <rgbColor rgb="FF9999FF"/>
      <rgbColor rgb="FFC0504D"/>
      <rgbColor rgb="FFF2F2F2"/>
      <rgbColor rgb="FFDDEBF7"/>
      <rgbColor rgb="FF660066"/>
      <rgbColor rgb="FFFF8080"/>
      <rgbColor rgb="FF2E5C8A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C6EFCE"/>
      <rgbColor rgb="FFFFE699"/>
      <rgbColor rgb="FFDCE6F1"/>
      <rgbColor rgb="FFFCE4D6"/>
      <rgbColor rgb="FFCC99FF"/>
      <rgbColor rgb="FFF8CBAD"/>
      <rgbColor rgb="FF3366FF"/>
      <rgbColor rgb="FF33CCCC"/>
      <rgbColor rgb="FF99CC00"/>
      <rgbColor rgb="FFFFD966"/>
      <rgbColor rgb="FFFF9900"/>
      <rgbColor rgb="FFED7D31"/>
      <rgbColor rgb="FF595959"/>
      <rgbColor rgb="FF70AD47"/>
      <rgbColor rgb="FF1F3A5F"/>
      <rgbColor rgb="FF339966"/>
      <rgbColor rgb="FF003300"/>
      <rgbColor rgb="FF333300"/>
      <rgbColor rgb="FF843C0C"/>
      <rgbColor rgb="FF993366"/>
      <rgbColor rgb="FF1F4E7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0"/>
  <sheetViews>
    <sheetView showGridLines="0" tabSelected="1" zoomScale="90" zoomScaleNormal="90" workbookViewId="0">
      <selection activeCell="S13" sqref="S13"/>
    </sheetView>
  </sheetViews>
  <sheetFormatPr baseColWidth="10" defaultColWidth="8.7109375" defaultRowHeight="15" x14ac:dyDescent="0.25"/>
  <cols>
    <col min="1" max="1" width="2" customWidth="1"/>
    <col min="2" max="2" width="24" customWidth="1"/>
    <col min="3" max="3" width="14" customWidth="1"/>
    <col min="4" max="4" width="8" customWidth="1"/>
    <col min="5" max="5" width="24" customWidth="1"/>
    <col min="6" max="6" width="14" customWidth="1"/>
    <col min="7" max="7" width="8.5703125" customWidth="1"/>
    <col min="8" max="8" width="24" customWidth="1"/>
    <col min="9" max="9" width="14" customWidth="1"/>
    <col min="10" max="10" width="16" customWidth="1"/>
    <col min="11" max="11" width="2" customWidth="1"/>
  </cols>
  <sheetData>
    <row r="1" spans="2:10" ht="8.25" customHeight="1" x14ac:dyDescent="0.25"/>
    <row r="2" spans="2:10" ht="30" x14ac:dyDescent="0.25">
      <c r="B2" s="14" t="s">
        <v>354</v>
      </c>
      <c r="C2" s="14"/>
      <c r="D2" s="14"/>
      <c r="E2" s="14"/>
      <c r="F2" s="14"/>
      <c r="G2" s="14"/>
      <c r="H2" s="14"/>
      <c r="I2" s="14"/>
      <c r="J2" s="14"/>
    </row>
    <row r="3" spans="2:10" ht="19.5" customHeight="1" x14ac:dyDescent="0.25">
      <c r="B3" s="13" t="str">
        <f ca="1">"Live-Auswertung aller Akquise-Aktivitäten · Stand: "&amp;TEXT(TODAY(),"DD.MM.AAAA")</f>
        <v>Live-Auswertung aller Akquise-Aktivitäten · Stand: 12.06.2026</v>
      </c>
      <c r="C3" s="13"/>
      <c r="D3" s="13"/>
      <c r="E3" s="13"/>
      <c r="F3" s="13"/>
      <c r="G3" s="13"/>
      <c r="H3" s="13"/>
      <c r="I3" s="13"/>
      <c r="J3" s="13"/>
    </row>
    <row r="5" spans="2:10" ht="21.75" customHeight="1" x14ac:dyDescent="0.25">
      <c r="B5" s="12" t="s">
        <v>0</v>
      </c>
      <c r="C5" s="12"/>
      <c r="E5" s="12" t="s">
        <v>1</v>
      </c>
      <c r="F5" s="12"/>
      <c r="H5" s="12" t="s">
        <v>2</v>
      </c>
      <c r="I5" s="12"/>
    </row>
    <row r="6" spans="2:10" ht="21.75" customHeight="1" x14ac:dyDescent="0.25">
      <c r="B6" s="11">
        <f>COUNTA('Akquise-Liste'!B5:B39)</f>
        <v>25</v>
      </c>
      <c r="C6" s="11"/>
      <c r="E6" s="11">
        <f>COUNTA(Anrufprotokoll!A5:A89)</f>
        <v>70</v>
      </c>
      <c r="F6" s="11"/>
      <c r="H6" s="10">
        <f>IFERROR(COUNTIF(Anrufprotokoll!G5:G89,"Ja")/COUNTA(Anrufprotokoll!G5:G89),0)</f>
        <v>0.74285714285714288</v>
      </c>
      <c r="I6" s="10"/>
    </row>
    <row r="7" spans="2:10" ht="21.75" customHeight="1" x14ac:dyDescent="0.25">
      <c r="B7" s="11"/>
      <c r="C7" s="11"/>
      <c r="E7" s="11"/>
      <c r="F7" s="11"/>
      <c r="H7" s="10"/>
      <c r="I7" s="10"/>
    </row>
    <row r="9" spans="2:10" ht="21.75" customHeight="1" x14ac:dyDescent="0.25">
      <c r="B9" s="12" t="s">
        <v>3</v>
      </c>
      <c r="C9" s="12"/>
      <c r="E9" s="12" t="s">
        <v>4</v>
      </c>
      <c r="F9" s="12"/>
      <c r="H9" s="12" t="s">
        <v>5</v>
      </c>
      <c r="I9" s="12"/>
    </row>
    <row r="10" spans="2:10" ht="21.75" customHeight="1" x14ac:dyDescent="0.25">
      <c r="B10" s="11">
        <f>COUNTIF('Akquise-Liste'!K5:K39,"Termin vereinbart")+COUNTIF('Akquise-Liste'!K5:K39,"Angebot versendet")+COUNTIF('Akquise-Liste'!K5:K39,"Verhandlung")+COUNTIF('Akquise-Liste'!K5:K39,"Gewonnen")</f>
        <v>11</v>
      </c>
      <c r="C10" s="11"/>
      <c r="E10" s="11">
        <f>COUNTIF('Akquise-Liste'!K5:K39,"Gewonnen")</f>
        <v>3</v>
      </c>
      <c r="F10" s="11"/>
      <c r="H10" s="10">
        <f>IFERROR(COUNTIF('Akquise-Liste'!K5:K39,"Gewonnen")/(COUNTIF('Akquise-Liste'!K5:K39,"Gewonnen")+COUNTIF('Akquise-Liste'!K5:K39,"Verloren")),0)</f>
        <v>0.75</v>
      </c>
      <c r="I10" s="10"/>
    </row>
    <row r="11" spans="2:10" ht="21.75" customHeight="1" x14ac:dyDescent="0.25">
      <c r="B11" s="11"/>
      <c r="C11" s="11"/>
      <c r="E11" s="11"/>
      <c r="F11" s="11"/>
      <c r="H11" s="10"/>
      <c r="I11" s="10"/>
    </row>
    <row r="13" spans="2:10" ht="21.75" customHeight="1" x14ac:dyDescent="0.25">
      <c r="B13" s="12" t="s">
        <v>6</v>
      </c>
      <c r="C13" s="12"/>
      <c r="E13" s="12" t="s">
        <v>7</v>
      </c>
      <c r="F13" s="12"/>
      <c r="H13" s="12" t="s">
        <v>8</v>
      </c>
      <c r="I13" s="12"/>
    </row>
    <row r="14" spans="2:10" ht="21.75" customHeight="1" x14ac:dyDescent="0.25">
      <c r="B14" s="9">
        <f>SUMIFS('Akquise-Liste'!R5:R39,'Akquise-Liste'!K5:K39,"&lt;&gt;Gewonnen",'Akquise-Liste'!K5:K39,"&lt;&gt;Verloren",'Akquise-Liste'!K5:K39,"&lt;&gt;Kein Interesse")</f>
        <v>837500</v>
      </c>
      <c r="C14" s="9"/>
      <c r="E14" s="9">
        <f>SUMIFS('Akquise-Liste'!T5:T39,'Akquise-Liste'!K5:K39,"&lt;&gt;Gewonnen",'Akquise-Liste'!K5:K39,"&lt;&gt;Verloren",'Akquise-Liste'!K5:K39,"&lt;&gt;Kein Interesse")</f>
        <v>343025</v>
      </c>
      <c r="F14" s="9"/>
      <c r="H14" s="9">
        <f>SUMIF('Akquise-Liste'!K5:K39,"Gewonnen",'Akquise-Liste'!R5:R39)</f>
        <v>38500</v>
      </c>
      <c r="I14" s="9"/>
    </row>
    <row r="15" spans="2:10" ht="21.75" customHeight="1" x14ac:dyDescent="0.25">
      <c r="B15" s="9"/>
      <c r="C15" s="9"/>
      <c r="E15" s="9"/>
      <c r="F15" s="9"/>
      <c r="H15" s="9"/>
      <c r="I15" s="9"/>
    </row>
    <row r="16" spans="2:10" ht="9.75" customHeight="1" x14ac:dyDescent="0.25"/>
    <row r="17" spans="2:10" ht="9.75" customHeight="1" x14ac:dyDescent="0.25"/>
    <row r="18" spans="2:10" ht="27.75" customHeight="1" x14ac:dyDescent="0.25">
      <c r="B18" s="8" t="s">
        <v>9</v>
      </c>
      <c r="C18" s="8"/>
      <c r="D18" s="8"/>
      <c r="E18" s="8"/>
      <c r="F18" s="8"/>
      <c r="G18" s="8"/>
      <c r="H18" s="8"/>
      <c r="I18" s="8"/>
      <c r="J18" s="8"/>
    </row>
    <row r="20" spans="2:10" ht="25.5" customHeight="1" x14ac:dyDescent="0.25">
      <c r="B20" s="15" t="s">
        <v>10</v>
      </c>
      <c r="C20" s="16" t="s">
        <v>11</v>
      </c>
      <c r="D20" s="7" t="s">
        <v>12</v>
      </c>
      <c r="E20" s="7"/>
      <c r="F20" s="7"/>
      <c r="G20" s="7"/>
      <c r="H20" s="7"/>
      <c r="I20" s="7"/>
      <c r="J20" s="7"/>
    </row>
    <row r="21" spans="2:10" ht="21" customHeight="1" x14ac:dyDescent="0.25">
      <c r="B21" s="17" t="s">
        <v>13</v>
      </c>
      <c r="C21" s="18">
        <f>COUNTIF('Akquise-Liste'!K5:K39,"Neu")+COUNTIF('Akquise-Liste'!K5:K39,"Recherchiert")</f>
        <v>4</v>
      </c>
      <c r="D21" s="6">
        <f>COUNTIF('Akquise-Liste'!K5:K39,"Neu")+COUNTIF('Akquise-Liste'!K5:K39,"Recherchiert")</f>
        <v>4</v>
      </c>
      <c r="E21" s="6"/>
      <c r="F21" s="6"/>
      <c r="G21" s="6"/>
      <c r="H21" s="6"/>
      <c r="I21" s="6"/>
      <c r="J21" s="6"/>
    </row>
    <row r="22" spans="2:10" ht="21" customHeight="1" x14ac:dyDescent="0.25">
      <c r="B22" s="17" t="s">
        <v>14</v>
      </c>
      <c r="C22" s="18">
        <f>COUNTIF('Akquise-Liste'!K5:K39,"Erstkontakt versucht")+COUNTIF('Akquise-Liste'!K5:K39,"Kontakt hergestellt")</f>
        <v>6</v>
      </c>
      <c r="D22" s="6">
        <f>COUNTIF('Akquise-Liste'!K5:K39,"Erstkontakt versucht")+COUNTIF('Akquise-Liste'!K5:K39,"Kontakt hergestellt")</f>
        <v>6</v>
      </c>
      <c r="E22" s="6"/>
      <c r="F22" s="6"/>
      <c r="G22" s="6"/>
      <c r="H22" s="6"/>
      <c r="I22" s="6"/>
      <c r="J22" s="6"/>
    </row>
    <row r="23" spans="2:10" ht="21" customHeight="1" x14ac:dyDescent="0.25">
      <c r="B23" s="17" t="s">
        <v>15</v>
      </c>
      <c r="C23" s="18">
        <f>COUNTIF('Akquise-Liste'!K5:K39,"Bedarf qualifiziert")</f>
        <v>2</v>
      </c>
      <c r="D23" s="6">
        <f>COUNTIF('Akquise-Liste'!K5:K39,"Bedarf qualifiziert")</f>
        <v>2</v>
      </c>
      <c r="E23" s="6"/>
      <c r="F23" s="6"/>
      <c r="G23" s="6"/>
      <c r="H23" s="6"/>
      <c r="I23" s="6"/>
      <c r="J23" s="6"/>
    </row>
    <row r="24" spans="2:10" ht="21" customHeight="1" x14ac:dyDescent="0.25">
      <c r="B24" s="17" t="s">
        <v>16</v>
      </c>
      <c r="C24" s="18">
        <f>COUNTIF('Akquise-Liste'!K5:K39,"Termin vereinbart")</f>
        <v>3</v>
      </c>
      <c r="D24" s="6">
        <f>COUNTIF('Akquise-Liste'!K5:K39,"Termin vereinbart")</f>
        <v>3</v>
      </c>
      <c r="E24" s="6"/>
      <c r="F24" s="6"/>
      <c r="G24" s="6"/>
      <c r="H24" s="6"/>
      <c r="I24" s="6"/>
      <c r="J24" s="6"/>
    </row>
    <row r="25" spans="2:10" ht="21" customHeight="1" x14ac:dyDescent="0.25">
      <c r="B25" s="17" t="s">
        <v>17</v>
      </c>
      <c r="C25" s="18">
        <f>COUNTIF('Akquise-Liste'!K5:K39,"Angebot versendet")</f>
        <v>3</v>
      </c>
      <c r="D25" s="6">
        <f>COUNTIF('Akquise-Liste'!K5:K39,"Angebot versendet")</f>
        <v>3</v>
      </c>
      <c r="E25" s="6"/>
      <c r="F25" s="6"/>
      <c r="G25" s="6"/>
      <c r="H25" s="6"/>
      <c r="I25" s="6"/>
      <c r="J25" s="6"/>
    </row>
    <row r="26" spans="2:10" ht="21" customHeight="1" x14ac:dyDescent="0.25">
      <c r="B26" s="17" t="s">
        <v>18</v>
      </c>
      <c r="C26" s="18">
        <f>COUNTIF('Akquise-Liste'!K5:K39,"Verhandlung")</f>
        <v>2</v>
      </c>
      <c r="D26" s="6">
        <f>COUNTIF('Akquise-Liste'!K5:K39,"Verhandlung")</f>
        <v>2</v>
      </c>
      <c r="E26" s="6"/>
      <c r="F26" s="6"/>
      <c r="G26" s="6"/>
      <c r="H26" s="6"/>
      <c r="I26" s="6"/>
      <c r="J26" s="6"/>
    </row>
    <row r="27" spans="2:10" ht="21" customHeight="1" x14ac:dyDescent="0.25">
      <c r="B27" s="17" t="s">
        <v>19</v>
      </c>
      <c r="C27" s="18">
        <f>COUNTIF('Akquise-Liste'!K5:K39,"Gewonnen")</f>
        <v>3</v>
      </c>
      <c r="D27" s="6">
        <f>COUNTIF('Akquise-Liste'!K5:K39,"Gewonnen")</f>
        <v>3</v>
      </c>
      <c r="E27" s="6"/>
      <c r="F27" s="6"/>
      <c r="G27" s="6"/>
      <c r="H27" s="6"/>
      <c r="I27" s="6"/>
      <c r="J27" s="6"/>
    </row>
    <row r="28" spans="2:10" ht="21" customHeight="1" x14ac:dyDescent="0.25">
      <c r="B28" s="17" t="s">
        <v>20</v>
      </c>
      <c r="C28" s="18">
        <f>COUNTIF('Akquise-Liste'!K5:K39,"Verloren")+COUNTIF('Akquise-Liste'!K5:K39,"Kein Interesse")</f>
        <v>2</v>
      </c>
      <c r="D28" s="6">
        <f>COUNTIF('Akquise-Liste'!K5:K39,"Verloren")+COUNTIF('Akquise-Liste'!K5:K39,"Kein Interesse")</f>
        <v>2</v>
      </c>
      <c r="E28" s="6"/>
      <c r="F28" s="6"/>
      <c r="G28" s="6"/>
      <c r="H28" s="6"/>
      <c r="I28" s="6"/>
      <c r="J28" s="6"/>
    </row>
    <row r="29" spans="2:10" ht="8.25" customHeight="1" x14ac:dyDescent="0.25"/>
    <row r="30" spans="2:10" ht="8.25" customHeight="1" x14ac:dyDescent="0.25"/>
    <row r="31" spans="2:10" ht="27.75" customHeight="1" x14ac:dyDescent="0.25">
      <c r="B31" s="8" t="s">
        <v>21</v>
      </c>
      <c r="C31" s="8"/>
      <c r="D31" s="8"/>
      <c r="E31" s="8"/>
      <c r="G31" s="8" t="s">
        <v>22</v>
      </c>
      <c r="H31" s="8"/>
      <c r="I31" s="8"/>
      <c r="J31" s="8"/>
    </row>
    <row r="33" spans="2:10" ht="25.5" customHeight="1" x14ac:dyDescent="0.25">
      <c r="B33" s="15" t="s">
        <v>23</v>
      </c>
      <c r="C33" s="16" t="s">
        <v>24</v>
      </c>
      <c r="D33" s="7" t="s">
        <v>25</v>
      </c>
      <c r="E33" s="7"/>
      <c r="G33" s="15" t="s">
        <v>26</v>
      </c>
      <c r="H33" s="16" t="s">
        <v>24</v>
      </c>
      <c r="I33" s="16" t="s">
        <v>19</v>
      </c>
      <c r="J33" s="16" t="s">
        <v>27</v>
      </c>
    </row>
    <row r="34" spans="2:10" ht="21.75" customHeight="1" x14ac:dyDescent="0.25">
      <c r="B34" s="19" t="s">
        <v>28</v>
      </c>
      <c r="C34" s="18">
        <f>COUNTIF('Akquise-Liste'!I5:I39,"LinkedIn")</f>
        <v>2</v>
      </c>
      <c r="D34" s="5">
        <f>IFERROR(COUNTIF('Akquise-Liste'!I5:I39,"LinkedIn")/COUNTA('Akquise-Liste'!B5:B39),0)</f>
        <v>0.08</v>
      </c>
      <c r="E34" s="5"/>
      <c r="G34" s="39" t="s">
        <v>29</v>
      </c>
      <c r="H34" s="18">
        <f>COUNTIF('Akquise-Liste'!J5:J39,"Lukas Berger")</f>
        <v>6</v>
      </c>
      <c r="I34" s="18">
        <f>COUNTIFS('Akquise-Liste'!J5:J39,"Lukas Berger",'Akquise-Liste'!K5:K39,"Gewonnen")</f>
        <v>1</v>
      </c>
      <c r="J34" s="20">
        <f>SUMIFS('Akquise-Liste'!T5:T39,'Akquise-Liste'!J5:J39,"Lukas Berger",'Akquise-Liste'!K5:K39,"&lt;&gt;Verloren",'Akquise-Liste'!K5:K39,"&lt;&gt;Kein Interesse")</f>
        <v>123825</v>
      </c>
    </row>
    <row r="35" spans="2:10" ht="21.75" customHeight="1" x14ac:dyDescent="0.25">
      <c r="B35" s="21" t="s">
        <v>30</v>
      </c>
      <c r="C35" s="22">
        <f>COUNTIF('Akquise-Liste'!I5:I39,"XING")</f>
        <v>2</v>
      </c>
      <c r="D35" s="4">
        <f>IFERROR(COUNTIF('Akquise-Liste'!I5:I39,"XING")/COUNTA('Akquise-Liste'!B5:B39),0)</f>
        <v>0.08</v>
      </c>
      <c r="E35" s="4"/>
      <c r="G35" s="40" t="s">
        <v>31</v>
      </c>
      <c r="H35" s="22">
        <f>COUNTIF('Akquise-Liste'!J5:J39,"Sophia Wagner")</f>
        <v>3</v>
      </c>
      <c r="I35" s="22">
        <f>COUNTIFS('Akquise-Liste'!J5:J39,"Sophia Wagner",'Akquise-Liste'!K5:K39,"Gewonnen")</f>
        <v>0</v>
      </c>
      <c r="J35" s="23">
        <f>SUMIFS('Akquise-Liste'!T5:T39,'Akquise-Liste'!J5:J39,"Sophia Wagner",'Akquise-Liste'!K5:K39,"&lt;&gt;Verloren",'Akquise-Liste'!K5:K39,"&lt;&gt;Kein Interesse")</f>
        <v>54900</v>
      </c>
    </row>
    <row r="36" spans="2:10" ht="21.75" customHeight="1" x14ac:dyDescent="0.25">
      <c r="B36" s="19" t="s">
        <v>32</v>
      </c>
      <c r="C36" s="18">
        <f>COUNTIF('Akquise-Liste'!I5:I39,"Messe / Event")</f>
        <v>0</v>
      </c>
      <c r="D36" s="5">
        <f>IFERROR(COUNTIF('Akquise-Liste'!I5:I39,"Messe / Event")/COUNTA('Akquise-Liste'!B5:B39),0)</f>
        <v>0</v>
      </c>
      <c r="E36" s="5"/>
      <c r="G36" s="39" t="s">
        <v>33</v>
      </c>
      <c r="H36" s="18">
        <f>COUNTIF('Akquise-Liste'!J5:J39,"Maximilian Schulz")</f>
        <v>5</v>
      </c>
      <c r="I36" s="18">
        <f>COUNTIFS('Akquise-Liste'!J5:J39,"Maximilian Schulz",'Akquise-Liste'!K5:K39,"Gewonnen")</f>
        <v>0</v>
      </c>
      <c r="J36" s="20">
        <f>SUMIFS('Akquise-Liste'!T5:T39,'Akquise-Liste'!J5:J39,"Maximilian Schulz",'Akquise-Liste'!K5:K39,"&lt;&gt;Verloren",'Akquise-Liste'!K5:K39,"&lt;&gt;Kein Interesse")</f>
        <v>16200</v>
      </c>
    </row>
    <row r="37" spans="2:10" ht="21.75" customHeight="1" x14ac:dyDescent="0.25">
      <c r="B37" s="21" t="s">
        <v>34</v>
      </c>
      <c r="C37" s="22">
        <f>COUNTIF('Akquise-Liste'!I5:I39,"Empfehlung")</f>
        <v>4</v>
      </c>
      <c r="D37" s="4">
        <f>IFERROR(COUNTIF('Akquise-Liste'!I5:I39,"Empfehlung")/COUNTA('Akquise-Liste'!B5:B39),0)</f>
        <v>0.16</v>
      </c>
      <c r="E37" s="4"/>
      <c r="G37" s="40" t="s">
        <v>35</v>
      </c>
      <c r="H37" s="22">
        <f>COUNTIF('Akquise-Liste'!J5:J39,"Anna Hoffmann")</f>
        <v>1</v>
      </c>
      <c r="I37" s="22">
        <f>COUNTIFS('Akquise-Liste'!J5:J39,"Anna Hoffmann",'Akquise-Liste'!K5:K39,"Gewonnen")</f>
        <v>0</v>
      </c>
      <c r="J37" s="23">
        <f>SUMIFS('Akquise-Liste'!T5:T39,'Akquise-Liste'!J5:J39,"Anna Hoffmann",'Akquise-Liste'!K5:K39,"&lt;&gt;Verloren",'Akquise-Liste'!K5:K39,"&lt;&gt;Kein Interesse")</f>
        <v>12750</v>
      </c>
    </row>
    <row r="38" spans="2:10" ht="21.75" customHeight="1" x14ac:dyDescent="0.25">
      <c r="B38" s="19" t="s">
        <v>36</v>
      </c>
      <c r="C38" s="18">
        <f>COUNTIF('Akquise-Liste'!I5:I39,"Webrecherche")</f>
        <v>6</v>
      </c>
      <c r="D38" s="5">
        <f>IFERROR(COUNTIF('Akquise-Liste'!I5:I39,"Webrecherche")/COUNTA('Akquise-Liste'!B5:B39),0)</f>
        <v>0.24</v>
      </c>
      <c r="E38" s="5"/>
      <c r="G38" s="39" t="s">
        <v>37</v>
      </c>
      <c r="H38" s="18">
        <f>COUNTIF('Akquise-Liste'!J5:J39,"Tobias Krüger")</f>
        <v>10</v>
      </c>
      <c r="I38" s="18">
        <f>COUNTIFS('Akquise-Liste'!J5:J39,"Tobias Krüger",'Akquise-Liste'!K5:K39,"Gewonnen")</f>
        <v>2</v>
      </c>
      <c r="J38" s="20">
        <f>SUMIFS('Akquise-Liste'!T5:T39,'Akquise-Liste'!J5:J39,"Tobias Krüger",'Akquise-Liste'!K5:K39,"&lt;&gt;Verloren",'Akquise-Liste'!K5:K39,"&lt;&gt;Kein Interesse")</f>
        <v>173850</v>
      </c>
    </row>
    <row r="39" spans="2:10" ht="21.75" customHeight="1" x14ac:dyDescent="0.25">
      <c r="B39" s="21" t="s">
        <v>38</v>
      </c>
      <c r="C39" s="22">
        <f>COUNTIF('Akquise-Liste'!I5:I39,"Branchenverzeichnis")</f>
        <v>6</v>
      </c>
      <c r="D39" s="4">
        <f>IFERROR(COUNTIF('Akquise-Liste'!I5:I39,"Branchenverzeichnis")/COUNTA('Akquise-Liste'!B5:B39),0)</f>
        <v>0.24</v>
      </c>
      <c r="E39" s="4"/>
    </row>
    <row r="40" spans="2:10" ht="21.75" customHeight="1" x14ac:dyDescent="0.25">
      <c r="B40" s="19" t="s">
        <v>39</v>
      </c>
      <c r="C40" s="18">
        <f>COUNTIF('Akquise-Liste'!I5:I39,"Newsletter-Abonnent")</f>
        <v>2</v>
      </c>
      <c r="D40" s="5">
        <f>IFERROR(COUNTIF('Akquise-Liste'!I5:I39,"Newsletter-Abonnent")/COUNTA('Akquise-Liste'!B5:B39),0)</f>
        <v>0.08</v>
      </c>
      <c r="E40" s="5"/>
    </row>
    <row r="41" spans="2:10" ht="21.75" customHeight="1" x14ac:dyDescent="0.25">
      <c r="B41" s="21" t="s">
        <v>40</v>
      </c>
      <c r="C41" s="22">
        <f>COUNTIF('Akquise-Liste'!I5:I39,"Webinar-Teilnehmer")</f>
        <v>1</v>
      </c>
      <c r="D41" s="4">
        <f>IFERROR(COUNTIF('Akquise-Liste'!I5:I39,"Webinar-Teilnehmer")/COUNTA('Akquise-Liste'!B5:B39),0)</f>
        <v>0.04</v>
      </c>
      <c r="E41" s="4"/>
    </row>
    <row r="42" spans="2:10" ht="21.75" customHeight="1" x14ac:dyDescent="0.25">
      <c r="B42" s="19" t="s">
        <v>41</v>
      </c>
      <c r="C42" s="18">
        <f>COUNTIF('Akquise-Liste'!I5:I39,"Eigene Recherche")</f>
        <v>2</v>
      </c>
      <c r="D42" s="5">
        <f>IFERROR(COUNTIF('Akquise-Liste'!I5:I39,"Eigene Recherche")/COUNTA('Akquise-Liste'!B5:B39),0)</f>
        <v>0.08</v>
      </c>
      <c r="E42" s="5"/>
    </row>
    <row r="45" spans="2:10" ht="27.75" customHeight="1" x14ac:dyDescent="0.25">
      <c r="B45" s="8" t="s">
        <v>42</v>
      </c>
      <c r="C45" s="8"/>
      <c r="D45" s="8"/>
      <c r="E45" s="8"/>
      <c r="F45" s="8"/>
      <c r="G45" s="8"/>
      <c r="H45" s="8"/>
      <c r="I45" s="8"/>
      <c r="J45" s="8"/>
    </row>
    <row r="47" spans="2:10" ht="24" customHeight="1" x14ac:dyDescent="0.25">
      <c r="B47" s="3" t="s">
        <v>43</v>
      </c>
      <c r="C47" s="3"/>
      <c r="E47" s="2" t="s">
        <v>44</v>
      </c>
      <c r="F47" s="2"/>
      <c r="H47" s="1" t="s">
        <v>45</v>
      </c>
      <c r="I47" s="1"/>
    </row>
    <row r="48" spans="2:10" ht="37.5" customHeight="1" x14ac:dyDescent="0.25">
      <c r="B48" s="42">
        <f ca="1">SUMPRODUCT(('Akquise-Liste'!Q5:Q39&lt;0)*('Akquise-Liste'!Q5:Q39&lt;&gt;""))</f>
        <v>2</v>
      </c>
      <c r="C48" s="42"/>
      <c r="E48" s="43">
        <f ca="1">SUMPRODUCT(('Akquise-Liste'!Q5:Q39&gt;=0)*('Akquise-Liste'!Q5:Q39&lt;=7))</f>
        <v>5</v>
      </c>
      <c r="F48" s="43"/>
      <c r="H48" s="44">
        <f ca="1">SUMPRODUCT(('Akquise-Liste'!Q5:Q39&gt;7)*('Akquise-Liste'!Q5:Q39&lt;&gt;""))</f>
        <v>13</v>
      </c>
      <c r="I48" s="44"/>
    </row>
    <row r="50" spans="2:10" ht="30" customHeight="1" x14ac:dyDescent="0.25">
      <c r="B50" s="45" t="s">
        <v>46</v>
      </c>
      <c r="C50" s="45"/>
      <c r="D50" s="45"/>
      <c r="E50" s="45"/>
      <c r="F50" s="45"/>
      <c r="G50" s="45"/>
      <c r="H50" s="45"/>
      <c r="I50" s="45"/>
      <c r="J50" s="45"/>
    </row>
  </sheetData>
  <mergeCells count="50">
    <mergeCell ref="B50:J50"/>
    <mergeCell ref="B45:J45"/>
    <mergeCell ref="B47:C47"/>
    <mergeCell ref="E47:F47"/>
    <mergeCell ref="H47:I47"/>
    <mergeCell ref="B48:C48"/>
    <mergeCell ref="E48:F48"/>
    <mergeCell ref="H48:I48"/>
    <mergeCell ref="D38:E38"/>
    <mergeCell ref="D39:E39"/>
    <mergeCell ref="D40:E40"/>
    <mergeCell ref="D41:E41"/>
    <mergeCell ref="D42:E42"/>
    <mergeCell ref="D33:E33"/>
    <mergeCell ref="D34:E34"/>
    <mergeCell ref="D35:E35"/>
    <mergeCell ref="D36:E36"/>
    <mergeCell ref="D37:E37"/>
    <mergeCell ref="D26:J26"/>
    <mergeCell ref="D27:J27"/>
    <mergeCell ref="D28:J28"/>
    <mergeCell ref="B31:E31"/>
    <mergeCell ref="G31:J31"/>
    <mergeCell ref="D21:J21"/>
    <mergeCell ref="D22:J22"/>
    <mergeCell ref="D23:J23"/>
    <mergeCell ref="D24:J24"/>
    <mergeCell ref="D25:J25"/>
    <mergeCell ref="B14:C15"/>
    <mergeCell ref="E14:F15"/>
    <mergeCell ref="H14:I15"/>
    <mergeCell ref="B18:J18"/>
    <mergeCell ref="D20:J20"/>
    <mergeCell ref="B10:C11"/>
    <mergeCell ref="E10:F11"/>
    <mergeCell ref="H10:I11"/>
    <mergeCell ref="B13:C13"/>
    <mergeCell ref="E13:F13"/>
    <mergeCell ref="H13:I13"/>
    <mergeCell ref="B6:C7"/>
    <mergeCell ref="E6:F7"/>
    <mergeCell ref="H6:I7"/>
    <mergeCell ref="B9:C9"/>
    <mergeCell ref="E9:F9"/>
    <mergeCell ref="H9:I9"/>
    <mergeCell ref="B2:J2"/>
    <mergeCell ref="B3:J3"/>
    <mergeCell ref="B5:C5"/>
    <mergeCell ref="E5:F5"/>
    <mergeCell ref="H5:I5"/>
  </mergeCells>
  <conditionalFormatting sqref="D21:D28">
    <cfRule type="dataBar" priority="2">
      <dataBar>
        <cfvo type="num" val="0"/>
        <cfvo type="max"/>
        <color rgb="FF2E5C8A"/>
      </dataBar>
      <extLst>
        <ext xmlns:x14="http://schemas.microsoft.com/office/spreadsheetml/2009/9/main" uri="{B025F937-C7B1-47D3-B67F-A62EFF666E3E}">
          <x14:id>{E359647C-D080-428B-A8EF-53CAAB40193C}</x14:id>
        </ext>
      </extLst>
    </cfRule>
  </conditionalFormatting>
  <conditionalFormatting sqref="D34:D42">
    <cfRule type="dataBar" priority="3">
      <dataBar showValue="0">
        <cfvo type="num" val="0"/>
        <cfvo type="num" val="1"/>
        <color rgb="FFC9A961"/>
      </dataBar>
      <extLst>
        <ext xmlns:x14="http://schemas.microsoft.com/office/spreadsheetml/2009/9/main" uri="{B025F937-C7B1-47D3-B67F-A62EFF666E3E}">
          <x14:id>{613E85E0-5CF4-40F7-AFF7-B9BAFF169FB0}</x14:id>
        </ext>
      </extLst>
    </cfRule>
  </conditionalFormatting>
  <conditionalFormatting sqref="J34:J38">
    <cfRule type="dataBar" priority="4">
      <dataBar>
        <cfvo type="num" val="0"/>
        <cfvo type="max"/>
        <color rgb="FF70AD47"/>
      </dataBar>
      <extLst>
        <ext xmlns:x14="http://schemas.microsoft.com/office/spreadsheetml/2009/9/main" uri="{B025F937-C7B1-47D3-B67F-A62EFF666E3E}">
          <x14:id>{CA866CB1-84A7-4F12-9E62-6DC516E99BE6}</x14:id>
        </ext>
      </extLst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59647C-D080-428B-A8EF-53CAAB40193C}">
            <x14:dataBar axisPosition="none">
              <x14:cfvo type="num">
                <xm:f>0</xm:f>
              </x14:cfvo>
              <x14:cfvo type="max"/>
              <x14:negativeFillColor rgb="FF2E5C8A"/>
            </x14:dataBar>
          </x14:cfRule>
          <xm:sqref>D21:D28</xm:sqref>
        </x14:conditionalFormatting>
        <x14:conditionalFormatting xmlns:xm="http://schemas.microsoft.com/office/excel/2006/main">
          <x14:cfRule type="dataBar" id="{613E85E0-5CF4-40F7-AFF7-B9BAFF169FB0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C9A961"/>
            </x14:dataBar>
          </x14:cfRule>
          <xm:sqref>D34:D42</xm:sqref>
        </x14:conditionalFormatting>
        <x14:conditionalFormatting xmlns:xm="http://schemas.microsoft.com/office/excel/2006/main">
          <x14:cfRule type="dataBar" id="{CA866CB1-84A7-4F12-9E62-6DC516E99BE6}">
            <x14:dataBar axisPosition="none">
              <x14:cfvo type="num">
                <xm:f>0</xm:f>
              </x14:cfvo>
              <x14:cfvo type="max"/>
              <x14:negativeFillColor rgb="FF70AD47"/>
            </x14:dataBar>
          </x14:cfRule>
          <xm:sqref>J34:J38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9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9" customWidth="1"/>
    <col min="2" max="2" width="28" customWidth="1"/>
    <col min="3" max="5" width="22" customWidth="1"/>
    <col min="6" max="6" width="18" customWidth="1"/>
    <col min="7" max="7" width="30" customWidth="1"/>
    <col min="8" max="8" width="16" customWidth="1"/>
    <col min="9" max="9" width="18" customWidth="1"/>
    <col min="10" max="10" width="19" customWidth="1"/>
    <col min="11" max="11" width="21" customWidth="1"/>
    <col min="12" max="13" width="13" customWidth="1"/>
    <col min="14" max="14" width="14" customWidth="1"/>
    <col min="15" max="16" width="13" customWidth="1"/>
    <col min="17" max="17" width="12" customWidth="1"/>
    <col min="18" max="18" width="16" customWidth="1"/>
    <col min="19" max="19" width="13" customWidth="1"/>
    <col min="20" max="20" width="18" customWidth="1"/>
    <col min="21" max="21" width="40" customWidth="1"/>
  </cols>
  <sheetData>
    <row r="1" spans="1:21" ht="37.5" customHeight="1" x14ac:dyDescent="0.25">
      <c r="A1" s="46" t="s">
        <v>47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19.5" customHeight="1" x14ac:dyDescent="0.25">
      <c r="A2" s="47" t="s">
        <v>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4" spans="1:21" ht="31.5" customHeight="1" x14ac:dyDescent="0.25">
      <c r="A4" s="24" t="s">
        <v>49</v>
      </c>
      <c r="B4" s="24" t="s">
        <v>50</v>
      </c>
      <c r="C4" s="24" t="s">
        <v>51</v>
      </c>
      <c r="D4" s="24" t="s">
        <v>52</v>
      </c>
      <c r="E4" s="24" t="s">
        <v>53</v>
      </c>
      <c r="F4" s="24" t="s">
        <v>54</v>
      </c>
      <c r="G4" s="24" t="s">
        <v>55</v>
      </c>
      <c r="H4" s="24" t="s">
        <v>56</v>
      </c>
      <c r="I4" s="24" t="s">
        <v>23</v>
      </c>
      <c r="J4" s="24" t="s">
        <v>57</v>
      </c>
      <c r="K4" s="24" t="s">
        <v>58</v>
      </c>
      <c r="L4" s="24" t="s">
        <v>59</v>
      </c>
      <c r="M4" s="24" t="s">
        <v>60</v>
      </c>
      <c r="N4" s="24" t="s">
        <v>61</v>
      </c>
      <c r="O4" s="24" t="s">
        <v>62</v>
      </c>
      <c r="P4" s="24" t="s">
        <v>63</v>
      </c>
      <c r="Q4" s="24" t="s">
        <v>64</v>
      </c>
      <c r="R4" s="24" t="s">
        <v>65</v>
      </c>
      <c r="S4" s="24" t="s">
        <v>66</v>
      </c>
      <c r="T4" s="24" t="s">
        <v>67</v>
      </c>
      <c r="U4" s="24" t="s">
        <v>68</v>
      </c>
    </row>
    <row r="5" spans="1:21" ht="25.5" customHeight="1" x14ac:dyDescent="0.25">
      <c r="A5" s="25" t="s">
        <v>69</v>
      </c>
      <c r="B5" s="26" t="s">
        <v>70</v>
      </c>
      <c r="C5" s="26" t="s">
        <v>71</v>
      </c>
      <c r="D5" s="26" t="s">
        <v>72</v>
      </c>
      <c r="E5" s="26" t="s">
        <v>73</v>
      </c>
      <c r="F5" s="26" t="s">
        <v>74</v>
      </c>
      <c r="G5" s="26" t="s">
        <v>75</v>
      </c>
      <c r="H5" s="26" t="s">
        <v>76</v>
      </c>
      <c r="I5" s="26" t="s">
        <v>28</v>
      </c>
      <c r="J5" s="26" t="s">
        <v>31</v>
      </c>
      <c r="K5" s="25" t="s">
        <v>77</v>
      </c>
      <c r="L5" s="25" t="s">
        <v>78</v>
      </c>
      <c r="M5" s="27">
        <v>46072</v>
      </c>
      <c r="N5" s="27">
        <v>46115</v>
      </c>
      <c r="O5" s="25">
        <f>COUNTIF(Anrufprotokoll!$C:$C,A5)</f>
        <v>1</v>
      </c>
      <c r="P5" s="27">
        <v>46195</v>
      </c>
      <c r="Q5" s="28">
        <f t="shared" ref="Q5:Q39" ca="1" si="0">IF(P5="","",P5-TODAY())</f>
        <v>10</v>
      </c>
      <c r="R5" s="29">
        <v>12000</v>
      </c>
      <c r="S5" s="30">
        <v>0.15</v>
      </c>
      <c r="T5" s="29">
        <f t="shared" ref="T5:T29" si="1">R5*S5</f>
        <v>1800</v>
      </c>
      <c r="U5" s="31" t="s">
        <v>79</v>
      </c>
    </row>
    <row r="6" spans="1:21" ht="25.5" customHeight="1" x14ac:dyDescent="0.25">
      <c r="A6" s="32" t="s">
        <v>80</v>
      </c>
      <c r="B6" s="33" t="s">
        <v>81</v>
      </c>
      <c r="C6" s="33" t="s">
        <v>82</v>
      </c>
      <c r="D6" s="33" t="s">
        <v>83</v>
      </c>
      <c r="E6" s="33" t="s">
        <v>84</v>
      </c>
      <c r="F6" s="33" t="s">
        <v>85</v>
      </c>
      <c r="G6" s="33" t="s">
        <v>86</v>
      </c>
      <c r="H6" s="33" t="s">
        <v>87</v>
      </c>
      <c r="I6" s="33" t="s">
        <v>38</v>
      </c>
      <c r="J6" s="33" t="s">
        <v>29</v>
      </c>
      <c r="K6" s="32" t="s">
        <v>15</v>
      </c>
      <c r="L6" s="32" t="s">
        <v>88</v>
      </c>
      <c r="M6" s="34">
        <v>46157</v>
      </c>
      <c r="N6" s="34">
        <v>46169</v>
      </c>
      <c r="O6" s="32">
        <f>COUNTIF(Anrufprotokoll!$C:$C,A6)</f>
        <v>3</v>
      </c>
      <c r="P6" s="34">
        <v>46184</v>
      </c>
      <c r="Q6" s="35">
        <f t="shared" ca="1" si="0"/>
        <v>-1</v>
      </c>
      <c r="R6" s="36">
        <v>22000</v>
      </c>
      <c r="S6" s="37">
        <v>0.4</v>
      </c>
      <c r="T6" s="36">
        <f t="shared" si="1"/>
        <v>8800</v>
      </c>
      <c r="U6" s="38" t="s">
        <v>89</v>
      </c>
    </row>
    <row r="7" spans="1:21" ht="25.5" customHeight="1" x14ac:dyDescent="0.25">
      <c r="A7" s="25" t="s">
        <v>90</v>
      </c>
      <c r="B7" s="26" t="s">
        <v>91</v>
      </c>
      <c r="C7" s="26" t="s">
        <v>92</v>
      </c>
      <c r="D7" s="26" t="s">
        <v>93</v>
      </c>
      <c r="E7" s="26" t="s">
        <v>94</v>
      </c>
      <c r="F7" s="26" t="s">
        <v>95</v>
      </c>
      <c r="G7" s="26" t="s">
        <v>96</v>
      </c>
      <c r="H7" s="26" t="s">
        <v>97</v>
      </c>
      <c r="I7" s="26" t="s">
        <v>36</v>
      </c>
      <c r="J7" s="26" t="s">
        <v>29</v>
      </c>
      <c r="K7" s="25" t="s">
        <v>16</v>
      </c>
      <c r="L7" s="25" t="s">
        <v>98</v>
      </c>
      <c r="M7" s="27">
        <v>46063</v>
      </c>
      <c r="N7" s="27">
        <v>46131</v>
      </c>
      <c r="O7" s="25">
        <f>COUNTIF(Anrufprotokoll!$C:$C,A7)</f>
        <v>4</v>
      </c>
      <c r="P7" s="27">
        <v>46185</v>
      </c>
      <c r="Q7" s="28">
        <f t="shared" ca="1" si="0"/>
        <v>0</v>
      </c>
      <c r="R7" s="29">
        <v>28000</v>
      </c>
      <c r="S7" s="30">
        <v>0.55000000000000004</v>
      </c>
      <c r="T7" s="29">
        <f t="shared" si="1"/>
        <v>15400.000000000002</v>
      </c>
      <c r="U7" s="31" t="s">
        <v>99</v>
      </c>
    </row>
    <row r="8" spans="1:21" ht="25.5" customHeight="1" x14ac:dyDescent="0.25">
      <c r="A8" s="32" t="s">
        <v>100</v>
      </c>
      <c r="B8" s="33" t="s">
        <v>101</v>
      </c>
      <c r="C8" s="33" t="s">
        <v>102</v>
      </c>
      <c r="D8" s="33" t="s">
        <v>103</v>
      </c>
      <c r="E8" s="33" t="s">
        <v>104</v>
      </c>
      <c r="F8" s="33" t="s">
        <v>105</v>
      </c>
      <c r="G8" s="33" t="s">
        <v>106</v>
      </c>
      <c r="H8" s="33" t="s">
        <v>107</v>
      </c>
      <c r="I8" s="33" t="s">
        <v>36</v>
      </c>
      <c r="J8" s="33" t="s">
        <v>37</v>
      </c>
      <c r="K8" s="32" t="s">
        <v>108</v>
      </c>
      <c r="L8" s="32" t="s">
        <v>88</v>
      </c>
      <c r="M8" s="34">
        <v>46088</v>
      </c>
      <c r="N8" s="34">
        <v>46161</v>
      </c>
      <c r="O8" s="32">
        <f>COUNTIF(Anrufprotokoll!$C:$C,A8)</f>
        <v>0</v>
      </c>
      <c r="P8" s="34">
        <v>46190</v>
      </c>
      <c r="Q8" s="35">
        <f t="shared" ca="1" si="0"/>
        <v>5</v>
      </c>
      <c r="R8" s="36">
        <v>95000</v>
      </c>
      <c r="S8" s="37">
        <v>0.1</v>
      </c>
      <c r="T8" s="36">
        <f t="shared" si="1"/>
        <v>9500</v>
      </c>
      <c r="U8" s="38" t="s">
        <v>109</v>
      </c>
    </row>
    <row r="9" spans="1:21" ht="25.5" customHeight="1" x14ac:dyDescent="0.25">
      <c r="A9" s="25" t="s">
        <v>110</v>
      </c>
      <c r="B9" s="26" t="s">
        <v>111</v>
      </c>
      <c r="C9" s="26" t="s">
        <v>71</v>
      </c>
      <c r="D9" s="26" t="s">
        <v>112</v>
      </c>
      <c r="E9" s="26" t="s">
        <v>113</v>
      </c>
      <c r="F9" s="26" t="s">
        <v>114</v>
      </c>
      <c r="G9" s="26" t="s">
        <v>115</v>
      </c>
      <c r="H9" s="26" t="s">
        <v>116</v>
      </c>
      <c r="I9" s="26" t="s">
        <v>34</v>
      </c>
      <c r="J9" s="26" t="s">
        <v>33</v>
      </c>
      <c r="K9" s="25" t="s">
        <v>77</v>
      </c>
      <c r="L9" s="25" t="s">
        <v>88</v>
      </c>
      <c r="M9" s="27">
        <v>46160</v>
      </c>
      <c r="N9" s="27">
        <v>46167</v>
      </c>
      <c r="O9" s="25">
        <f>COUNTIF(Anrufprotokoll!$C:$C,A9)</f>
        <v>1</v>
      </c>
      <c r="P9" s="27">
        <v>46184</v>
      </c>
      <c r="Q9" s="28">
        <f t="shared" ca="1" si="0"/>
        <v>-1</v>
      </c>
      <c r="R9" s="29">
        <v>28000</v>
      </c>
      <c r="S9" s="30">
        <v>0.15</v>
      </c>
      <c r="T9" s="29">
        <f t="shared" si="1"/>
        <v>4200</v>
      </c>
      <c r="U9" s="31"/>
    </row>
    <row r="10" spans="1:21" ht="25.5" customHeight="1" x14ac:dyDescent="0.25">
      <c r="A10" s="32" t="s">
        <v>117</v>
      </c>
      <c r="B10" s="33" t="s">
        <v>118</v>
      </c>
      <c r="C10" s="33" t="s">
        <v>71</v>
      </c>
      <c r="D10" s="33" t="s">
        <v>119</v>
      </c>
      <c r="E10" s="33" t="s">
        <v>120</v>
      </c>
      <c r="F10" s="33" t="s">
        <v>121</v>
      </c>
      <c r="G10" s="33" t="s">
        <v>122</v>
      </c>
      <c r="H10" s="33" t="s">
        <v>123</v>
      </c>
      <c r="I10" s="33" t="s">
        <v>38</v>
      </c>
      <c r="J10" s="33" t="s">
        <v>31</v>
      </c>
      <c r="K10" s="32" t="s">
        <v>17</v>
      </c>
      <c r="L10" s="32" t="s">
        <v>88</v>
      </c>
      <c r="M10" s="34">
        <v>46086</v>
      </c>
      <c r="N10" s="34">
        <v>46131</v>
      </c>
      <c r="O10" s="32">
        <f>COUNTIF(Anrufprotokoll!$C:$C,A10)</f>
        <v>4</v>
      </c>
      <c r="P10" s="34">
        <v>46191</v>
      </c>
      <c r="Q10" s="35">
        <f t="shared" ca="1" si="0"/>
        <v>6</v>
      </c>
      <c r="R10" s="36">
        <v>75000</v>
      </c>
      <c r="S10" s="37">
        <v>0.7</v>
      </c>
      <c r="T10" s="36">
        <f t="shared" si="1"/>
        <v>52500</v>
      </c>
      <c r="U10" s="38" t="s">
        <v>124</v>
      </c>
    </row>
    <row r="11" spans="1:21" ht="25.5" customHeight="1" x14ac:dyDescent="0.25">
      <c r="A11" s="25" t="s">
        <v>125</v>
      </c>
      <c r="B11" s="26" t="s">
        <v>126</v>
      </c>
      <c r="C11" s="26" t="s">
        <v>127</v>
      </c>
      <c r="D11" s="26" t="s">
        <v>128</v>
      </c>
      <c r="E11" s="26" t="s">
        <v>129</v>
      </c>
      <c r="F11" s="26" t="s">
        <v>130</v>
      </c>
      <c r="G11" s="26" t="s">
        <v>131</v>
      </c>
      <c r="H11" s="26" t="s">
        <v>132</v>
      </c>
      <c r="I11" s="26" t="s">
        <v>30</v>
      </c>
      <c r="J11" s="26" t="s">
        <v>37</v>
      </c>
      <c r="K11" s="25" t="s">
        <v>17</v>
      </c>
      <c r="L11" s="25" t="s">
        <v>88</v>
      </c>
      <c r="M11" s="27">
        <v>46137</v>
      </c>
      <c r="N11" s="27">
        <v>46171</v>
      </c>
      <c r="O11" s="25">
        <f>COUNTIF(Anrufprotokoll!$C:$C,A11)</f>
        <v>5</v>
      </c>
      <c r="P11" s="27">
        <v>46193</v>
      </c>
      <c r="Q11" s="28">
        <f t="shared" ca="1" si="0"/>
        <v>8</v>
      </c>
      <c r="R11" s="29">
        <v>12000</v>
      </c>
      <c r="S11" s="30">
        <v>0.7</v>
      </c>
      <c r="T11" s="29">
        <f t="shared" si="1"/>
        <v>8400</v>
      </c>
      <c r="U11" s="31"/>
    </row>
    <row r="12" spans="1:21" ht="25.5" customHeight="1" x14ac:dyDescent="0.25">
      <c r="A12" s="32" t="s">
        <v>133</v>
      </c>
      <c r="B12" s="33" t="s">
        <v>134</v>
      </c>
      <c r="C12" s="33" t="s">
        <v>135</v>
      </c>
      <c r="D12" s="33" t="s">
        <v>136</v>
      </c>
      <c r="E12" s="33" t="s">
        <v>137</v>
      </c>
      <c r="F12" s="33" t="s">
        <v>138</v>
      </c>
      <c r="G12" s="33" t="s">
        <v>139</v>
      </c>
      <c r="H12" s="33" t="s">
        <v>140</v>
      </c>
      <c r="I12" s="33" t="s">
        <v>36</v>
      </c>
      <c r="J12" s="33" t="s">
        <v>37</v>
      </c>
      <c r="K12" s="32" t="s">
        <v>16</v>
      </c>
      <c r="L12" s="32" t="s">
        <v>78</v>
      </c>
      <c r="M12" s="34">
        <v>46124</v>
      </c>
      <c r="N12" s="34">
        <v>46167</v>
      </c>
      <c r="O12" s="32">
        <f>COUNTIF(Anrufprotokoll!$C:$C,A12)</f>
        <v>4</v>
      </c>
      <c r="P12" s="34">
        <v>46198</v>
      </c>
      <c r="Q12" s="35">
        <f t="shared" ca="1" si="0"/>
        <v>13</v>
      </c>
      <c r="R12" s="36">
        <v>120000</v>
      </c>
      <c r="S12" s="37">
        <v>0.55000000000000004</v>
      </c>
      <c r="T12" s="36">
        <f t="shared" si="1"/>
        <v>66000</v>
      </c>
      <c r="U12" s="38"/>
    </row>
    <row r="13" spans="1:21" ht="25.5" customHeight="1" x14ac:dyDescent="0.25">
      <c r="A13" s="25" t="s">
        <v>141</v>
      </c>
      <c r="B13" s="26" t="s">
        <v>142</v>
      </c>
      <c r="C13" s="26" t="s">
        <v>102</v>
      </c>
      <c r="D13" s="26" t="s">
        <v>143</v>
      </c>
      <c r="E13" s="26" t="s">
        <v>144</v>
      </c>
      <c r="F13" s="26" t="s">
        <v>145</v>
      </c>
      <c r="G13" s="26" t="s">
        <v>146</v>
      </c>
      <c r="H13" s="26" t="s">
        <v>147</v>
      </c>
      <c r="I13" s="26" t="s">
        <v>34</v>
      </c>
      <c r="J13" s="26" t="s">
        <v>29</v>
      </c>
      <c r="K13" s="25" t="s">
        <v>148</v>
      </c>
      <c r="L13" s="25" t="s">
        <v>78</v>
      </c>
      <c r="M13" s="27">
        <v>46100</v>
      </c>
      <c r="N13" s="27">
        <v>46151</v>
      </c>
      <c r="O13" s="25">
        <f>COUNTIF(Anrufprotokoll!$C:$C,A13)</f>
        <v>1</v>
      </c>
      <c r="P13" s="27">
        <v>46195</v>
      </c>
      <c r="Q13" s="28">
        <f t="shared" ca="1" si="0"/>
        <v>10</v>
      </c>
      <c r="R13" s="29">
        <v>8500</v>
      </c>
      <c r="S13" s="30">
        <v>0.25</v>
      </c>
      <c r="T13" s="29">
        <f t="shared" si="1"/>
        <v>2125</v>
      </c>
      <c r="U13" s="31" t="s">
        <v>149</v>
      </c>
    </row>
    <row r="14" spans="1:21" ht="25.5" customHeight="1" x14ac:dyDescent="0.25">
      <c r="A14" s="32" t="s">
        <v>150</v>
      </c>
      <c r="B14" s="33" t="s">
        <v>151</v>
      </c>
      <c r="C14" s="33" t="s">
        <v>152</v>
      </c>
      <c r="D14" s="33" t="s">
        <v>153</v>
      </c>
      <c r="E14" s="33" t="s">
        <v>154</v>
      </c>
      <c r="F14" s="33" t="s">
        <v>155</v>
      </c>
      <c r="G14" s="33" t="s">
        <v>156</v>
      </c>
      <c r="H14" s="33" t="s">
        <v>157</v>
      </c>
      <c r="I14" s="33" t="s">
        <v>38</v>
      </c>
      <c r="J14" s="33" t="s">
        <v>31</v>
      </c>
      <c r="K14" s="32" t="s">
        <v>158</v>
      </c>
      <c r="L14" s="32" t="s">
        <v>88</v>
      </c>
      <c r="M14" s="34">
        <v>46053</v>
      </c>
      <c r="N14" s="34">
        <v>46154</v>
      </c>
      <c r="O14" s="32">
        <f>COUNTIF(Anrufprotokoll!$C:$C,A14)</f>
        <v>0</v>
      </c>
      <c r="P14" s="34">
        <v>46207</v>
      </c>
      <c r="Q14" s="35">
        <f t="shared" ca="1" si="0"/>
        <v>22</v>
      </c>
      <c r="R14" s="36">
        <v>12000</v>
      </c>
      <c r="S14" s="37">
        <v>0.05</v>
      </c>
      <c r="T14" s="36">
        <f t="shared" si="1"/>
        <v>600</v>
      </c>
      <c r="U14" s="38" t="s">
        <v>159</v>
      </c>
    </row>
    <row r="15" spans="1:21" ht="25.5" customHeight="1" x14ac:dyDescent="0.25">
      <c r="A15" s="25" t="s">
        <v>160</v>
      </c>
      <c r="B15" s="26" t="s">
        <v>161</v>
      </c>
      <c r="C15" s="26" t="s">
        <v>162</v>
      </c>
      <c r="D15" s="26" t="s">
        <v>163</v>
      </c>
      <c r="E15" s="26" t="s">
        <v>164</v>
      </c>
      <c r="F15" s="26" t="s">
        <v>165</v>
      </c>
      <c r="G15" s="26" t="s">
        <v>166</v>
      </c>
      <c r="H15" s="26" t="s">
        <v>116</v>
      </c>
      <c r="I15" s="26" t="s">
        <v>34</v>
      </c>
      <c r="J15" s="26" t="s">
        <v>37</v>
      </c>
      <c r="K15" s="25" t="s">
        <v>15</v>
      </c>
      <c r="L15" s="25" t="s">
        <v>88</v>
      </c>
      <c r="M15" s="27">
        <v>46043</v>
      </c>
      <c r="N15" s="27">
        <v>46110</v>
      </c>
      <c r="O15" s="25">
        <f>COUNTIF(Anrufprotokoll!$C:$C,A15)</f>
        <v>3</v>
      </c>
      <c r="P15" s="27">
        <v>46215</v>
      </c>
      <c r="Q15" s="28">
        <f t="shared" ca="1" si="0"/>
        <v>30</v>
      </c>
      <c r="R15" s="29">
        <v>28000</v>
      </c>
      <c r="S15" s="30">
        <v>0.4</v>
      </c>
      <c r="T15" s="29">
        <f t="shared" si="1"/>
        <v>11200</v>
      </c>
      <c r="U15" s="31" t="s">
        <v>167</v>
      </c>
    </row>
    <row r="16" spans="1:21" ht="25.5" customHeight="1" x14ac:dyDescent="0.25">
      <c r="A16" s="32" t="s">
        <v>168</v>
      </c>
      <c r="B16" s="33" t="s">
        <v>169</v>
      </c>
      <c r="C16" s="33" t="s">
        <v>170</v>
      </c>
      <c r="D16" s="33" t="s">
        <v>171</v>
      </c>
      <c r="E16" s="33" t="s">
        <v>172</v>
      </c>
      <c r="F16" s="33" t="s">
        <v>173</v>
      </c>
      <c r="G16" s="33" t="s">
        <v>174</v>
      </c>
      <c r="H16" s="33" t="s">
        <v>175</v>
      </c>
      <c r="I16" s="33" t="s">
        <v>39</v>
      </c>
      <c r="J16" s="33" t="s">
        <v>33</v>
      </c>
      <c r="K16" s="32" t="s">
        <v>77</v>
      </c>
      <c r="L16" s="32" t="s">
        <v>98</v>
      </c>
      <c r="M16" s="34">
        <v>46124</v>
      </c>
      <c r="N16" s="34">
        <v>46132</v>
      </c>
      <c r="O16" s="32">
        <f>COUNTIF(Anrufprotokoll!$C:$C,A16)</f>
        <v>2</v>
      </c>
      <c r="P16" s="34">
        <v>46210</v>
      </c>
      <c r="Q16" s="35">
        <f t="shared" ca="1" si="0"/>
        <v>25</v>
      </c>
      <c r="R16" s="36">
        <v>35000</v>
      </c>
      <c r="S16" s="37">
        <v>0.15</v>
      </c>
      <c r="T16" s="36">
        <f t="shared" si="1"/>
        <v>5250</v>
      </c>
      <c r="U16" s="38" t="s">
        <v>176</v>
      </c>
    </row>
    <row r="17" spans="1:21" ht="25.5" customHeight="1" x14ac:dyDescent="0.25">
      <c r="A17" s="25" t="s">
        <v>177</v>
      </c>
      <c r="B17" s="26" t="s">
        <v>178</v>
      </c>
      <c r="C17" s="26" t="s">
        <v>102</v>
      </c>
      <c r="D17" s="26" t="s">
        <v>179</v>
      </c>
      <c r="E17" s="26" t="s">
        <v>180</v>
      </c>
      <c r="F17" s="26" t="s">
        <v>181</v>
      </c>
      <c r="G17" s="26" t="s">
        <v>182</v>
      </c>
      <c r="H17" s="26" t="s">
        <v>183</v>
      </c>
      <c r="I17" s="26" t="s">
        <v>28</v>
      </c>
      <c r="J17" s="26" t="s">
        <v>29</v>
      </c>
      <c r="K17" s="25" t="s">
        <v>19</v>
      </c>
      <c r="L17" s="25" t="s">
        <v>88</v>
      </c>
      <c r="M17" s="27">
        <v>46141</v>
      </c>
      <c r="N17" s="27">
        <v>46181</v>
      </c>
      <c r="O17" s="25">
        <f>COUNTIF(Anrufprotokoll!$C:$C,A17)</f>
        <v>7</v>
      </c>
      <c r="P17" s="27"/>
      <c r="Q17" s="28" t="str">
        <f t="shared" ca="1" si="0"/>
        <v/>
      </c>
      <c r="R17" s="29">
        <v>12000</v>
      </c>
      <c r="S17" s="30">
        <v>1</v>
      </c>
      <c r="T17" s="29">
        <f t="shared" si="1"/>
        <v>12000</v>
      </c>
      <c r="U17" s="31"/>
    </row>
    <row r="18" spans="1:21" ht="25.5" customHeight="1" x14ac:dyDescent="0.25">
      <c r="A18" s="32" t="s">
        <v>184</v>
      </c>
      <c r="B18" s="33" t="s">
        <v>185</v>
      </c>
      <c r="C18" s="33" t="s">
        <v>186</v>
      </c>
      <c r="D18" s="33" t="s">
        <v>187</v>
      </c>
      <c r="E18" s="33" t="s">
        <v>188</v>
      </c>
      <c r="F18" s="33" t="s">
        <v>189</v>
      </c>
      <c r="G18" s="33" t="s">
        <v>190</v>
      </c>
      <c r="H18" s="33" t="s">
        <v>191</v>
      </c>
      <c r="I18" s="33" t="s">
        <v>39</v>
      </c>
      <c r="J18" s="33" t="s">
        <v>37</v>
      </c>
      <c r="K18" s="32" t="s">
        <v>148</v>
      </c>
      <c r="L18" s="32" t="s">
        <v>78</v>
      </c>
      <c r="M18" s="34">
        <v>46164</v>
      </c>
      <c r="N18" s="34">
        <v>46176</v>
      </c>
      <c r="O18" s="32">
        <f>COUNTIF(Anrufprotokoll!$C:$C,A18)</f>
        <v>2</v>
      </c>
      <c r="P18" s="34">
        <v>46202</v>
      </c>
      <c r="Q18" s="35">
        <f t="shared" ca="1" si="0"/>
        <v>17</v>
      </c>
      <c r="R18" s="36">
        <v>60000</v>
      </c>
      <c r="S18" s="37">
        <v>0.25</v>
      </c>
      <c r="T18" s="36">
        <f t="shared" si="1"/>
        <v>15000</v>
      </c>
      <c r="U18" s="38"/>
    </row>
    <row r="19" spans="1:21" ht="25.5" customHeight="1" x14ac:dyDescent="0.25">
      <c r="A19" s="25" t="s">
        <v>192</v>
      </c>
      <c r="B19" s="26" t="s">
        <v>193</v>
      </c>
      <c r="C19" s="26" t="s">
        <v>194</v>
      </c>
      <c r="D19" s="26" t="s">
        <v>195</v>
      </c>
      <c r="E19" s="26" t="s">
        <v>196</v>
      </c>
      <c r="F19" s="26" t="s">
        <v>197</v>
      </c>
      <c r="G19" s="26" t="s">
        <v>198</v>
      </c>
      <c r="H19" s="26" t="s">
        <v>87</v>
      </c>
      <c r="I19" s="26" t="s">
        <v>41</v>
      </c>
      <c r="J19" s="26" t="s">
        <v>33</v>
      </c>
      <c r="K19" s="25" t="s">
        <v>158</v>
      </c>
      <c r="L19" s="25" t="s">
        <v>98</v>
      </c>
      <c r="M19" s="27">
        <v>46039</v>
      </c>
      <c r="N19" s="27">
        <v>46041</v>
      </c>
      <c r="O19" s="25">
        <f>COUNTIF(Anrufprotokoll!$C:$C,A19)</f>
        <v>0</v>
      </c>
      <c r="P19" s="27">
        <v>46185</v>
      </c>
      <c r="Q19" s="28">
        <f t="shared" ca="1" si="0"/>
        <v>0</v>
      </c>
      <c r="R19" s="29">
        <v>75000</v>
      </c>
      <c r="S19" s="30">
        <v>0.05</v>
      </c>
      <c r="T19" s="29">
        <f t="shared" si="1"/>
        <v>3750</v>
      </c>
      <c r="U19" s="31" t="s">
        <v>199</v>
      </c>
    </row>
    <row r="20" spans="1:21" ht="25.5" customHeight="1" x14ac:dyDescent="0.25">
      <c r="A20" s="32" t="s">
        <v>200</v>
      </c>
      <c r="B20" s="33" t="s">
        <v>201</v>
      </c>
      <c r="C20" s="33" t="s">
        <v>202</v>
      </c>
      <c r="D20" s="33" t="s">
        <v>203</v>
      </c>
      <c r="E20" s="33" t="s">
        <v>204</v>
      </c>
      <c r="F20" s="33" t="s">
        <v>205</v>
      </c>
      <c r="G20" s="33" t="s">
        <v>206</v>
      </c>
      <c r="H20" s="33" t="s">
        <v>207</v>
      </c>
      <c r="I20" s="33" t="s">
        <v>36</v>
      </c>
      <c r="J20" s="33" t="s">
        <v>33</v>
      </c>
      <c r="K20" s="32" t="s">
        <v>148</v>
      </c>
      <c r="L20" s="32" t="s">
        <v>98</v>
      </c>
      <c r="M20" s="34">
        <v>46152</v>
      </c>
      <c r="N20" s="34">
        <v>46170</v>
      </c>
      <c r="O20" s="32">
        <f>COUNTIF(Anrufprotokoll!$C:$C,A20)</f>
        <v>3</v>
      </c>
      <c r="P20" s="34">
        <v>46205</v>
      </c>
      <c r="Q20" s="35">
        <f t="shared" ca="1" si="0"/>
        <v>20</v>
      </c>
      <c r="R20" s="36">
        <v>12000</v>
      </c>
      <c r="S20" s="37">
        <v>0.25</v>
      </c>
      <c r="T20" s="36">
        <f t="shared" si="1"/>
        <v>3000</v>
      </c>
      <c r="U20" s="38"/>
    </row>
    <row r="21" spans="1:21" ht="25.5" customHeight="1" x14ac:dyDescent="0.25">
      <c r="A21" s="25" t="s">
        <v>208</v>
      </c>
      <c r="B21" s="26" t="s">
        <v>209</v>
      </c>
      <c r="C21" s="26" t="s">
        <v>210</v>
      </c>
      <c r="D21" s="26" t="s">
        <v>211</v>
      </c>
      <c r="E21" s="26" t="s">
        <v>212</v>
      </c>
      <c r="F21" s="26" t="s">
        <v>213</v>
      </c>
      <c r="G21" s="26" t="s">
        <v>214</v>
      </c>
      <c r="H21" s="26" t="s">
        <v>215</v>
      </c>
      <c r="I21" s="26" t="s">
        <v>36</v>
      </c>
      <c r="J21" s="26" t="s">
        <v>37</v>
      </c>
      <c r="K21" s="25" t="s">
        <v>19</v>
      </c>
      <c r="L21" s="25" t="s">
        <v>78</v>
      </c>
      <c r="M21" s="27">
        <v>46135</v>
      </c>
      <c r="N21" s="27">
        <v>46167</v>
      </c>
      <c r="O21" s="25">
        <f>COUNTIF(Anrufprotokoll!$C:$C,A21)</f>
        <v>4</v>
      </c>
      <c r="P21" s="27"/>
      <c r="Q21" s="28" t="str">
        <f t="shared" ca="1" si="0"/>
        <v/>
      </c>
      <c r="R21" s="29">
        <v>8500</v>
      </c>
      <c r="S21" s="30">
        <v>1</v>
      </c>
      <c r="T21" s="29">
        <f t="shared" si="1"/>
        <v>8500</v>
      </c>
      <c r="U21" s="31"/>
    </row>
    <row r="22" spans="1:21" ht="25.5" customHeight="1" x14ac:dyDescent="0.25">
      <c r="A22" s="32" t="s">
        <v>216</v>
      </c>
      <c r="B22" s="33" t="s">
        <v>217</v>
      </c>
      <c r="C22" s="33" t="s">
        <v>218</v>
      </c>
      <c r="D22" s="33" t="s">
        <v>219</v>
      </c>
      <c r="E22" s="33" t="s">
        <v>220</v>
      </c>
      <c r="F22" s="33" t="s">
        <v>221</v>
      </c>
      <c r="G22" s="33" t="s">
        <v>222</v>
      </c>
      <c r="H22" s="33" t="s">
        <v>223</v>
      </c>
      <c r="I22" s="33" t="s">
        <v>36</v>
      </c>
      <c r="J22" s="33" t="s">
        <v>37</v>
      </c>
      <c r="K22" s="32" t="s">
        <v>224</v>
      </c>
      <c r="L22" s="32" t="s">
        <v>98</v>
      </c>
      <c r="M22" s="34">
        <v>46130</v>
      </c>
      <c r="N22" s="34">
        <v>46139</v>
      </c>
      <c r="O22" s="32">
        <f>COUNTIF(Anrufprotokoll!$C:$C,A22)</f>
        <v>4</v>
      </c>
      <c r="P22" s="34"/>
      <c r="Q22" s="35" t="str">
        <f t="shared" ca="1" si="0"/>
        <v/>
      </c>
      <c r="R22" s="36">
        <v>22000</v>
      </c>
      <c r="S22" s="37">
        <v>0</v>
      </c>
      <c r="T22" s="36">
        <f t="shared" si="1"/>
        <v>0</v>
      </c>
      <c r="U22" s="38"/>
    </row>
    <row r="23" spans="1:21" ht="25.5" customHeight="1" x14ac:dyDescent="0.25">
      <c r="A23" s="25" t="s">
        <v>225</v>
      </c>
      <c r="B23" s="26" t="s">
        <v>226</v>
      </c>
      <c r="C23" s="26" t="s">
        <v>92</v>
      </c>
      <c r="D23" s="26" t="s">
        <v>227</v>
      </c>
      <c r="E23" s="26" t="s">
        <v>228</v>
      </c>
      <c r="F23" s="26" t="s">
        <v>229</v>
      </c>
      <c r="G23" s="26" t="s">
        <v>230</v>
      </c>
      <c r="H23" s="26" t="s">
        <v>231</v>
      </c>
      <c r="I23" s="26" t="s">
        <v>41</v>
      </c>
      <c r="J23" s="26" t="s">
        <v>37</v>
      </c>
      <c r="K23" s="25" t="s">
        <v>18</v>
      </c>
      <c r="L23" s="25" t="s">
        <v>78</v>
      </c>
      <c r="M23" s="27">
        <v>46180</v>
      </c>
      <c r="N23" s="27">
        <v>46182</v>
      </c>
      <c r="O23" s="25">
        <f>COUNTIF(Anrufprotokoll!$C:$C,A23)</f>
        <v>4</v>
      </c>
      <c r="P23" s="27">
        <v>46209</v>
      </c>
      <c r="Q23" s="28">
        <f t="shared" ca="1" si="0"/>
        <v>24</v>
      </c>
      <c r="R23" s="29">
        <v>5000</v>
      </c>
      <c r="S23" s="30">
        <v>0.85</v>
      </c>
      <c r="T23" s="29">
        <f t="shared" si="1"/>
        <v>4250</v>
      </c>
      <c r="U23" s="31" t="s">
        <v>232</v>
      </c>
    </row>
    <row r="24" spans="1:21" ht="25.5" customHeight="1" x14ac:dyDescent="0.25">
      <c r="A24" s="32" t="s">
        <v>233</v>
      </c>
      <c r="B24" s="33" t="s">
        <v>234</v>
      </c>
      <c r="C24" s="33" t="s">
        <v>82</v>
      </c>
      <c r="D24" s="33" t="s">
        <v>235</v>
      </c>
      <c r="E24" s="33" t="s">
        <v>236</v>
      </c>
      <c r="F24" s="33" t="s">
        <v>237</v>
      </c>
      <c r="G24" s="33" t="s">
        <v>238</v>
      </c>
      <c r="H24" s="33" t="s">
        <v>76</v>
      </c>
      <c r="I24" s="33" t="s">
        <v>38</v>
      </c>
      <c r="J24" s="33" t="s">
        <v>33</v>
      </c>
      <c r="K24" s="32" t="s">
        <v>239</v>
      </c>
      <c r="L24" s="32" t="s">
        <v>88</v>
      </c>
      <c r="M24" s="34">
        <v>46119</v>
      </c>
      <c r="N24" s="34">
        <v>46126</v>
      </c>
      <c r="O24" s="32">
        <f>COUNTIF(Anrufprotokoll!$C:$C,A24)</f>
        <v>1</v>
      </c>
      <c r="P24" s="34"/>
      <c r="Q24" s="35" t="str">
        <f t="shared" ca="1" si="0"/>
        <v/>
      </c>
      <c r="R24" s="36">
        <v>15000</v>
      </c>
      <c r="S24" s="37">
        <v>0</v>
      </c>
      <c r="T24" s="36">
        <f t="shared" si="1"/>
        <v>0</v>
      </c>
      <c r="U24" s="38" t="s">
        <v>240</v>
      </c>
    </row>
    <row r="25" spans="1:21" ht="25.5" customHeight="1" x14ac:dyDescent="0.25">
      <c r="A25" s="25" t="s">
        <v>241</v>
      </c>
      <c r="B25" s="26" t="s">
        <v>242</v>
      </c>
      <c r="C25" s="26" t="s">
        <v>127</v>
      </c>
      <c r="D25" s="26" t="s">
        <v>243</v>
      </c>
      <c r="E25" s="26" t="s">
        <v>73</v>
      </c>
      <c r="F25" s="26" t="s">
        <v>244</v>
      </c>
      <c r="G25" s="26" t="s">
        <v>245</v>
      </c>
      <c r="H25" s="26" t="s">
        <v>246</v>
      </c>
      <c r="I25" s="26" t="s">
        <v>30</v>
      </c>
      <c r="J25" s="26" t="s">
        <v>29</v>
      </c>
      <c r="K25" s="25" t="s">
        <v>17</v>
      </c>
      <c r="L25" s="25" t="s">
        <v>98</v>
      </c>
      <c r="M25" s="27">
        <v>46056</v>
      </c>
      <c r="N25" s="27">
        <v>46073</v>
      </c>
      <c r="O25" s="25">
        <f>COUNTIF(Anrufprotokoll!$C:$C,A25)</f>
        <v>5</v>
      </c>
      <c r="P25" s="27">
        <v>46212</v>
      </c>
      <c r="Q25" s="28">
        <f t="shared" ca="1" si="0"/>
        <v>27</v>
      </c>
      <c r="R25" s="29">
        <v>120000</v>
      </c>
      <c r="S25" s="30">
        <v>0.7</v>
      </c>
      <c r="T25" s="29">
        <f t="shared" si="1"/>
        <v>84000</v>
      </c>
      <c r="U25" s="31"/>
    </row>
    <row r="26" spans="1:21" ht="25.5" customHeight="1" x14ac:dyDescent="0.25">
      <c r="A26" s="32" t="s">
        <v>247</v>
      </c>
      <c r="B26" s="33" t="s">
        <v>248</v>
      </c>
      <c r="C26" s="33" t="s">
        <v>152</v>
      </c>
      <c r="D26" s="33" t="s">
        <v>249</v>
      </c>
      <c r="E26" s="33" t="s">
        <v>250</v>
      </c>
      <c r="F26" s="33" t="s">
        <v>251</v>
      </c>
      <c r="G26" s="33" t="s">
        <v>252</v>
      </c>
      <c r="H26" s="33" t="s">
        <v>97</v>
      </c>
      <c r="I26" s="33" t="s">
        <v>40</v>
      </c>
      <c r="J26" s="33" t="s">
        <v>37</v>
      </c>
      <c r="K26" s="32" t="s">
        <v>16</v>
      </c>
      <c r="L26" s="32" t="s">
        <v>88</v>
      </c>
      <c r="M26" s="34">
        <v>46138</v>
      </c>
      <c r="N26" s="34">
        <v>46154</v>
      </c>
      <c r="O26" s="32">
        <f>COUNTIF(Anrufprotokoll!$C:$C,A26)</f>
        <v>2</v>
      </c>
      <c r="P26" s="34">
        <v>46211</v>
      </c>
      <c r="Q26" s="35">
        <f t="shared" ca="1" si="0"/>
        <v>26</v>
      </c>
      <c r="R26" s="36">
        <v>60000</v>
      </c>
      <c r="S26" s="37">
        <v>0.55000000000000004</v>
      </c>
      <c r="T26" s="36">
        <f t="shared" si="1"/>
        <v>33000</v>
      </c>
      <c r="U26" s="38" t="s">
        <v>253</v>
      </c>
    </row>
    <row r="27" spans="1:21" ht="25.5" customHeight="1" x14ac:dyDescent="0.25">
      <c r="A27" s="25" t="s">
        <v>254</v>
      </c>
      <c r="B27" s="26" t="s">
        <v>255</v>
      </c>
      <c r="C27" s="26" t="s">
        <v>162</v>
      </c>
      <c r="D27" s="26" t="s">
        <v>256</v>
      </c>
      <c r="E27" s="26" t="s">
        <v>257</v>
      </c>
      <c r="F27" s="26" t="s">
        <v>258</v>
      </c>
      <c r="G27" s="26" t="s">
        <v>259</v>
      </c>
      <c r="H27" s="26" t="s">
        <v>260</v>
      </c>
      <c r="I27" s="26" t="s">
        <v>34</v>
      </c>
      <c r="J27" s="26" t="s">
        <v>37</v>
      </c>
      <c r="K27" s="25" t="s">
        <v>19</v>
      </c>
      <c r="L27" s="25" t="s">
        <v>78</v>
      </c>
      <c r="M27" s="27">
        <v>46129</v>
      </c>
      <c r="N27" s="27">
        <v>46174</v>
      </c>
      <c r="O27" s="25">
        <f>COUNTIF(Anrufprotokoll!$C:$C,A27)</f>
        <v>7</v>
      </c>
      <c r="P27" s="27"/>
      <c r="Q27" s="28" t="str">
        <f t="shared" ca="1" si="0"/>
        <v/>
      </c>
      <c r="R27" s="29">
        <v>18000</v>
      </c>
      <c r="S27" s="30">
        <v>1</v>
      </c>
      <c r="T27" s="29">
        <f t="shared" si="1"/>
        <v>18000</v>
      </c>
      <c r="U27" s="31"/>
    </row>
    <row r="28" spans="1:21" ht="25.5" customHeight="1" x14ac:dyDescent="0.25">
      <c r="A28" s="32" t="s">
        <v>261</v>
      </c>
      <c r="B28" s="33" t="s">
        <v>262</v>
      </c>
      <c r="C28" s="33" t="s">
        <v>71</v>
      </c>
      <c r="D28" s="33" t="s">
        <v>263</v>
      </c>
      <c r="E28" s="33" t="s">
        <v>264</v>
      </c>
      <c r="F28" s="33" t="s">
        <v>265</v>
      </c>
      <c r="G28" s="33" t="s">
        <v>266</v>
      </c>
      <c r="H28" s="33" t="s">
        <v>267</v>
      </c>
      <c r="I28" s="33" t="s">
        <v>38</v>
      </c>
      <c r="J28" s="33" t="s">
        <v>35</v>
      </c>
      <c r="K28" s="32" t="s">
        <v>18</v>
      </c>
      <c r="L28" s="32" t="s">
        <v>78</v>
      </c>
      <c r="M28" s="34">
        <v>46048</v>
      </c>
      <c r="N28" s="34">
        <v>46163</v>
      </c>
      <c r="O28" s="32">
        <f>COUNTIF(Anrufprotokoll!$C:$C,A28)</f>
        <v>3</v>
      </c>
      <c r="P28" s="34">
        <v>46185</v>
      </c>
      <c r="Q28" s="35">
        <f t="shared" ca="1" si="0"/>
        <v>0</v>
      </c>
      <c r="R28" s="36">
        <v>15000</v>
      </c>
      <c r="S28" s="37">
        <v>0.85</v>
      </c>
      <c r="T28" s="36">
        <f t="shared" si="1"/>
        <v>12750</v>
      </c>
      <c r="U28" s="38" t="s">
        <v>268</v>
      </c>
    </row>
    <row r="29" spans="1:21" ht="25.5" customHeight="1" x14ac:dyDescent="0.25">
      <c r="A29" s="25" t="s">
        <v>269</v>
      </c>
      <c r="B29" s="26" t="s">
        <v>270</v>
      </c>
      <c r="C29" s="26" t="s">
        <v>202</v>
      </c>
      <c r="D29" s="26" t="s">
        <v>271</v>
      </c>
      <c r="E29" s="26" t="s">
        <v>272</v>
      </c>
      <c r="F29" s="26" t="s">
        <v>273</v>
      </c>
      <c r="G29" s="26" t="s">
        <v>274</v>
      </c>
      <c r="H29" s="26" t="s">
        <v>275</v>
      </c>
      <c r="I29" s="26" t="s">
        <v>38</v>
      </c>
      <c r="J29" s="26" t="s">
        <v>29</v>
      </c>
      <c r="K29" s="25" t="s">
        <v>108</v>
      </c>
      <c r="L29" s="25" t="s">
        <v>88</v>
      </c>
      <c r="M29" s="27">
        <v>46039</v>
      </c>
      <c r="N29" s="27">
        <v>46097</v>
      </c>
      <c r="O29" s="25">
        <f>COUNTIF(Anrufprotokoll!$C:$C,A29)</f>
        <v>0</v>
      </c>
      <c r="P29" s="27">
        <v>46215</v>
      </c>
      <c r="Q29" s="28">
        <f t="shared" ca="1" si="0"/>
        <v>30</v>
      </c>
      <c r="R29" s="29">
        <v>15000</v>
      </c>
      <c r="S29" s="30">
        <v>0.1</v>
      </c>
      <c r="T29" s="29">
        <f t="shared" si="1"/>
        <v>1500</v>
      </c>
      <c r="U29" s="31"/>
    </row>
    <row r="30" spans="1:21" ht="25.5" customHeight="1" x14ac:dyDescent="0.2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2"/>
      <c r="L30" s="32"/>
      <c r="M30" s="34"/>
      <c r="N30" s="34"/>
      <c r="O30" s="32" t="str">
        <f>IF(A30="","",COUNTIF(Anrufprotokoll!$C:$C,A30))</f>
        <v/>
      </c>
      <c r="P30" s="34"/>
      <c r="Q30" s="35" t="str">
        <f t="shared" ca="1" si="0"/>
        <v/>
      </c>
      <c r="R30" s="36"/>
      <c r="S30" s="37"/>
      <c r="T30" s="36" t="str">
        <f t="shared" ref="T30:T39" si="2">IF(OR(R30="",S30=""),"",R30*S30)</f>
        <v/>
      </c>
      <c r="U30" s="38"/>
    </row>
    <row r="31" spans="1:21" ht="25.5" customHeight="1" x14ac:dyDescent="0.2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5"/>
      <c r="L31" s="25"/>
      <c r="M31" s="27"/>
      <c r="N31" s="27"/>
      <c r="O31" s="25" t="str">
        <f>IF(A31="","",COUNTIF(Anrufprotokoll!$C:$C,A31))</f>
        <v/>
      </c>
      <c r="P31" s="27"/>
      <c r="Q31" s="28" t="str">
        <f t="shared" ca="1" si="0"/>
        <v/>
      </c>
      <c r="R31" s="29"/>
      <c r="S31" s="30"/>
      <c r="T31" s="29" t="str">
        <f t="shared" si="2"/>
        <v/>
      </c>
      <c r="U31" s="31"/>
    </row>
    <row r="32" spans="1:21" ht="25.5" customHeight="1" x14ac:dyDescent="0.25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2"/>
      <c r="L32" s="32"/>
      <c r="M32" s="34"/>
      <c r="N32" s="34"/>
      <c r="O32" s="32" t="str">
        <f>IF(A32="","",COUNTIF(Anrufprotokoll!$C:$C,A32))</f>
        <v/>
      </c>
      <c r="P32" s="34"/>
      <c r="Q32" s="35" t="str">
        <f t="shared" ca="1" si="0"/>
        <v/>
      </c>
      <c r="R32" s="36"/>
      <c r="S32" s="37"/>
      <c r="T32" s="36" t="str">
        <f t="shared" si="2"/>
        <v/>
      </c>
      <c r="U32" s="38"/>
    </row>
    <row r="33" spans="1:21" ht="25.5" customHeight="1" x14ac:dyDescent="0.25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5"/>
      <c r="L33" s="25"/>
      <c r="M33" s="27"/>
      <c r="N33" s="27"/>
      <c r="O33" s="25" t="str">
        <f>IF(A33="","",COUNTIF(Anrufprotokoll!$C:$C,A33))</f>
        <v/>
      </c>
      <c r="P33" s="27"/>
      <c r="Q33" s="28" t="str">
        <f t="shared" ca="1" si="0"/>
        <v/>
      </c>
      <c r="R33" s="29"/>
      <c r="S33" s="30"/>
      <c r="T33" s="29" t="str">
        <f t="shared" si="2"/>
        <v/>
      </c>
      <c r="U33" s="31"/>
    </row>
    <row r="34" spans="1:21" ht="25.5" customHeight="1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2"/>
      <c r="L34" s="32"/>
      <c r="M34" s="34"/>
      <c r="N34" s="34"/>
      <c r="O34" s="32" t="str">
        <f>IF(A34="","",COUNTIF(Anrufprotokoll!$C:$C,A34))</f>
        <v/>
      </c>
      <c r="P34" s="34"/>
      <c r="Q34" s="35" t="str">
        <f t="shared" ca="1" si="0"/>
        <v/>
      </c>
      <c r="R34" s="36"/>
      <c r="S34" s="37"/>
      <c r="T34" s="36" t="str">
        <f t="shared" si="2"/>
        <v/>
      </c>
      <c r="U34" s="38"/>
    </row>
    <row r="35" spans="1:21" ht="25.5" customHeight="1" x14ac:dyDescent="0.25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5"/>
      <c r="L35" s="25"/>
      <c r="M35" s="27"/>
      <c r="N35" s="27"/>
      <c r="O35" s="25" t="str">
        <f>IF(A35="","",COUNTIF(Anrufprotokoll!$C:$C,A35))</f>
        <v/>
      </c>
      <c r="P35" s="27"/>
      <c r="Q35" s="28" t="str">
        <f t="shared" ca="1" si="0"/>
        <v/>
      </c>
      <c r="R35" s="29"/>
      <c r="S35" s="30"/>
      <c r="T35" s="29" t="str">
        <f t="shared" si="2"/>
        <v/>
      </c>
      <c r="U35" s="31"/>
    </row>
    <row r="36" spans="1:21" ht="25.5" customHeight="1" x14ac:dyDescent="0.25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2"/>
      <c r="L36" s="32"/>
      <c r="M36" s="34"/>
      <c r="N36" s="34"/>
      <c r="O36" s="32" t="str">
        <f>IF(A36="","",COUNTIF(Anrufprotokoll!$C:$C,A36))</f>
        <v/>
      </c>
      <c r="P36" s="34"/>
      <c r="Q36" s="35" t="str">
        <f t="shared" ca="1" si="0"/>
        <v/>
      </c>
      <c r="R36" s="36"/>
      <c r="S36" s="37"/>
      <c r="T36" s="36" t="str">
        <f t="shared" si="2"/>
        <v/>
      </c>
      <c r="U36" s="38"/>
    </row>
    <row r="37" spans="1:21" ht="25.5" customHeight="1" x14ac:dyDescent="0.25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25"/>
      <c r="L37" s="25"/>
      <c r="M37" s="27"/>
      <c r="N37" s="27"/>
      <c r="O37" s="25" t="str">
        <f>IF(A37="","",COUNTIF(Anrufprotokoll!$C:$C,A37))</f>
        <v/>
      </c>
      <c r="P37" s="27"/>
      <c r="Q37" s="28" t="str">
        <f t="shared" ca="1" si="0"/>
        <v/>
      </c>
      <c r="R37" s="29"/>
      <c r="S37" s="30"/>
      <c r="T37" s="29" t="str">
        <f t="shared" si="2"/>
        <v/>
      </c>
      <c r="U37" s="31"/>
    </row>
    <row r="38" spans="1:21" ht="25.5" customHeight="1" x14ac:dyDescent="0.25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4"/>
      <c r="N38" s="34"/>
      <c r="O38" s="32" t="str">
        <f>IF(A38="","",COUNTIF(Anrufprotokoll!$C:$C,A38))</f>
        <v/>
      </c>
      <c r="P38" s="34"/>
      <c r="Q38" s="35" t="str">
        <f t="shared" ca="1" si="0"/>
        <v/>
      </c>
      <c r="R38" s="36"/>
      <c r="S38" s="37"/>
      <c r="T38" s="36" t="str">
        <f t="shared" si="2"/>
        <v/>
      </c>
      <c r="U38" s="38"/>
    </row>
    <row r="39" spans="1:21" ht="25.5" customHeight="1" x14ac:dyDescent="0.25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5"/>
      <c r="L39" s="25"/>
      <c r="M39" s="27"/>
      <c r="N39" s="27"/>
      <c r="O39" s="25" t="str">
        <f>IF(A39="","",COUNTIF(Anrufprotokoll!$C:$C,A39))</f>
        <v/>
      </c>
      <c r="P39" s="27"/>
      <c r="Q39" s="28" t="str">
        <f t="shared" ca="1" si="0"/>
        <v/>
      </c>
      <c r="R39" s="29"/>
      <c r="S39" s="30"/>
      <c r="T39" s="29" t="str">
        <f t="shared" si="2"/>
        <v/>
      </c>
      <c r="U39" s="31"/>
    </row>
  </sheetData>
  <autoFilter ref="A4:U39" xr:uid="{00000000-0009-0000-0000-000001000000}"/>
  <mergeCells count="2">
    <mergeCell ref="A1:U1"/>
    <mergeCell ref="A2:U2"/>
  </mergeCells>
  <conditionalFormatting sqref="K5:K39">
    <cfRule type="cellIs" dxfId="18" priority="2" operator="equal">
      <formula>"Gewonnen"</formula>
    </cfRule>
    <cfRule type="cellIs" dxfId="17" priority="3" operator="equal">
      <formula>"Verhandlung"</formula>
    </cfRule>
    <cfRule type="cellIs" dxfId="16" priority="4" operator="equal">
      <formula>"Angebot versendet"</formula>
    </cfRule>
    <cfRule type="cellIs" dxfId="15" priority="5" operator="equal">
      <formula>"Termin vereinbart"</formula>
    </cfRule>
    <cfRule type="cellIs" dxfId="14" priority="6" operator="equal">
      <formula>"Bedarf qualifiziert"</formula>
    </cfRule>
    <cfRule type="cellIs" dxfId="13" priority="7" operator="equal">
      <formula>"Kontakt hergestellt"</formula>
    </cfRule>
    <cfRule type="cellIs" dxfId="12" priority="8" operator="equal">
      <formula>"Erstkontakt versucht"</formula>
    </cfRule>
    <cfRule type="cellIs" dxfId="11" priority="9" operator="equal">
      <formula>"Recherchiert"</formula>
    </cfRule>
    <cfRule type="cellIs" dxfId="10" priority="10" operator="equal">
      <formula>"Neu"</formula>
    </cfRule>
    <cfRule type="cellIs" dxfId="9" priority="11" operator="equal">
      <formula>"Verloren"</formula>
    </cfRule>
    <cfRule type="cellIs" dxfId="8" priority="12" operator="equal">
      <formula>"Kein Interesse"</formula>
    </cfRule>
  </conditionalFormatting>
  <conditionalFormatting sqref="L5:L39">
    <cfRule type="cellIs" dxfId="7" priority="13" operator="equal">
      <formula>"A - Hoch"</formula>
    </cfRule>
    <cfRule type="cellIs" dxfId="6" priority="14" operator="equal">
      <formula>"B - Mittel"</formula>
    </cfRule>
    <cfRule type="cellIs" dxfId="5" priority="15" operator="equal">
      <formula>"C - Niedrig"</formula>
    </cfRule>
  </conditionalFormatting>
  <conditionalFormatting sqref="Q5:Q39">
    <cfRule type="expression" dxfId="4" priority="16">
      <formula>AND(ISNUMBER(Q5),Q5&lt;0)</formula>
    </cfRule>
    <cfRule type="expression" dxfId="3" priority="17">
      <formula>AND(ISNUMBER(Q5),Q5&gt;=0,Q5&lt;=7)</formula>
    </cfRule>
    <cfRule type="expression" dxfId="2" priority="18">
      <formula>AND(ISNUMBER(Q5),Q5&gt;7)</formula>
    </cfRule>
  </conditionalFormatting>
  <conditionalFormatting sqref="T5:T39">
    <cfRule type="dataBar" priority="19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{DFCDCD44-7843-44D9-B4BB-E827711E6520}</x14:id>
        </ext>
      </extLst>
    </cfRule>
  </conditionalFormatting>
  <dataValidations count="6">
    <dataValidation type="list" allowBlank="1" sqref="K5:K39" xr:uid="{00000000-0002-0000-0100-000000000000}">
      <formula1>lst_Status</formula1>
      <formula2>0</formula2>
    </dataValidation>
    <dataValidation type="list" allowBlank="1" sqref="L5:L39" xr:uid="{00000000-0002-0000-0100-000001000000}">
      <formula1>lst_Prio</formula1>
      <formula2>0</formula2>
    </dataValidation>
    <dataValidation type="list" allowBlank="1" sqref="C5:C39" xr:uid="{00000000-0002-0000-0100-000002000000}">
      <formula1>lst_Branche</formula1>
      <formula2>0</formula2>
    </dataValidation>
    <dataValidation type="list" allowBlank="1" sqref="I5:I39" xr:uid="{00000000-0002-0000-0100-000003000000}">
      <formula1>lst_Quelle</formula1>
      <formula2>0</formula2>
    </dataValidation>
    <dataValidation type="list" allowBlank="1" sqref="J5:J39" xr:uid="{00000000-0002-0000-0100-000004000000}">
      <formula1>lst_Mitarbeiter</formula1>
      <formula2>0</formula2>
    </dataValidation>
    <dataValidation type="decimal" allowBlank="1" errorTitle="Ungültiger Wert" error="Bitte einen Wert zwischen 0% und 100% eingeben." sqref="S5:S39" xr:uid="{00000000-0002-0000-0100-000005000000}">
      <formula1>0</formula1>
      <formula2>1</formula2>
    </dataValidation>
  </dataValidation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FCDCD44-7843-44D9-B4BB-E827711E6520}">
            <x14:dataBar axisPosition="none">
              <x14:cfvo type="min"/>
              <x14:cfvo type="max"/>
              <x14:negativeFillColor rgb="FF5B9BD5"/>
            </x14:dataBar>
          </x14:cfRule>
          <xm:sqref>T5:T39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9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13" customWidth="1"/>
    <col min="2" max="3" width="11" customWidth="1"/>
    <col min="4" max="4" width="28" customWidth="1"/>
    <col min="5" max="5" width="22" customWidth="1"/>
    <col min="6" max="6" width="13" customWidth="1"/>
    <col min="7" max="7" width="11" customWidth="1"/>
    <col min="8" max="8" width="24" customWidth="1"/>
    <col min="9" max="9" width="11" customWidth="1"/>
    <col min="10" max="10" width="50" customWidth="1"/>
    <col min="11" max="11" width="32" customWidth="1"/>
  </cols>
  <sheetData>
    <row r="1" spans="1:11" ht="37.5" customHeight="1" x14ac:dyDescent="0.25">
      <c r="A1" s="46" t="s">
        <v>276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9.5" customHeight="1" x14ac:dyDescent="0.25">
      <c r="A2" s="47" t="s">
        <v>277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11" ht="31.5" customHeight="1" x14ac:dyDescent="0.25">
      <c r="A4" s="24" t="s">
        <v>278</v>
      </c>
      <c r="B4" s="24" t="s">
        <v>279</v>
      </c>
      <c r="C4" s="24" t="s">
        <v>49</v>
      </c>
      <c r="D4" s="24" t="s">
        <v>50</v>
      </c>
      <c r="E4" s="24" t="s">
        <v>52</v>
      </c>
      <c r="F4" s="24" t="s">
        <v>280</v>
      </c>
      <c r="G4" s="24" t="s">
        <v>281</v>
      </c>
      <c r="H4" s="24" t="s">
        <v>282</v>
      </c>
      <c r="I4" s="24" t="s">
        <v>283</v>
      </c>
      <c r="J4" s="24" t="s">
        <v>284</v>
      </c>
      <c r="K4" s="24" t="s">
        <v>285</v>
      </c>
    </row>
    <row r="5" spans="1:11" ht="27.75" customHeight="1" x14ac:dyDescent="0.25">
      <c r="A5" s="27">
        <v>46185</v>
      </c>
      <c r="B5" s="25" t="s">
        <v>286</v>
      </c>
      <c r="C5" s="25" t="s">
        <v>133</v>
      </c>
      <c r="D5" s="26" t="str">
        <f>IFERROR(VLOOKUP(C5,'Akquise-Liste'!$A:$E,2,FALSE()),"")</f>
        <v>Blauwasser Energie GmbH</v>
      </c>
      <c r="E5" s="26" t="str">
        <f>IFERROR(VLOOKUP(C5,'Akquise-Liste'!$A:$E,4,FALSE()),"")</f>
        <v>Dr. Katrin Sommer</v>
      </c>
      <c r="F5" s="25" t="s">
        <v>55</v>
      </c>
      <c r="G5" s="25" t="s">
        <v>287</v>
      </c>
      <c r="H5" s="39" t="s">
        <v>288</v>
      </c>
      <c r="I5" s="25"/>
      <c r="J5" s="31" t="s">
        <v>289</v>
      </c>
      <c r="K5" s="31" t="s">
        <v>290</v>
      </c>
    </row>
    <row r="6" spans="1:11" ht="27.75" customHeight="1" x14ac:dyDescent="0.25">
      <c r="A6" s="34">
        <v>46181</v>
      </c>
      <c r="B6" s="32" t="s">
        <v>291</v>
      </c>
      <c r="C6" s="32" t="s">
        <v>177</v>
      </c>
      <c r="D6" s="33" t="str">
        <f>IFERROR(VLOOKUP(C6,'Akquise-Liste'!$A:$E,2,FALSE()),"")</f>
        <v>Donau IT-Systems GmbH</v>
      </c>
      <c r="E6" s="33" t="str">
        <f>IFERROR(VLOOKUP(C6,'Akquise-Liste'!$A:$E,4,FALSE()),"")</f>
        <v>Stefan Mayrhofer</v>
      </c>
      <c r="F6" s="32" t="s">
        <v>54</v>
      </c>
      <c r="G6" s="32" t="s">
        <v>287</v>
      </c>
      <c r="H6" s="40" t="s">
        <v>292</v>
      </c>
      <c r="I6" s="32">
        <v>15</v>
      </c>
      <c r="J6" s="38" t="s">
        <v>293</v>
      </c>
      <c r="K6" s="38" t="s">
        <v>294</v>
      </c>
    </row>
    <row r="7" spans="1:11" ht="27.75" customHeight="1" x14ac:dyDescent="0.25">
      <c r="A7" s="27">
        <v>46180</v>
      </c>
      <c r="B7" s="25" t="s">
        <v>295</v>
      </c>
      <c r="C7" s="25" t="s">
        <v>225</v>
      </c>
      <c r="D7" s="26" t="str">
        <f>IFERROR(VLOOKUP(C7,'Akquise-Liste'!$A:$E,2,FALSE()),"")</f>
        <v>Greifenstein Beratung mbH</v>
      </c>
      <c r="E7" s="26" t="str">
        <f>IFERROR(VLOOKUP(C7,'Akquise-Liste'!$A:$E,4,FALSE()),"")</f>
        <v>Bernhard Köhler</v>
      </c>
      <c r="F7" s="25" t="s">
        <v>55</v>
      </c>
      <c r="G7" s="25" t="s">
        <v>287</v>
      </c>
      <c r="H7" s="39" t="s">
        <v>288</v>
      </c>
      <c r="I7" s="25"/>
      <c r="J7" s="31" t="s">
        <v>296</v>
      </c>
      <c r="K7" s="31" t="s">
        <v>297</v>
      </c>
    </row>
    <row r="8" spans="1:11" ht="27.75" customHeight="1" x14ac:dyDescent="0.25">
      <c r="A8" s="34">
        <v>46178</v>
      </c>
      <c r="B8" s="32" t="s">
        <v>295</v>
      </c>
      <c r="C8" s="32" t="s">
        <v>177</v>
      </c>
      <c r="D8" s="33" t="str">
        <f>IFERROR(VLOOKUP(C8,'Akquise-Liste'!$A:$E,2,FALSE()),"")</f>
        <v>Donau IT-Systems GmbH</v>
      </c>
      <c r="E8" s="33" t="str">
        <f>IFERROR(VLOOKUP(C8,'Akquise-Liste'!$A:$E,4,FALSE()),"")</f>
        <v>Stefan Mayrhofer</v>
      </c>
      <c r="F8" s="32" t="s">
        <v>28</v>
      </c>
      <c r="G8" s="32" t="s">
        <v>287</v>
      </c>
      <c r="H8" s="40" t="s">
        <v>288</v>
      </c>
      <c r="I8" s="32"/>
      <c r="J8" s="38" t="s">
        <v>289</v>
      </c>
      <c r="K8" s="38" t="s">
        <v>298</v>
      </c>
    </row>
    <row r="9" spans="1:11" ht="27.75" customHeight="1" x14ac:dyDescent="0.25">
      <c r="A9" s="27">
        <v>46176</v>
      </c>
      <c r="B9" s="25" t="s">
        <v>299</v>
      </c>
      <c r="C9" s="25" t="s">
        <v>177</v>
      </c>
      <c r="D9" s="26" t="str">
        <f>IFERROR(VLOOKUP(C9,'Akquise-Liste'!$A:$E,2,FALSE()),"")</f>
        <v>Donau IT-Systems GmbH</v>
      </c>
      <c r="E9" s="26" t="str">
        <f>IFERROR(VLOOKUP(C9,'Akquise-Liste'!$A:$E,4,FALSE()),"")</f>
        <v>Stefan Mayrhofer</v>
      </c>
      <c r="F9" s="25" t="s">
        <v>54</v>
      </c>
      <c r="G9" s="25" t="s">
        <v>300</v>
      </c>
      <c r="H9" s="39" t="s">
        <v>301</v>
      </c>
      <c r="I9" s="25">
        <v>12</v>
      </c>
      <c r="J9" s="31" t="s">
        <v>302</v>
      </c>
      <c r="K9" s="31" t="s">
        <v>294</v>
      </c>
    </row>
    <row r="10" spans="1:11" ht="27.75" customHeight="1" x14ac:dyDescent="0.25">
      <c r="A10" s="34">
        <v>46174</v>
      </c>
      <c r="B10" s="32" t="s">
        <v>295</v>
      </c>
      <c r="C10" s="32" t="s">
        <v>254</v>
      </c>
      <c r="D10" s="33" t="str">
        <f>IFERROR(VLOOKUP(C10,'Akquise-Liste'!$A:$E,2,FALSE()),"")</f>
        <v>Rheingold Finanzpartner</v>
      </c>
      <c r="E10" s="33" t="str">
        <f>IFERROR(VLOOKUP(C10,'Akquise-Liste'!$A:$E,4,FALSE()),"")</f>
        <v>Klaus Wendelborn</v>
      </c>
      <c r="F10" s="32" t="s">
        <v>54</v>
      </c>
      <c r="G10" s="32" t="s">
        <v>287</v>
      </c>
      <c r="H10" s="40" t="s">
        <v>292</v>
      </c>
      <c r="I10" s="32">
        <v>5</v>
      </c>
      <c r="J10" s="38" t="s">
        <v>303</v>
      </c>
      <c r="K10" s="38" t="s">
        <v>297</v>
      </c>
    </row>
    <row r="11" spans="1:11" ht="27.75" customHeight="1" x14ac:dyDescent="0.25">
      <c r="A11" s="27">
        <v>46171</v>
      </c>
      <c r="B11" s="25" t="s">
        <v>304</v>
      </c>
      <c r="C11" s="25" t="s">
        <v>254</v>
      </c>
      <c r="D11" s="26" t="str">
        <f>IFERROR(VLOOKUP(C11,'Akquise-Liste'!$A:$E,2,FALSE()),"")</f>
        <v>Rheingold Finanzpartner</v>
      </c>
      <c r="E11" s="26" t="str">
        <f>IFERROR(VLOOKUP(C11,'Akquise-Liste'!$A:$E,4,FALSE()),"")</f>
        <v>Klaus Wendelborn</v>
      </c>
      <c r="F11" s="25" t="s">
        <v>54</v>
      </c>
      <c r="G11" s="25" t="s">
        <v>300</v>
      </c>
      <c r="H11" s="39" t="s">
        <v>301</v>
      </c>
      <c r="I11" s="25">
        <v>18</v>
      </c>
      <c r="J11" s="31" t="s">
        <v>305</v>
      </c>
      <c r="K11" s="31" t="s">
        <v>306</v>
      </c>
    </row>
    <row r="12" spans="1:11" ht="27.75" customHeight="1" x14ac:dyDescent="0.25">
      <c r="A12" s="34">
        <v>46170</v>
      </c>
      <c r="B12" s="32" t="s">
        <v>307</v>
      </c>
      <c r="C12" s="32" t="s">
        <v>254</v>
      </c>
      <c r="D12" s="33" t="str">
        <f>IFERROR(VLOOKUP(C12,'Akquise-Liste'!$A:$E,2,FALSE()),"")</f>
        <v>Rheingold Finanzpartner</v>
      </c>
      <c r="E12" s="33" t="str">
        <f>IFERROR(VLOOKUP(C12,'Akquise-Liste'!$A:$E,4,FALSE()),"")</f>
        <v>Klaus Wendelborn</v>
      </c>
      <c r="F12" s="32" t="s">
        <v>54</v>
      </c>
      <c r="G12" s="32" t="s">
        <v>287</v>
      </c>
      <c r="H12" s="40" t="s">
        <v>308</v>
      </c>
      <c r="I12" s="32">
        <v>18</v>
      </c>
      <c r="J12" s="38" t="s">
        <v>309</v>
      </c>
      <c r="K12" s="38" t="s">
        <v>310</v>
      </c>
    </row>
    <row r="13" spans="1:11" ht="27.75" customHeight="1" x14ac:dyDescent="0.25">
      <c r="A13" s="27">
        <v>46170</v>
      </c>
      <c r="B13" s="25" t="s">
        <v>295</v>
      </c>
      <c r="C13" s="25" t="s">
        <v>254</v>
      </c>
      <c r="D13" s="26" t="str">
        <f>IFERROR(VLOOKUP(C13,'Akquise-Liste'!$A:$E,2,FALSE()),"")</f>
        <v>Rheingold Finanzpartner</v>
      </c>
      <c r="E13" s="26" t="str">
        <f>IFERROR(VLOOKUP(C13,'Akquise-Liste'!$A:$E,4,FALSE()),"")</f>
        <v>Klaus Wendelborn</v>
      </c>
      <c r="F13" s="25" t="s">
        <v>54</v>
      </c>
      <c r="G13" s="25" t="s">
        <v>300</v>
      </c>
      <c r="H13" s="39" t="s">
        <v>301</v>
      </c>
      <c r="I13" s="25">
        <v>5</v>
      </c>
      <c r="J13" s="31" t="s">
        <v>289</v>
      </c>
      <c r="K13" s="31" t="s">
        <v>311</v>
      </c>
    </row>
    <row r="14" spans="1:11" ht="27.75" customHeight="1" x14ac:dyDescent="0.25">
      <c r="A14" s="34">
        <v>46169</v>
      </c>
      <c r="B14" s="32" t="s">
        <v>312</v>
      </c>
      <c r="C14" s="32" t="s">
        <v>133</v>
      </c>
      <c r="D14" s="33" t="str">
        <f>IFERROR(VLOOKUP(C14,'Akquise-Liste'!$A:$E,2,FALSE()),"")</f>
        <v>Blauwasser Energie GmbH</v>
      </c>
      <c r="E14" s="33" t="str">
        <f>IFERROR(VLOOKUP(C14,'Akquise-Liste'!$A:$E,4,FALSE()),"")</f>
        <v>Dr. Katrin Sommer</v>
      </c>
      <c r="F14" s="32" t="s">
        <v>54</v>
      </c>
      <c r="G14" s="32" t="s">
        <v>287</v>
      </c>
      <c r="H14" s="40" t="s">
        <v>308</v>
      </c>
      <c r="I14" s="32">
        <v>25</v>
      </c>
      <c r="J14" s="38" t="s">
        <v>313</v>
      </c>
      <c r="K14" s="38" t="s">
        <v>311</v>
      </c>
    </row>
    <row r="15" spans="1:11" ht="27.75" customHeight="1" x14ac:dyDescent="0.25">
      <c r="A15" s="27">
        <v>46169</v>
      </c>
      <c r="B15" s="25" t="s">
        <v>314</v>
      </c>
      <c r="C15" s="25" t="s">
        <v>177</v>
      </c>
      <c r="D15" s="26" t="str">
        <f>IFERROR(VLOOKUP(C15,'Akquise-Liste'!$A:$E,2,FALSE()),"")</f>
        <v>Donau IT-Systems GmbH</v>
      </c>
      <c r="E15" s="26" t="str">
        <f>IFERROR(VLOOKUP(C15,'Akquise-Liste'!$A:$E,4,FALSE()),"")</f>
        <v>Stefan Mayrhofer</v>
      </c>
      <c r="F15" s="25" t="s">
        <v>28</v>
      </c>
      <c r="G15" s="25" t="s">
        <v>287</v>
      </c>
      <c r="H15" s="39" t="s">
        <v>288</v>
      </c>
      <c r="I15" s="25"/>
      <c r="J15" s="31" t="s">
        <v>296</v>
      </c>
      <c r="K15" s="31" t="s">
        <v>294</v>
      </c>
    </row>
    <row r="16" spans="1:11" ht="27.75" customHeight="1" x14ac:dyDescent="0.25">
      <c r="A16" s="34">
        <v>46168</v>
      </c>
      <c r="B16" s="32" t="s">
        <v>315</v>
      </c>
      <c r="C16" s="32" t="s">
        <v>133</v>
      </c>
      <c r="D16" s="33" t="str">
        <f>IFERROR(VLOOKUP(C16,'Akquise-Liste'!$A:$E,2,FALSE()),"")</f>
        <v>Blauwasser Energie GmbH</v>
      </c>
      <c r="E16" s="33" t="str">
        <f>IFERROR(VLOOKUP(C16,'Akquise-Liste'!$A:$E,4,FALSE()),"")</f>
        <v>Dr. Katrin Sommer</v>
      </c>
      <c r="F16" s="32" t="s">
        <v>54</v>
      </c>
      <c r="G16" s="32" t="s">
        <v>300</v>
      </c>
      <c r="H16" s="40" t="s">
        <v>301</v>
      </c>
      <c r="I16" s="32">
        <v>12</v>
      </c>
      <c r="J16" s="38" t="s">
        <v>305</v>
      </c>
      <c r="K16" s="38" t="s">
        <v>297</v>
      </c>
    </row>
    <row r="17" spans="1:11" ht="27.75" customHeight="1" x14ac:dyDescent="0.25">
      <c r="A17" s="27">
        <v>46164</v>
      </c>
      <c r="B17" s="25" t="s">
        <v>312</v>
      </c>
      <c r="C17" s="25" t="s">
        <v>117</v>
      </c>
      <c r="D17" s="26" t="str">
        <f>IFERROR(VLOOKUP(C17,'Akquise-Liste'!$A:$E,2,FALSE()),"")</f>
        <v>Westfalen Engineering UG</v>
      </c>
      <c r="E17" s="26" t="str">
        <f>IFERROR(VLOOKUP(C17,'Akquise-Liste'!$A:$E,4,FALSE()),"")</f>
        <v>Sabine Kowalski</v>
      </c>
      <c r="F17" s="25" t="s">
        <v>54</v>
      </c>
      <c r="G17" s="25" t="s">
        <v>287</v>
      </c>
      <c r="H17" s="39" t="s">
        <v>239</v>
      </c>
      <c r="I17" s="25">
        <v>7</v>
      </c>
      <c r="J17" s="31" t="s">
        <v>316</v>
      </c>
      <c r="K17" s="31" t="s">
        <v>297</v>
      </c>
    </row>
    <row r="18" spans="1:11" ht="27.75" customHeight="1" x14ac:dyDescent="0.25">
      <c r="A18" s="34">
        <v>46163</v>
      </c>
      <c r="B18" s="32" t="s">
        <v>317</v>
      </c>
      <c r="C18" s="32" t="s">
        <v>117</v>
      </c>
      <c r="D18" s="33" t="str">
        <f>IFERROR(VLOOKUP(C18,'Akquise-Liste'!$A:$E,2,FALSE()),"")</f>
        <v>Westfalen Engineering UG</v>
      </c>
      <c r="E18" s="33" t="str">
        <f>IFERROR(VLOOKUP(C18,'Akquise-Liste'!$A:$E,4,FALSE()),"")</f>
        <v>Sabine Kowalski</v>
      </c>
      <c r="F18" s="32" t="s">
        <v>54</v>
      </c>
      <c r="G18" s="32" t="s">
        <v>287</v>
      </c>
      <c r="H18" s="40" t="s">
        <v>292</v>
      </c>
      <c r="I18" s="32">
        <v>8</v>
      </c>
      <c r="J18" s="38" t="s">
        <v>303</v>
      </c>
      <c r="K18" s="38" t="s">
        <v>318</v>
      </c>
    </row>
    <row r="19" spans="1:11" ht="27.75" customHeight="1" x14ac:dyDescent="0.25">
      <c r="A19" s="27">
        <v>46163</v>
      </c>
      <c r="B19" s="25" t="s">
        <v>314</v>
      </c>
      <c r="C19" s="25" t="s">
        <v>200</v>
      </c>
      <c r="D19" s="26" t="str">
        <f>IFERROR(VLOOKUP(C19,'Akquise-Liste'!$A:$E,2,FALSE()),"")</f>
        <v>Vogelsang Handel KG</v>
      </c>
      <c r="E19" s="26" t="str">
        <f>IFERROR(VLOOKUP(C19,'Akquise-Liste'!$A:$E,4,FALSE()),"")</f>
        <v>Birgit Neumann</v>
      </c>
      <c r="F19" s="25" t="s">
        <v>28</v>
      </c>
      <c r="G19" s="25" t="s">
        <v>287</v>
      </c>
      <c r="H19" s="39" t="s">
        <v>288</v>
      </c>
      <c r="I19" s="25"/>
      <c r="J19" s="31" t="s">
        <v>319</v>
      </c>
      <c r="K19" s="31" t="s">
        <v>318</v>
      </c>
    </row>
    <row r="20" spans="1:11" ht="27.75" customHeight="1" x14ac:dyDescent="0.25">
      <c r="A20" s="34">
        <v>46162</v>
      </c>
      <c r="B20" s="32" t="s">
        <v>320</v>
      </c>
      <c r="C20" s="32" t="s">
        <v>125</v>
      </c>
      <c r="D20" s="33" t="str">
        <f>IFERROR(VLOOKUP(C20,'Akquise-Liste'!$A:$E,2,FALSE()),"")</f>
        <v>Sonnenfels Bauplanung</v>
      </c>
      <c r="E20" s="33" t="str">
        <f>IFERROR(VLOOKUP(C20,'Akquise-Liste'!$A:$E,4,FALSE()),"")</f>
        <v>Andreas Lechner</v>
      </c>
      <c r="F20" s="32" t="s">
        <v>54</v>
      </c>
      <c r="G20" s="32" t="s">
        <v>287</v>
      </c>
      <c r="H20" s="40" t="s">
        <v>308</v>
      </c>
      <c r="I20" s="32">
        <v>22</v>
      </c>
      <c r="J20" s="38" t="s">
        <v>321</v>
      </c>
      <c r="K20" s="38" t="s">
        <v>290</v>
      </c>
    </row>
    <row r="21" spans="1:11" ht="27.75" customHeight="1" x14ac:dyDescent="0.25">
      <c r="A21" s="27">
        <v>46161</v>
      </c>
      <c r="B21" s="25" t="s">
        <v>315</v>
      </c>
      <c r="C21" s="25" t="s">
        <v>133</v>
      </c>
      <c r="D21" s="26" t="str">
        <f>IFERROR(VLOOKUP(C21,'Akquise-Liste'!$A:$E,2,FALSE()),"")</f>
        <v>Blauwasser Energie GmbH</v>
      </c>
      <c r="E21" s="26" t="str">
        <f>IFERROR(VLOOKUP(C21,'Akquise-Liste'!$A:$E,4,FALSE()),"")</f>
        <v>Dr. Katrin Sommer</v>
      </c>
      <c r="F21" s="25" t="s">
        <v>55</v>
      </c>
      <c r="G21" s="25" t="s">
        <v>287</v>
      </c>
      <c r="H21" s="39" t="s">
        <v>288</v>
      </c>
      <c r="I21" s="25"/>
      <c r="J21" s="31" t="s">
        <v>302</v>
      </c>
      <c r="K21" s="31" t="s">
        <v>322</v>
      </c>
    </row>
    <row r="22" spans="1:11" ht="27.75" customHeight="1" x14ac:dyDescent="0.25">
      <c r="A22" s="34">
        <v>46161</v>
      </c>
      <c r="B22" s="32" t="s">
        <v>323</v>
      </c>
      <c r="C22" s="32" t="s">
        <v>177</v>
      </c>
      <c r="D22" s="33" t="str">
        <f>IFERROR(VLOOKUP(C22,'Akquise-Liste'!$A:$E,2,FALSE()),"")</f>
        <v>Donau IT-Systems GmbH</v>
      </c>
      <c r="E22" s="33" t="str">
        <f>IFERROR(VLOOKUP(C22,'Akquise-Liste'!$A:$E,4,FALSE()),"")</f>
        <v>Stefan Mayrhofer</v>
      </c>
      <c r="F22" s="32" t="s">
        <v>54</v>
      </c>
      <c r="G22" s="32" t="s">
        <v>300</v>
      </c>
      <c r="H22" s="40" t="s">
        <v>301</v>
      </c>
      <c r="I22" s="32">
        <v>12</v>
      </c>
      <c r="J22" s="38" t="s">
        <v>321</v>
      </c>
      <c r="K22" s="38" t="s">
        <v>290</v>
      </c>
    </row>
    <row r="23" spans="1:11" ht="27.75" customHeight="1" x14ac:dyDescent="0.25">
      <c r="A23" s="27">
        <v>46161</v>
      </c>
      <c r="B23" s="25" t="s">
        <v>324</v>
      </c>
      <c r="C23" s="25" t="s">
        <v>200</v>
      </c>
      <c r="D23" s="26" t="str">
        <f>IFERROR(VLOOKUP(C23,'Akquise-Liste'!$A:$E,2,FALSE()),"")</f>
        <v>Vogelsang Handel KG</v>
      </c>
      <c r="E23" s="26" t="str">
        <f>IFERROR(VLOOKUP(C23,'Akquise-Liste'!$A:$E,4,FALSE()),"")</f>
        <v>Birgit Neumann</v>
      </c>
      <c r="F23" s="25" t="s">
        <v>325</v>
      </c>
      <c r="G23" s="25" t="s">
        <v>287</v>
      </c>
      <c r="H23" s="39" t="s">
        <v>16</v>
      </c>
      <c r="I23" s="25">
        <v>20</v>
      </c>
      <c r="J23" s="31" t="s">
        <v>296</v>
      </c>
      <c r="K23" s="31" t="s">
        <v>294</v>
      </c>
    </row>
    <row r="24" spans="1:11" ht="27.75" customHeight="1" x14ac:dyDescent="0.25">
      <c r="A24" s="34">
        <v>46161</v>
      </c>
      <c r="B24" s="32" t="s">
        <v>326</v>
      </c>
      <c r="C24" s="32" t="s">
        <v>241</v>
      </c>
      <c r="D24" s="33" t="str">
        <f>IFERROR(VLOOKUP(C24,'Akquise-Liste'!$A:$E,2,FALSE()),"")</f>
        <v>Tannenhof Bauelemente</v>
      </c>
      <c r="E24" s="33" t="str">
        <f>IFERROR(VLOOKUP(C24,'Akquise-Liste'!$A:$E,4,FALSE()),"")</f>
        <v>Jürgen Maibach</v>
      </c>
      <c r="F24" s="32" t="s">
        <v>54</v>
      </c>
      <c r="G24" s="32" t="s">
        <v>300</v>
      </c>
      <c r="H24" s="40" t="s">
        <v>301</v>
      </c>
      <c r="I24" s="32">
        <v>25</v>
      </c>
      <c r="J24" s="38" t="s">
        <v>327</v>
      </c>
      <c r="K24" s="38" t="s">
        <v>297</v>
      </c>
    </row>
    <row r="25" spans="1:11" ht="27.75" customHeight="1" x14ac:dyDescent="0.25">
      <c r="A25" s="27">
        <v>46159</v>
      </c>
      <c r="B25" s="25" t="s">
        <v>317</v>
      </c>
      <c r="C25" s="25" t="s">
        <v>117</v>
      </c>
      <c r="D25" s="26" t="str">
        <f>IFERROR(VLOOKUP(C25,'Akquise-Liste'!$A:$E,2,FALSE()),"")</f>
        <v>Westfalen Engineering UG</v>
      </c>
      <c r="E25" s="26" t="str">
        <f>IFERROR(VLOOKUP(C25,'Akquise-Liste'!$A:$E,4,FALSE()),"")</f>
        <v>Sabine Kowalski</v>
      </c>
      <c r="F25" s="25" t="s">
        <v>55</v>
      </c>
      <c r="G25" s="25" t="s">
        <v>287</v>
      </c>
      <c r="H25" s="39" t="s">
        <v>288</v>
      </c>
      <c r="I25" s="25"/>
      <c r="J25" s="31" t="s">
        <v>321</v>
      </c>
      <c r="K25" s="31" t="s">
        <v>311</v>
      </c>
    </row>
    <row r="26" spans="1:11" ht="27.75" customHeight="1" x14ac:dyDescent="0.25">
      <c r="A26" s="34">
        <v>46157</v>
      </c>
      <c r="B26" s="32" t="s">
        <v>295</v>
      </c>
      <c r="C26" s="32" t="s">
        <v>233</v>
      </c>
      <c r="D26" s="33" t="str">
        <f>IFERROR(VLOOKUP(C26,'Akquise-Liste'!$A:$E,2,FALSE()),"")</f>
        <v>Silberweg Logistics SE</v>
      </c>
      <c r="E26" s="33" t="str">
        <f>IFERROR(VLOOKUP(C26,'Akquise-Liste'!$A:$E,4,FALSE()),"")</f>
        <v>Carolin Hupfeld</v>
      </c>
      <c r="F26" s="32" t="s">
        <v>54</v>
      </c>
      <c r="G26" s="32" t="s">
        <v>287</v>
      </c>
      <c r="H26" s="40" t="s">
        <v>16</v>
      </c>
      <c r="I26" s="32">
        <v>5</v>
      </c>
      <c r="J26" s="38" t="s">
        <v>327</v>
      </c>
      <c r="K26" s="38" t="s">
        <v>306</v>
      </c>
    </row>
    <row r="27" spans="1:11" ht="27.75" customHeight="1" x14ac:dyDescent="0.25">
      <c r="A27" s="27">
        <v>46156</v>
      </c>
      <c r="B27" s="25" t="s">
        <v>328</v>
      </c>
      <c r="C27" s="25" t="s">
        <v>69</v>
      </c>
      <c r="D27" s="26" t="str">
        <f>IFERROR(VLOOKUP(C27,'Akquise-Liste'!$A:$E,2,FALSE()),"")</f>
        <v>Nordstern Maschinenbau GmbH</v>
      </c>
      <c r="E27" s="26" t="str">
        <f>IFERROR(VLOOKUP(C27,'Akquise-Liste'!$A:$E,4,FALSE()),"")</f>
        <v>Dr. Heinrich Baumgartner</v>
      </c>
      <c r="F27" s="25" t="s">
        <v>54</v>
      </c>
      <c r="G27" s="25" t="s">
        <v>300</v>
      </c>
      <c r="H27" s="39" t="s">
        <v>301</v>
      </c>
      <c r="I27" s="25">
        <v>18</v>
      </c>
      <c r="J27" s="31" t="s">
        <v>327</v>
      </c>
      <c r="K27" s="31" t="s">
        <v>306</v>
      </c>
    </row>
    <row r="28" spans="1:11" ht="27.75" customHeight="1" x14ac:dyDescent="0.25">
      <c r="A28" s="34">
        <v>46155</v>
      </c>
      <c r="B28" s="32" t="s">
        <v>328</v>
      </c>
      <c r="C28" s="32" t="s">
        <v>177</v>
      </c>
      <c r="D28" s="33" t="str">
        <f>IFERROR(VLOOKUP(C28,'Akquise-Liste'!$A:$E,2,FALSE()),"")</f>
        <v>Donau IT-Systems GmbH</v>
      </c>
      <c r="E28" s="33" t="str">
        <f>IFERROR(VLOOKUP(C28,'Akquise-Liste'!$A:$E,4,FALSE()),"")</f>
        <v>Stefan Mayrhofer</v>
      </c>
      <c r="F28" s="32" t="s">
        <v>54</v>
      </c>
      <c r="G28" s="32" t="s">
        <v>300</v>
      </c>
      <c r="H28" s="40" t="s">
        <v>301</v>
      </c>
      <c r="I28" s="32">
        <v>7</v>
      </c>
      <c r="J28" s="38" t="s">
        <v>289</v>
      </c>
      <c r="K28" s="38" t="s">
        <v>322</v>
      </c>
    </row>
    <row r="29" spans="1:11" ht="27.75" customHeight="1" x14ac:dyDescent="0.25">
      <c r="A29" s="27">
        <v>46154</v>
      </c>
      <c r="B29" s="25" t="s">
        <v>329</v>
      </c>
      <c r="C29" s="25" t="s">
        <v>254</v>
      </c>
      <c r="D29" s="26" t="str">
        <f>IFERROR(VLOOKUP(C29,'Akquise-Liste'!$A:$E,2,FALSE()),"")</f>
        <v>Rheingold Finanzpartner</v>
      </c>
      <c r="E29" s="26" t="str">
        <f>IFERROR(VLOOKUP(C29,'Akquise-Liste'!$A:$E,4,FALSE()),"")</f>
        <v>Klaus Wendelborn</v>
      </c>
      <c r="F29" s="25" t="s">
        <v>54</v>
      </c>
      <c r="G29" s="25" t="s">
        <v>287</v>
      </c>
      <c r="H29" s="39" t="s">
        <v>308</v>
      </c>
      <c r="I29" s="25">
        <v>18</v>
      </c>
      <c r="J29" s="31" t="s">
        <v>313</v>
      </c>
      <c r="K29" s="31" t="s">
        <v>294</v>
      </c>
    </row>
    <row r="30" spans="1:11" ht="27.75" customHeight="1" x14ac:dyDescent="0.25">
      <c r="A30" s="34">
        <v>46151</v>
      </c>
      <c r="B30" s="32" t="s">
        <v>317</v>
      </c>
      <c r="C30" s="32" t="s">
        <v>225</v>
      </c>
      <c r="D30" s="33" t="str">
        <f>IFERROR(VLOOKUP(C30,'Akquise-Liste'!$A:$E,2,FALSE()),"")</f>
        <v>Greifenstein Beratung mbH</v>
      </c>
      <c r="E30" s="33" t="str">
        <f>IFERROR(VLOOKUP(C30,'Akquise-Liste'!$A:$E,4,FALSE()),"")</f>
        <v>Bernhard Köhler</v>
      </c>
      <c r="F30" s="32" t="s">
        <v>325</v>
      </c>
      <c r="G30" s="32" t="s">
        <v>287</v>
      </c>
      <c r="H30" s="40" t="s">
        <v>16</v>
      </c>
      <c r="I30" s="32">
        <v>45</v>
      </c>
      <c r="J30" s="38" t="s">
        <v>321</v>
      </c>
      <c r="K30" s="38" t="s">
        <v>290</v>
      </c>
    </row>
    <row r="31" spans="1:11" ht="27.75" customHeight="1" x14ac:dyDescent="0.25">
      <c r="A31" s="27">
        <v>46150</v>
      </c>
      <c r="B31" s="25" t="s">
        <v>330</v>
      </c>
      <c r="C31" s="25" t="s">
        <v>254</v>
      </c>
      <c r="D31" s="26" t="str">
        <f>IFERROR(VLOOKUP(C31,'Akquise-Liste'!$A:$E,2,FALSE()),"")</f>
        <v>Rheingold Finanzpartner</v>
      </c>
      <c r="E31" s="26" t="str">
        <f>IFERROR(VLOOKUP(C31,'Akquise-Liste'!$A:$E,4,FALSE()),"")</f>
        <v>Klaus Wendelborn</v>
      </c>
      <c r="F31" s="25" t="s">
        <v>55</v>
      </c>
      <c r="G31" s="25" t="s">
        <v>287</v>
      </c>
      <c r="H31" s="39" t="s">
        <v>288</v>
      </c>
      <c r="I31" s="25"/>
      <c r="J31" s="31" t="s">
        <v>305</v>
      </c>
      <c r="K31" s="31" t="s">
        <v>298</v>
      </c>
    </row>
    <row r="32" spans="1:11" ht="27.75" customHeight="1" x14ac:dyDescent="0.25">
      <c r="A32" s="34">
        <v>46149</v>
      </c>
      <c r="B32" s="32" t="s">
        <v>324</v>
      </c>
      <c r="C32" s="32" t="s">
        <v>117</v>
      </c>
      <c r="D32" s="33" t="str">
        <f>IFERROR(VLOOKUP(C32,'Akquise-Liste'!$A:$E,2,FALSE()),"")</f>
        <v>Westfalen Engineering UG</v>
      </c>
      <c r="E32" s="33" t="str">
        <f>IFERROR(VLOOKUP(C32,'Akquise-Liste'!$A:$E,4,FALSE()),"")</f>
        <v>Sabine Kowalski</v>
      </c>
      <c r="F32" s="32" t="s">
        <v>54</v>
      </c>
      <c r="G32" s="32" t="s">
        <v>287</v>
      </c>
      <c r="H32" s="40" t="s">
        <v>288</v>
      </c>
      <c r="I32" s="32">
        <v>15</v>
      </c>
      <c r="J32" s="38" t="s">
        <v>313</v>
      </c>
      <c r="K32" s="38" t="s">
        <v>311</v>
      </c>
    </row>
    <row r="33" spans="1:11" ht="27.75" customHeight="1" x14ac:dyDescent="0.25">
      <c r="A33" s="27">
        <v>46149</v>
      </c>
      <c r="B33" s="25" t="s">
        <v>324</v>
      </c>
      <c r="C33" s="25" t="s">
        <v>200</v>
      </c>
      <c r="D33" s="26" t="str">
        <f>IFERROR(VLOOKUP(C33,'Akquise-Liste'!$A:$E,2,FALSE()),"")</f>
        <v>Vogelsang Handel KG</v>
      </c>
      <c r="E33" s="26" t="str">
        <f>IFERROR(VLOOKUP(C33,'Akquise-Liste'!$A:$E,4,FALSE()),"")</f>
        <v>Birgit Neumann</v>
      </c>
      <c r="F33" s="25" t="s">
        <v>54</v>
      </c>
      <c r="G33" s="25" t="s">
        <v>300</v>
      </c>
      <c r="H33" s="39" t="s">
        <v>301</v>
      </c>
      <c r="I33" s="25">
        <v>10</v>
      </c>
      <c r="J33" s="31" t="s">
        <v>327</v>
      </c>
      <c r="K33" s="31" t="s">
        <v>306</v>
      </c>
    </row>
    <row r="34" spans="1:11" ht="27.75" customHeight="1" x14ac:dyDescent="0.25">
      <c r="A34" s="34">
        <v>46147</v>
      </c>
      <c r="B34" s="32" t="s">
        <v>331</v>
      </c>
      <c r="C34" s="32" t="s">
        <v>125</v>
      </c>
      <c r="D34" s="33" t="str">
        <f>IFERROR(VLOOKUP(C34,'Akquise-Liste'!$A:$E,2,FALSE()),"")</f>
        <v>Sonnenfels Bauplanung</v>
      </c>
      <c r="E34" s="33" t="str">
        <f>IFERROR(VLOOKUP(C34,'Akquise-Liste'!$A:$E,4,FALSE()),"")</f>
        <v>Andreas Lechner</v>
      </c>
      <c r="F34" s="32" t="s">
        <v>55</v>
      </c>
      <c r="G34" s="32" t="s">
        <v>287</v>
      </c>
      <c r="H34" s="40" t="s">
        <v>288</v>
      </c>
      <c r="I34" s="32"/>
      <c r="J34" s="38" t="s">
        <v>309</v>
      </c>
      <c r="K34" s="38" t="s">
        <v>290</v>
      </c>
    </row>
    <row r="35" spans="1:11" ht="27.75" customHeight="1" x14ac:dyDescent="0.25">
      <c r="A35" s="27">
        <v>46147</v>
      </c>
      <c r="B35" s="25" t="s">
        <v>332</v>
      </c>
      <c r="C35" s="25" t="s">
        <v>225</v>
      </c>
      <c r="D35" s="26" t="str">
        <f>IFERROR(VLOOKUP(C35,'Akquise-Liste'!$A:$E,2,FALSE()),"")</f>
        <v>Greifenstein Beratung mbH</v>
      </c>
      <c r="E35" s="26" t="str">
        <f>IFERROR(VLOOKUP(C35,'Akquise-Liste'!$A:$E,4,FALSE()),"")</f>
        <v>Bernhard Köhler</v>
      </c>
      <c r="F35" s="25" t="s">
        <v>54</v>
      </c>
      <c r="G35" s="25" t="s">
        <v>300</v>
      </c>
      <c r="H35" s="39" t="s">
        <v>301</v>
      </c>
      <c r="I35" s="25">
        <v>2</v>
      </c>
      <c r="J35" s="31" t="s">
        <v>321</v>
      </c>
      <c r="K35" s="31" t="s">
        <v>311</v>
      </c>
    </row>
    <row r="36" spans="1:11" ht="27.75" customHeight="1" x14ac:dyDescent="0.25">
      <c r="A36" s="34">
        <v>46146</v>
      </c>
      <c r="B36" s="32" t="s">
        <v>307</v>
      </c>
      <c r="C36" s="32" t="s">
        <v>216</v>
      </c>
      <c r="D36" s="33" t="str">
        <f>IFERROR(VLOOKUP(C36,'Akquise-Liste'!$A:$E,2,FALSE()),"")</f>
        <v>Klarbach Lebensmittel GmbH</v>
      </c>
      <c r="E36" s="33" t="str">
        <f>IFERROR(VLOOKUP(C36,'Akquise-Liste'!$A:$E,4,FALSE()),"")</f>
        <v>Ines Falkenberg</v>
      </c>
      <c r="F36" s="32" t="s">
        <v>54</v>
      </c>
      <c r="G36" s="32" t="s">
        <v>287</v>
      </c>
      <c r="H36" s="40" t="s">
        <v>292</v>
      </c>
      <c r="I36" s="32">
        <v>10</v>
      </c>
      <c r="J36" s="38" t="s">
        <v>305</v>
      </c>
      <c r="K36" s="38" t="s">
        <v>310</v>
      </c>
    </row>
    <row r="37" spans="1:11" ht="27.75" customHeight="1" x14ac:dyDescent="0.25">
      <c r="A37" s="27">
        <v>46145</v>
      </c>
      <c r="B37" s="25" t="s">
        <v>323</v>
      </c>
      <c r="C37" s="25" t="s">
        <v>90</v>
      </c>
      <c r="D37" s="26" t="str">
        <f>IFERROR(VLOOKUP(C37,'Akquise-Liste'!$A:$E,2,FALSE()),"")</f>
        <v>Bergstein Consulting GmbH</v>
      </c>
      <c r="E37" s="26" t="str">
        <f>IFERROR(VLOOKUP(C37,'Akquise-Liste'!$A:$E,4,FALSE()),"")</f>
        <v>Markus Steinhoff</v>
      </c>
      <c r="F37" s="25" t="s">
        <v>54</v>
      </c>
      <c r="G37" s="25" t="s">
        <v>287</v>
      </c>
      <c r="H37" s="39" t="s">
        <v>16</v>
      </c>
      <c r="I37" s="25">
        <v>2</v>
      </c>
      <c r="J37" s="31" t="s">
        <v>296</v>
      </c>
      <c r="K37" s="31" t="s">
        <v>310</v>
      </c>
    </row>
    <row r="38" spans="1:11" ht="27.75" customHeight="1" x14ac:dyDescent="0.25">
      <c r="A38" s="34">
        <v>46145</v>
      </c>
      <c r="B38" s="32" t="s">
        <v>333</v>
      </c>
      <c r="C38" s="32" t="s">
        <v>177</v>
      </c>
      <c r="D38" s="33" t="str">
        <f>IFERROR(VLOOKUP(C38,'Akquise-Liste'!$A:$E,2,FALSE()),"")</f>
        <v>Donau IT-Systems GmbH</v>
      </c>
      <c r="E38" s="33" t="str">
        <f>IFERROR(VLOOKUP(C38,'Akquise-Liste'!$A:$E,4,FALSE()),"")</f>
        <v>Stefan Mayrhofer</v>
      </c>
      <c r="F38" s="32" t="s">
        <v>54</v>
      </c>
      <c r="G38" s="32" t="s">
        <v>300</v>
      </c>
      <c r="H38" s="40" t="s">
        <v>301</v>
      </c>
      <c r="I38" s="32">
        <v>25</v>
      </c>
      <c r="J38" s="38" t="s">
        <v>289</v>
      </c>
      <c r="K38" s="38" t="s">
        <v>311</v>
      </c>
    </row>
    <row r="39" spans="1:11" ht="27.75" customHeight="1" x14ac:dyDescent="0.25">
      <c r="A39" s="27">
        <v>46142</v>
      </c>
      <c r="B39" s="25" t="s">
        <v>314</v>
      </c>
      <c r="C39" s="25" t="s">
        <v>254</v>
      </c>
      <c r="D39" s="26" t="str">
        <f>IFERROR(VLOOKUP(C39,'Akquise-Liste'!$A:$E,2,FALSE()),"")</f>
        <v>Rheingold Finanzpartner</v>
      </c>
      <c r="E39" s="26" t="str">
        <f>IFERROR(VLOOKUP(C39,'Akquise-Liste'!$A:$E,4,FALSE()),"")</f>
        <v>Klaus Wendelborn</v>
      </c>
      <c r="F39" s="25" t="s">
        <v>325</v>
      </c>
      <c r="G39" s="25" t="s">
        <v>287</v>
      </c>
      <c r="H39" s="39" t="s">
        <v>16</v>
      </c>
      <c r="I39" s="25">
        <v>60</v>
      </c>
      <c r="J39" s="31" t="s">
        <v>305</v>
      </c>
      <c r="K39" s="31" t="s">
        <v>298</v>
      </c>
    </row>
    <row r="40" spans="1:11" ht="27.75" customHeight="1" x14ac:dyDescent="0.25">
      <c r="A40" s="34">
        <v>46141</v>
      </c>
      <c r="B40" s="32" t="s">
        <v>334</v>
      </c>
      <c r="C40" s="32" t="s">
        <v>125</v>
      </c>
      <c r="D40" s="33" t="str">
        <f>IFERROR(VLOOKUP(C40,'Akquise-Liste'!$A:$E,2,FALSE()),"")</f>
        <v>Sonnenfels Bauplanung</v>
      </c>
      <c r="E40" s="33" t="str">
        <f>IFERROR(VLOOKUP(C40,'Akquise-Liste'!$A:$E,4,FALSE()),"")</f>
        <v>Andreas Lechner</v>
      </c>
      <c r="F40" s="32" t="s">
        <v>54</v>
      </c>
      <c r="G40" s="32" t="s">
        <v>287</v>
      </c>
      <c r="H40" s="40" t="s">
        <v>16</v>
      </c>
      <c r="I40" s="32">
        <v>10</v>
      </c>
      <c r="J40" s="38" t="s">
        <v>319</v>
      </c>
      <c r="K40" s="38" t="s">
        <v>335</v>
      </c>
    </row>
    <row r="41" spans="1:11" ht="27.75" customHeight="1" x14ac:dyDescent="0.25">
      <c r="A41" s="27">
        <v>46141</v>
      </c>
      <c r="B41" s="25" t="s">
        <v>307</v>
      </c>
      <c r="C41" s="25" t="s">
        <v>225</v>
      </c>
      <c r="D41" s="26" t="str">
        <f>IFERROR(VLOOKUP(C41,'Akquise-Liste'!$A:$E,2,FALSE()),"")</f>
        <v>Greifenstein Beratung mbH</v>
      </c>
      <c r="E41" s="26" t="str">
        <f>IFERROR(VLOOKUP(C41,'Akquise-Liste'!$A:$E,4,FALSE()),"")</f>
        <v>Bernhard Köhler</v>
      </c>
      <c r="F41" s="25" t="s">
        <v>54</v>
      </c>
      <c r="G41" s="25" t="s">
        <v>287</v>
      </c>
      <c r="H41" s="39" t="s">
        <v>292</v>
      </c>
      <c r="I41" s="25">
        <v>22</v>
      </c>
      <c r="J41" s="31" t="s">
        <v>289</v>
      </c>
      <c r="K41" s="31" t="s">
        <v>318</v>
      </c>
    </row>
    <row r="42" spans="1:11" ht="27.75" customHeight="1" x14ac:dyDescent="0.25">
      <c r="A42" s="34">
        <v>46132</v>
      </c>
      <c r="B42" s="32" t="s">
        <v>336</v>
      </c>
      <c r="C42" s="32" t="s">
        <v>110</v>
      </c>
      <c r="D42" s="33" t="str">
        <f>IFERROR(VLOOKUP(C42,'Akquise-Liste'!$A:$E,2,FALSE()),"")</f>
        <v>Frankfurter Werkzeugbau GmbH</v>
      </c>
      <c r="E42" s="33" t="str">
        <f>IFERROR(VLOOKUP(C42,'Akquise-Liste'!$A:$E,4,FALSE()),"")</f>
        <v>Wolfgang Möller</v>
      </c>
      <c r="F42" s="32" t="s">
        <v>54</v>
      </c>
      <c r="G42" s="32" t="s">
        <v>287</v>
      </c>
      <c r="H42" s="40" t="s">
        <v>288</v>
      </c>
      <c r="I42" s="32">
        <v>25</v>
      </c>
      <c r="J42" s="38" t="s">
        <v>316</v>
      </c>
      <c r="K42" s="38" t="s">
        <v>297</v>
      </c>
    </row>
    <row r="43" spans="1:11" ht="27.75" customHeight="1" x14ac:dyDescent="0.25">
      <c r="A43" s="27">
        <v>46132</v>
      </c>
      <c r="B43" s="25" t="s">
        <v>299</v>
      </c>
      <c r="C43" s="25" t="s">
        <v>216</v>
      </c>
      <c r="D43" s="26" t="str">
        <f>IFERROR(VLOOKUP(C43,'Akquise-Liste'!$A:$E,2,FALSE()),"")</f>
        <v>Klarbach Lebensmittel GmbH</v>
      </c>
      <c r="E43" s="26" t="str">
        <f>IFERROR(VLOOKUP(C43,'Akquise-Liste'!$A:$E,4,FALSE()),"")</f>
        <v>Ines Falkenberg</v>
      </c>
      <c r="F43" s="25" t="s">
        <v>54</v>
      </c>
      <c r="G43" s="25" t="s">
        <v>287</v>
      </c>
      <c r="H43" s="39" t="s">
        <v>337</v>
      </c>
      <c r="I43" s="25">
        <v>15</v>
      </c>
      <c r="J43" s="31" t="s">
        <v>338</v>
      </c>
      <c r="K43" s="31" t="s">
        <v>294</v>
      </c>
    </row>
    <row r="44" spans="1:11" ht="27.75" customHeight="1" x14ac:dyDescent="0.25">
      <c r="A44" s="34">
        <v>46130</v>
      </c>
      <c r="B44" s="32" t="s">
        <v>332</v>
      </c>
      <c r="C44" s="32" t="s">
        <v>216</v>
      </c>
      <c r="D44" s="33" t="str">
        <f>IFERROR(VLOOKUP(C44,'Akquise-Liste'!$A:$E,2,FALSE()),"")</f>
        <v>Klarbach Lebensmittel GmbH</v>
      </c>
      <c r="E44" s="33" t="str">
        <f>IFERROR(VLOOKUP(C44,'Akquise-Liste'!$A:$E,4,FALSE()),"")</f>
        <v>Ines Falkenberg</v>
      </c>
      <c r="F44" s="32" t="s">
        <v>54</v>
      </c>
      <c r="G44" s="32" t="s">
        <v>300</v>
      </c>
      <c r="H44" s="40" t="s">
        <v>301</v>
      </c>
      <c r="I44" s="32">
        <v>8</v>
      </c>
      <c r="J44" s="38" t="s">
        <v>316</v>
      </c>
      <c r="K44" s="38" t="s">
        <v>306</v>
      </c>
    </row>
    <row r="45" spans="1:11" ht="27.75" customHeight="1" x14ac:dyDescent="0.25">
      <c r="A45" s="27">
        <v>46130</v>
      </c>
      <c r="B45" s="25" t="s">
        <v>339</v>
      </c>
      <c r="C45" s="25" t="s">
        <v>241</v>
      </c>
      <c r="D45" s="26" t="str">
        <f>IFERROR(VLOOKUP(C45,'Akquise-Liste'!$A:$E,2,FALSE()),"")</f>
        <v>Tannenhof Bauelemente</v>
      </c>
      <c r="E45" s="26" t="str">
        <f>IFERROR(VLOOKUP(C45,'Akquise-Liste'!$A:$E,4,FALSE()),"")</f>
        <v>Jürgen Maibach</v>
      </c>
      <c r="F45" s="25" t="s">
        <v>54</v>
      </c>
      <c r="G45" s="25" t="s">
        <v>300</v>
      </c>
      <c r="H45" s="39" t="s">
        <v>301</v>
      </c>
      <c r="I45" s="25">
        <v>8</v>
      </c>
      <c r="J45" s="31" t="s">
        <v>338</v>
      </c>
      <c r="K45" s="31" t="s">
        <v>306</v>
      </c>
    </row>
    <row r="46" spans="1:11" ht="27.75" customHeight="1" x14ac:dyDescent="0.25">
      <c r="A46" s="34">
        <v>46127</v>
      </c>
      <c r="B46" s="32" t="s">
        <v>324</v>
      </c>
      <c r="C46" s="32" t="s">
        <v>125</v>
      </c>
      <c r="D46" s="33" t="str">
        <f>IFERROR(VLOOKUP(C46,'Akquise-Liste'!$A:$E,2,FALSE()),"")</f>
        <v>Sonnenfels Bauplanung</v>
      </c>
      <c r="E46" s="33" t="str">
        <f>IFERROR(VLOOKUP(C46,'Akquise-Liste'!$A:$E,4,FALSE()),"")</f>
        <v>Andreas Lechner</v>
      </c>
      <c r="F46" s="32" t="s">
        <v>54</v>
      </c>
      <c r="G46" s="32" t="s">
        <v>287</v>
      </c>
      <c r="H46" s="40" t="s">
        <v>239</v>
      </c>
      <c r="I46" s="32">
        <v>22</v>
      </c>
      <c r="J46" s="38" t="s">
        <v>340</v>
      </c>
      <c r="K46" s="38" t="s">
        <v>290</v>
      </c>
    </row>
    <row r="47" spans="1:11" ht="27.75" customHeight="1" x14ac:dyDescent="0.25">
      <c r="A47" s="27">
        <v>46125</v>
      </c>
      <c r="B47" s="25" t="s">
        <v>341</v>
      </c>
      <c r="C47" s="25" t="s">
        <v>80</v>
      </c>
      <c r="D47" s="26" t="str">
        <f>IFERROR(VLOOKUP(C47,'Akquise-Liste'!$A:$E,2,FALSE()),"")</f>
        <v>Adler Logistik AG</v>
      </c>
      <c r="E47" s="26" t="str">
        <f>IFERROR(VLOOKUP(C47,'Akquise-Liste'!$A:$E,4,FALSE()),"")</f>
        <v>Petra Vollmer</v>
      </c>
      <c r="F47" s="25" t="s">
        <v>55</v>
      </c>
      <c r="G47" s="25" t="s">
        <v>287</v>
      </c>
      <c r="H47" s="39" t="s">
        <v>288</v>
      </c>
      <c r="I47" s="25"/>
      <c r="J47" s="31" t="s">
        <v>342</v>
      </c>
      <c r="K47" s="31" t="s">
        <v>310</v>
      </c>
    </row>
    <row r="48" spans="1:11" ht="27.75" customHeight="1" x14ac:dyDescent="0.25">
      <c r="A48" s="34">
        <v>46123</v>
      </c>
      <c r="B48" s="32" t="s">
        <v>332</v>
      </c>
      <c r="C48" s="32" t="s">
        <v>125</v>
      </c>
      <c r="D48" s="33" t="str">
        <f>IFERROR(VLOOKUP(C48,'Akquise-Liste'!$A:$E,2,FALSE()),"")</f>
        <v>Sonnenfels Bauplanung</v>
      </c>
      <c r="E48" s="33" t="str">
        <f>IFERROR(VLOOKUP(C48,'Akquise-Liste'!$A:$E,4,FALSE()),"")</f>
        <v>Andreas Lechner</v>
      </c>
      <c r="F48" s="32" t="s">
        <v>54</v>
      </c>
      <c r="G48" s="32" t="s">
        <v>287</v>
      </c>
      <c r="H48" s="40" t="s">
        <v>292</v>
      </c>
      <c r="I48" s="32">
        <v>12</v>
      </c>
      <c r="J48" s="38" t="s">
        <v>340</v>
      </c>
      <c r="K48" s="38" t="s">
        <v>294</v>
      </c>
    </row>
    <row r="49" spans="1:11" ht="27.75" customHeight="1" x14ac:dyDescent="0.25">
      <c r="A49" s="27">
        <v>46122</v>
      </c>
      <c r="B49" s="25" t="s">
        <v>343</v>
      </c>
      <c r="C49" s="25" t="s">
        <v>184</v>
      </c>
      <c r="D49" s="26" t="str">
        <f>IFERROR(VLOOKUP(C49,'Akquise-Liste'!$A:$E,2,FALSE()),"")</f>
        <v>Mosel Verlagsgesellschaft mbH</v>
      </c>
      <c r="E49" s="26" t="str">
        <f>IFERROR(VLOOKUP(C49,'Akquise-Liste'!$A:$E,4,FALSE()),"")</f>
        <v>Christine Adler</v>
      </c>
      <c r="F49" s="25" t="s">
        <v>54</v>
      </c>
      <c r="G49" s="25" t="s">
        <v>287</v>
      </c>
      <c r="H49" s="39" t="s">
        <v>239</v>
      </c>
      <c r="I49" s="25">
        <v>10</v>
      </c>
      <c r="J49" s="31" t="s">
        <v>338</v>
      </c>
      <c r="K49" s="31" t="s">
        <v>298</v>
      </c>
    </row>
    <row r="50" spans="1:11" ht="27.75" customHeight="1" x14ac:dyDescent="0.25">
      <c r="A50" s="34">
        <v>46122</v>
      </c>
      <c r="B50" s="32" t="s">
        <v>317</v>
      </c>
      <c r="C50" s="32" t="s">
        <v>216</v>
      </c>
      <c r="D50" s="33" t="str">
        <f>IFERROR(VLOOKUP(C50,'Akquise-Liste'!$A:$E,2,FALSE()),"")</f>
        <v>Klarbach Lebensmittel GmbH</v>
      </c>
      <c r="E50" s="33" t="str">
        <f>IFERROR(VLOOKUP(C50,'Akquise-Liste'!$A:$E,4,FALSE()),"")</f>
        <v>Ines Falkenberg</v>
      </c>
      <c r="F50" s="32" t="s">
        <v>54</v>
      </c>
      <c r="G50" s="32" t="s">
        <v>300</v>
      </c>
      <c r="H50" s="40" t="s">
        <v>301</v>
      </c>
      <c r="I50" s="32">
        <v>3</v>
      </c>
      <c r="J50" s="38" t="s">
        <v>319</v>
      </c>
      <c r="K50" s="38" t="s">
        <v>298</v>
      </c>
    </row>
    <row r="51" spans="1:11" ht="27.75" customHeight="1" x14ac:dyDescent="0.25">
      <c r="A51" s="27">
        <v>46117</v>
      </c>
      <c r="B51" s="25" t="s">
        <v>314</v>
      </c>
      <c r="C51" s="25" t="s">
        <v>90</v>
      </c>
      <c r="D51" s="26" t="str">
        <f>IFERROR(VLOOKUP(C51,'Akquise-Liste'!$A:$E,2,FALSE()),"")</f>
        <v>Bergstein Consulting GmbH</v>
      </c>
      <c r="E51" s="26" t="str">
        <f>IFERROR(VLOOKUP(C51,'Akquise-Liste'!$A:$E,4,FALSE()),"")</f>
        <v>Markus Steinhoff</v>
      </c>
      <c r="F51" s="25" t="s">
        <v>54</v>
      </c>
      <c r="G51" s="25" t="s">
        <v>300</v>
      </c>
      <c r="H51" s="39" t="s">
        <v>301</v>
      </c>
      <c r="I51" s="25">
        <v>7</v>
      </c>
      <c r="J51" s="31" t="s">
        <v>309</v>
      </c>
      <c r="K51" s="31" t="s">
        <v>306</v>
      </c>
    </row>
    <row r="52" spans="1:11" ht="27.75" customHeight="1" x14ac:dyDescent="0.25">
      <c r="A52" s="34">
        <v>46117</v>
      </c>
      <c r="B52" s="32" t="s">
        <v>334</v>
      </c>
      <c r="C52" s="32" t="s">
        <v>241</v>
      </c>
      <c r="D52" s="33" t="str">
        <f>IFERROR(VLOOKUP(C52,'Akquise-Liste'!$A:$E,2,FALSE()),"")</f>
        <v>Tannenhof Bauelemente</v>
      </c>
      <c r="E52" s="33" t="str">
        <f>IFERROR(VLOOKUP(C52,'Akquise-Liste'!$A:$E,4,FALSE()),"")</f>
        <v>Jürgen Maibach</v>
      </c>
      <c r="F52" s="32" t="s">
        <v>54</v>
      </c>
      <c r="G52" s="32" t="s">
        <v>287</v>
      </c>
      <c r="H52" s="40" t="s">
        <v>337</v>
      </c>
      <c r="I52" s="32">
        <v>8</v>
      </c>
      <c r="J52" s="38" t="s">
        <v>309</v>
      </c>
      <c r="K52" s="38" t="s">
        <v>335</v>
      </c>
    </row>
    <row r="53" spans="1:11" ht="27.75" customHeight="1" x14ac:dyDescent="0.25">
      <c r="A53" s="27">
        <v>46116</v>
      </c>
      <c r="B53" s="25" t="s">
        <v>328</v>
      </c>
      <c r="C53" s="25" t="s">
        <v>141</v>
      </c>
      <c r="D53" s="26" t="str">
        <f>IFERROR(VLOOKUP(C53,'Akquise-Liste'!$A:$E,2,FALSE()),"")</f>
        <v>TechVision Innovations GmbH</v>
      </c>
      <c r="E53" s="26" t="str">
        <f>IFERROR(VLOOKUP(C53,'Akquise-Liste'!$A:$E,4,FALSE()),"")</f>
        <v>Felix Brandtner</v>
      </c>
      <c r="F53" s="25" t="s">
        <v>54</v>
      </c>
      <c r="G53" s="25" t="s">
        <v>287</v>
      </c>
      <c r="H53" s="39" t="s">
        <v>308</v>
      </c>
      <c r="I53" s="25">
        <v>2</v>
      </c>
      <c r="J53" s="31" t="s">
        <v>340</v>
      </c>
      <c r="K53" s="31" t="s">
        <v>311</v>
      </c>
    </row>
    <row r="54" spans="1:11" ht="27.75" customHeight="1" x14ac:dyDescent="0.25">
      <c r="A54" s="34">
        <v>46116</v>
      </c>
      <c r="B54" s="32" t="s">
        <v>343</v>
      </c>
      <c r="C54" s="32" t="s">
        <v>261</v>
      </c>
      <c r="D54" s="33" t="str">
        <f>IFERROR(VLOOKUP(C54,'Akquise-Liste'!$A:$E,2,FALSE()),"")</f>
        <v>Falkenberg Sondermaschinen</v>
      </c>
      <c r="E54" s="33" t="str">
        <f>IFERROR(VLOOKUP(C54,'Akquise-Liste'!$A:$E,4,FALSE()),"")</f>
        <v>Daniela Roth</v>
      </c>
      <c r="F54" s="32" t="s">
        <v>28</v>
      </c>
      <c r="G54" s="32" t="s">
        <v>287</v>
      </c>
      <c r="H54" s="40" t="s">
        <v>288</v>
      </c>
      <c r="I54" s="32"/>
      <c r="J54" s="38" t="s">
        <v>340</v>
      </c>
      <c r="K54" s="38" t="s">
        <v>297</v>
      </c>
    </row>
    <row r="55" spans="1:11" ht="27.75" customHeight="1" x14ac:dyDescent="0.25">
      <c r="A55" s="27">
        <v>46115</v>
      </c>
      <c r="B55" s="25" t="s">
        <v>315</v>
      </c>
      <c r="C55" s="25" t="s">
        <v>80</v>
      </c>
      <c r="D55" s="26" t="str">
        <f>IFERROR(VLOOKUP(C55,'Akquise-Liste'!$A:$E,2,FALSE()),"")</f>
        <v>Adler Logistik AG</v>
      </c>
      <c r="E55" s="26" t="str">
        <f>IFERROR(VLOOKUP(C55,'Akquise-Liste'!$A:$E,4,FALSE()),"")</f>
        <v>Petra Vollmer</v>
      </c>
      <c r="F55" s="25" t="s">
        <v>54</v>
      </c>
      <c r="G55" s="25" t="s">
        <v>287</v>
      </c>
      <c r="H55" s="39" t="s">
        <v>337</v>
      </c>
      <c r="I55" s="25">
        <v>5</v>
      </c>
      <c r="J55" s="31" t="s">
        <v>293</v>
      </c>
      <c r="K55" s="31" t="s">
        <v>290</v>
      </c>
    </row>
    <row r="56" spans="1:11" ht="27.75" customHeight="1" x14ac:dyDescent="0.25">
      <c r="A56" s="34">
        <v>46115</v>
      </c>
      <c r="B56" s="32" t="s">
        <v>286</v>
      </c>
      <c r="C56" s="32" t="s">
        <v>184</v>
      </c>
      <c r="D56" s="33" t="str">
        <f>IFERROR(VLOOKUP(C56,'Akquise-Liste'!$A:$E,2,FALSE()),"")</f>
        <v>Mosel Verlagsgesellschaft mbH</v>
      </c>
      <c r="E56" s="33" t="str">
        <f>IFERROR(VLOOKUP(C56,'Akquise-Liste'!$A:$E,4,FALSE()),"")</f>
        <v>Christine Adler</v>
      </c>
      <c r="F56" s="32" t="s">
        <v>54</v>
      </c>
      <c r="G56" s="32" t="s">
        <v>287</v>
      </c>
      <c r="H56" s="40" t="s">
        <v>288</v>
      </c>
      <c r="I56" s="32">
        <v>15</v>
      </c>
      <c r="J56" s="38" t="s">
        <v>327</v>
      </c>
      <c r="K56" s="38" t="s">
        <v>294</v>
      </c>
    </row>
    <row r="57" spans="1:11" ht="27.75" customHeight="1" x14ac:dyDescent="0.25">
      <c r="A57" s="27">
        <v>46115</v>
      </c>
      <c r="B57" s="25" t="s">
        <v>328</v>
      </c>
      <c r="C57" s="25" t="s">
        <v>241</v>
      </c>
      <c r="D57" s="26" t="str">
        <f>IFERROR(VLOOKUP(C57,'Akquise-Liste'!$A:$E,2,FALSE()),"")</f>
        <v>Tannenhof Bauelemente</v>
      </c>
      <c r="E57" s="26" t="str">
        <f>IFERROR(VLOOKUP(C57,'Akquise-Liste'!$A:$E,4,FALSE()),"")</f>
        <v>Jürgen Maibach</v>
      </c>
      <c r="F57" s="25" t="s">
        <v>54</v>
      </c>
      <c r="G57" s="25" t="s">
        <v>287</v>
      </c>
      <c r="H57" s="39" t="s">
        <v>288</v>
      </c>
      <c r="I57" s="25">
        <v>7</v>
      </c>
      <c r="J57" s="31" t="s">
        <v>327</v>
      </c>
      <c r="K57" s="31" t="s">
        <v>311</v>
      </c>
    </row>
    <row r="58" spans="1:11" ht="27.75" customHeight="1" x14ac:dyDescent="0.25">
      <c r="A58" s="34">
        <v>46113</v>
      </c>
      <c r="B58" s="32" t="s">
        <v>344</v>
      </c>
      <c r="C58" s="32" t="s">
        <v>261</v>
      </c>
      <c r="D58" s="33" t="str">
        <f>IFERROR(VLOOKUP(C58,'Akquise-Liste'!$A:$E,2,FALSE()),"")</f>
        <v>Falkenberg Sondermaschinen</v>
      </c>
      <c r="E58" s="33" t="str">
        <f>IFERROR(VLOOKUP(C58,'Akquise-Liste'!$A:$E,4,FALSE()),"")</f>
        <v>Daniela Roth</v>
      </c>
      <c r="F58" s="32" t="s">
        <v>54</v>
      </c>
      <c r="G58" s="32" t="s">
        <v>287</v>
      </c>
      <c r="H58" s="40" t="s">
        <v>292</v>
      </c>
      <c r="I58" s="32">
        <v>5</v>
      </c>
      <c r="J58" s="38" t="s">
        <v>313</v>
      </c>
      <c r="K58" s="38" t="s">
        <v>318</v>
      </c>
    </row>
    <row r="59" spans="1:11" ht="27.75" customHeight="1" x14ac:dyDescent="0.25">
      <c r="A59" s="27">
        <v>46111</v>
      </c>
      <c r="B59" s="25" t="s">
        <v>295</v>
      </c>
      <c r="C59" s="25" t="s">
        <v>80</v>
      </c>
      <c r="D59" s="26" t="str">
        <f>IFERROR(VLOOKUP(C59,'Akquise-Liste'!$A:$E,2,FALSE()),"")</f>
        <v>Adler Logistik AG</v>
      </c>
      <c r="E59" s="26" t="str">
        <f>IFERROR(VLOOKUP(C59,'Akquise-Liste'!$A:$E,4,FALSE()),"")</f>
        <v>Petra Vollmer</v>
      </c>
      <c r="F59" s="25" t="s">
        <v>54</v>
      </c>
      <c r="G59" s="25" t="s">
        <v>287</v>
      </c>
      <c r="H59" s="39" t="s">
        <v>345</v>
      </c>
      <c r="I59" s="25">
        <v>2</v>
      </c>
      <c r="J59" s="31" t="s">
        <v>293</v>
      </c>
      <c r="K59" s="31" t="s">
        <v>322</v>
      </c>
    </row>
    <row r="60" spans="1:11" ht="27.75" customHeight="1" x14ac:dyDescent="0.25">
      <c r="A60" s="34">
        <v>46111</v>
      </c>
      <c r="B60" s="32" t="s">
        <v>346</v>
      </c>
      <c r="C60" s="32" t="s">
        <v>168</v>
      </c>
      <c r="D60" s="33" t="str">
        <f>IFERROR(VLOOKUP(C60,'Akquise-Liste'!$A:$E,2,FALSE()),"")</f>
        <v>Schwarzwald Pharma GmbH</v>
      </c>
      <c r="E60" s="33" t="str">
        <f>IFERROR(VLOOKUP(C60,'Akquise-Liste'!$A:$E,4,FALSE()),"")</f>
        <v>Dr. Miriam Holzer</v>
      </c>
      <c r="F60" s="32" t="s">
        <v>54</v>
      </c>
      <c r="G60" s="32" t="s">
        <v>287</v>
      </c>
      <c r="H60" s="40" t="s">
        <v>292</v>
      </c>
      <c r="I60" s="32">
        <v>15</v>
      </c>
      <c r="J60" s="38" t="s">
        <v>309</v>
      </c>
      <c r="K60" s="38" t="s">
        <v>311</v>
      </c>
    </row>
    <row r="61" spans="1:11" ht="27.75" customHeight="1" x14ac:dyDescent="0.25">
      <c r="A61" s="27">
        <v>46109</v>
      </c>
      <c r="B61" s="25" t="s">
        <v>343</v>
      </c>
      <c r="C61" s="25" t="s">
        <v>241</v>
      </c>
      <c r="D61" s="26" t="str">
        <f>IFERROR(VLOOKUP(C61,'Akquise-Liste'!$A:$E,2,FALSE()),"")</f>
        <v>Tannenhof Bauelemente</v>
      </c>
      <c r="E61" s="26" t="str">
        <f>IFERROR(VLOOKUP(C61,'Akquise-Liste'!$A:$E,4,FALSE()),"")</f>
        <v>Jürgen Maibach</v>
      </c>
      <c r="F61" s="25" t="s">
        <v>54</v>
      </c>
      <c r="G61" s="25" t="s">
        <v>287</v>
      </c>
      <c r="H61" s="39" t="s">
        <v>16</v>
      </c>
      <c r="I61" s="25">
        <v>22</v>
      </c>
      <c r="J61" s="31" t="s">
        <v>321</v>
      </c>
      <c r="K61" s="31" t="s">
        <v>318</v>
      </c>
    </row>
    <row r="62" spans="1:11" ht="27.75" customHeight="1" x14ac:dyDescent="0.25">
      <c r="A62" s="34">
        <v>46107</v>
      </c>
      <c r="B62" s="32" t="s">
        <v>326</v>
      </c>
      <c r="C62" s="32" t="s">
        <v>168</v>
      </c>
      <c r="D62" s="33" t="str">
        <f>IFERROR(VLOOKUP(C62,'Akquise-Liste'!$A:$E,2,FALSE()),"")</f>
        <v>Schwarzwald Pharma GmbH</v>
      </c>
      <c r="E62" s="33" t="str">
        <f>IFERROR(VLOOKUP(C62,'Akquise-Liste'!$A:$E,4,FALSE()),"")</f>
        <v>Dr. Miriam Holzer</v>
      </c>
      <c r="F62" s="32" t="s">
        <v>54</v>
      </c>
      <c r="G62" s="32" t="s">
        <v>300</v>
      </c>
      <c r="H62" s="40" t="s">
        <v>301</v>
      </c>
      <c r="I62" s="32">
        <v>5</v>
      </c>
      <c r="J62" s="38" t="s">
        <v>316</v>
      </c>
      <c r="K62" s="38" t="s">
        <v>294</v>
      </c>
    </row>
    <row r="63" spans="1:11" ht="27.75" customHeight="1" x14ac:dyDescent="0.25">
      <c r="A63" s="27">
        <v>46106</v>
      </c>
      <c r="B63" s="25" t="s">
        <v>343</v>
      </c>
      <c r="C63" s="25" t="s">
        <v>90</v>
      </c>
      <c r="D63" s="26" t="str">
        <f>IFERROR(VLOOKUP(C63,'Akquise-Liste'!$A:$E,2,FALSE()),"")</f>
        <v>Bergstein Consulting GmbH</v>
      </c>
      <c r="E63" s="26" t="str">
        <f>IFERROR(VLOOKUP(C63,'Akquise-Liste'!$A:$E,4,FALSE()),"")</f>
        <v>Markus Steinhoff</v>
      </c>
      <c r="F63" s="25" t="s">
        <v>28</v>
      </c>
      <c r="G63" s="25" t="s">
        <v>287</v>
      </c>
      <c r="H63" s="39" t="s">
        <v>288</v>
      </c>
      <c r="I63" s="25"/>
      <c r="J63" s="31" t="s">
        <v>338</v>
      </c>
      <c r="K63" s="31" t="s">
        <v>310</v>
      </c>
    </row>
    <row r="64" spans="1:11" ht="27.75" customHeight="1" x14ac:dyDescent="0.25">
      <c r="A64" s="34">
        <v>46106</v>
      </c>
      <c r="B64" s="32" t="s">
        <v>320</v>
      </c>
      <c r="C64" s="32" t="s">
        <v>160</v>
      </c>
      <c r="D64" s="33" t="str">
        <f>IFERROR(VLOOKUP(C64,'Akquise-Liste'!$A:$E,2,FALSE()),"")</f>
        <v>Lindenberg &amp; Partner KG</v>
      </c>
      <c r="E64" s="33" t="str">
        <f>IFERROR(VLOOKUP(C64,'Akquise-Liste'!$A:$E,4,FALSE()),"")</f>
        <v>Hans-Jürgen Lindenberg</v>
      </c>
      <c r="F64" s="32" t="s">
        <v>54</v>
      </c>
      <c r="G64" s="32" t="s">
        <v>287</v>
      </c>
      <c r="H64" s="40" t="s">
        <v>239</v>
      </c>
      <c r="I64" s="32">
        <v>3</v>
      </c>
      <c r="J64" s="38" t="s">
        <v>313</v>
      </c>
      <c r="K64" s="38" t="s">
        <v>335</v>
      </c>
    </row>
    <row r="65" spans="1:11" ht="27.75" customHeight="1" x14ac:dyDescent="0.25">
      <c r="A65" s="27">
        <v>46103</v>
      </c>
      <c r="B65" s="25" t="s">
        <v>326</v>
      </c>
      <c r="C65" s="25" t="s">
        <v>90</v>
      </c>
      <c r="D65" s="26" t="str">
        <f>IFERROR(VLOOKUP(C65,'Akquise-Liste'!$A:$E,2,FALSE()),"")</f>
        <v>Bergstein Consulting GmbH</v>
      </c>
      <c r="E65" s="26" t="str">
        <f>IFERROR(VLOOKUP(C65,'Akquise-Liste'!$A:$E,4,FALSE()),"")</f>
        <v>Markus Steinhoff</v>
      </c>
      <c r="F65" s="25" t="s">
        <v>28</v>
      </c>
      <c r="G65" s="25" t="s">
        <v>287</v>
      </c>
      <c r="H65" s="39" t="s">
        <v>288</v>
      </c>
      <c r="I65" s="25"/>
      <c r="J65" s="31" t="s">
        <v>327</v>
      </c>
      <c r="K65" s="31" t="s">
        <v>298</v>
      </c>
    </row>
    <row r="66" spans="1:11" ht="27.75" customHeight="1" x14ac:dyDescent="0.25">
      <c r="A66" s="34">
        <v>46103</v>
      </c>
      <c r="B66" s="32" t="s">
        <v>333</v>
      </c>
      <c r="C66" s="32" t="s">
        <v>208</v>
      </c>
      <c r="D66" s="33" t="str">
        <f>IFERROR(VLOOKUP(C66,'Akquise-Liste'!$A:$E,2,FALSE()),"")</f>
        <v>Eisenberger Automotive GmbH</v>
      </c>
      <c r="E66" s="33" t="str">
        <f>IFERROR(VLOOKUP(C66,'Akquise-Liste'!$A:$E,4,FALSE()),"")</f>
        <v>Thomas Wegener</v>
      </c>
      <c r="F66" s="32" t="s">
        <v>54</v>
      </c>
      <c r="G66" s="32" t="s">
        <v>300</v>
      </c>
      <c r="H66" s="40" t="s">
        <v>301</v>
      </c>
      <c r="I66" s="32">
        <v>10</v>
      </c>
      <c r="J66" s="38" t="s">
        <v>313</v>
      </c>
      <c r="K66" s="38" t="s">
        <v>335</v>
      </c>
    </row>
    <row r="67" spans="1:11" ht="27.75" customHeight="1" x14ac:dyDescent="0.25">
      <c r="A67" s="27">
        <v>46102</v>
      </c>
      <c r="B67" s="25" t="s">
        <v>312</v>
      </c>
      <c r="C67" s="25" t="s">
        <v>261</v>
      </c>
      <c r="D67" s="26" t="str">
        <f>IFERROR(VLOOKUP(C67,'Akquise-Liste'!$A:$E,2,FALSE()),"")</f>
        <v>Falkenberg Sondermaschinen</v>
      </c>
      <c r="E67" s="26" t="str">
        <f>IFERROR(VLOOKUP(C67,'Akquise-Liste'!$A:$E,4,FALSE()),"")</f>
        <v>Daniela Roth</v>
      </c>
      <c r="F67" s="25" t="s">
        <v>54</v>
      </c>
      <c r="G67" s="25" t="s">
        <v>287</v>
      </c>
      <c r="H67" s="39" t="s">
        <v>337</v>
      </c>
      <c r="I67" s="25">
        <v>15</v>
      </c>
      <c r="J67" s="31" t="s">
        <v>319</v>
      </c>
      <c r="K67" s="31" t="s">
        <v>310</v>
      </c>
    </row>
    <row r="68" spans="1:11" ht="27.75" customHeight="1" x14ac:dyDescent="0.25">
      <c r="A68" s="34">
        <v>46093</v>
      </c>
      <c r="B68" s="32" t="s">
        <v>339</v>
      </c>
      <c r="C68" s="32" t="s">
        <v>208</v>
      </c>
      <c r="D68" s="33" t="str">
        <f>IFERROR(VLOOKUP(C68,'Akquise-Liste'!$A:$E,2,FALSE()),"")</f>
        <v>Eisenberger Automotive GmbH</v>
      </c>
      <c r="E68" s="33" t="str">
        <f>IFERROR(VLOOKUP(C68,'Akquise-Liste'!$A:$E,4,FALSE()),"")</f>
        <v>Thomas Wegener</v>
      </c>
      <c r="F68" s="32" t="s">
        <v>54</v>
      </c>
      <c r="G68" s="32" t="s">
        <v>287</v>
      </c>
      <c r="H68" s="40" t="s">
        <v>337</v>
      </c>
      <c r="I68" s="32">
        <v>22</v>
      </c>
      <c r="J68" s="38" t="s">
        <v>296</v>
      </c>
      <c r="K68" s="38" t="s">
        <v>298</v>
      </c>
    </row>
    <row r="69" spans="1:11" ht="27.75" customHeight="1" x14ac:dyDescent="0.25">
      <c r="A69" s="27">
        <v>46089</v>
      </c>
      <c r="B69" s="25" t="s">
        <v>347</v>
      </c>
      <c r="C69" s="25" t="s">
        <v>160</v>
      </c>
      <c r="D69" s="26" t="str">
        <f>IFERROR(VLOOKUP(C69,'Akquise-Liste'!$A:$E,2,FALSE()),"")</f>
        <v>Lindenberg &amp; Partner KG</v>
      </c>
      <c r="E69" s="26" t="str">
        <f>IFERROR(VLOOKUP(C69,'Akquise-Liste'!$A:$E,4,FALSE()),"")</f>
        <v>Hans-Jürgen Lindenberg</v>
      </c>
      <c r="F69" s="25" t="s">
        <v>54</v>
      </c>
      <c r="G69" s="25" t="s">
        <v>300</v>
      </c>
      <c r="H69" s="39" t="s">
        <v>301</v>
      </c>
      <c r="I69" s="25">
        <v>18</v>
      </c>
      <c r="J69" s="31" t="s">
        <v>302</v>
      </c>
      <c r="K69" s="31" t="s">
        <v>290</v>
      </c>
    </row>
    <row r="70" spans="1:11" ht="27.75" customHeight="1" x14ac:dyDescent="0.25">
      <c r="A70" s="34">
        <v>46089</v>
      </c>
      <c r="B70" s="32" t="s">
        <v>341</v>
      </c>
      <c r="C70" s="32" t="s">
        <v>208</v>
      </c>
      <c r="D70" s="33" t="str">
        <f>IFERROR(VLOOKUP(C70,'Akquise-Liste'!$A:$E,2,FALSE()),"")</f>
        <v>Eisenberger Automotive GmbH</v>
      </c>
      <c r="E70" s="33" t="str">
        <f>IFERROR(VLOOKUP(C70,'Akquise-Liste'!$A:$E,4,FALSE()),"")</f>
        <v>Thomas Wegener</v>
      </c>
      <c r="F70" s="32" t="s">
        <v>54</v>
      </c>
      <c r="G70" s="32" t="s">
        <v>287</v>
      </c>
      <c r="H70" s="40" t="s">
        <v>292</v>
      </c>
      <c r="I70" s="32">
        <v>25</v>
      </c>
      <c r="J70" s="38" t="s">
        <v>289</v>
      </c>
      <c r="K70" s="38" t="s">
        <v>306</v>
      </c>
    </row>
    <row r="71" spans="1:11" ht="27.75" customHeight="1" x14ac:dyDescent="0.25">
      <c r="A71" s="27">
        <v>46081</v>
      </c>
      <c r="B71" s="25" t="s">
        <v>320</v>
      </c>
      <c r="C71" s="25" t="s">
        <v>208</v>
      </c>
      <c r="D71" s="26" t="str">
        <f>IFERROR(VLOOKUP(C71,'Akquise-Liste'!$A:$E,2,FALSE()),"")</f>
        <v>Eisenberger Automotive GmbH</v>
      </c>
      <c r="E71" s="26" t="str">
        <f>IFERROR(VLOOKUP(C71,'Akquise-Liste'!$A:$E,4,FALSE()),"")</f>
        <v>Thomas Wegener</v>
      </c>
      <c r="F71" s="25" t="s">
        <v>54</v>
      </c>
      <c r="G71" s="25" t="s">
        <v>287</v>
      </c>
      <c r="H71" s="39" t="s">
        <v>308</v>
      </c>
      <c r="I71" s="25">
        <v>15</v>
      </c>
      <c r="J71" s="31" t="s">
        <v>342</v>
      </c>
      <c r="K71" s="31" t="s">
        <v>298</v>
      </c>
    </row>
    <row r="72" spans="1:11" ht="27.75" customHeight="1" x14ac:dyDescent="0.25">
      <c r="A72" s="34">
        <v>46080</v>
      </c>
      <c r="B72" s="32" t="s">
        <v>348</v>
      </c>
      <c r="C72" s="32" t="s">
        <v>160</v>
      </c>
      <c r="D72" s="33" t="str">
        <f>IFERROR(VLOOKUP(C72,'Akquise-Liste'!$A:$E,2,FALSE()),"")</f>
        <v>Lindenberg &amp; Partner KG</v>
      </c>
      <c r="E72" s="33" t="str">
        <f>IFERROR(VLOOKUP(C72,'Akquise-Liste'!$A:$E,4,FALSE()),"")</f>
        <v>Hans-Jürgen Lindenberg</v>
      </c>
      <c r="F72" s="32" t="s">
        <v>54</v>
      </c>
      <c r="G72" s="32" t="s">
        <v>287</v>
      </c>
      <c r="H72" s="40" t="s">
        <v>16</v>
      </c>
      <c r="I72" s="32">
        <v>8</v>
      </c>
      <c r="J72" s="38" t="s">
        <v>289</v>
      </c>
      <c r="K72" s="38" t="s">
        <v>335</v>
      </c>
    </row>
    <row r="73" spans="1:11" ht="27.75" customHeight="1" x14ac:dyDescent="0.25">
      <c r="A73" s="27">
        <v>46080</v>
      </c>
      <c r="B73" s="25" t="s">
        <v>343</v>
      </c>
      <c r="C73" s="25" t="s">
        <v>247</v>
      </c>
      <c r="D73" s="26" t="str">
        <f>IFERROR(VLOOKUP(C73,'Akquise-Liste'!$A:$E,2,FALSE()),"")</f>
        <v>Pixelwerk Digital GmbH</v>
      </c>
      <c r="E73" s="26" t="str">
        <f>IFERROR(VLOOKUP(C73,'Akquise-Liste'!$A:$E,4,FALSE()),"")</f>
        <v>Mira Karlsruh</v>
      </c>
      <c r="F73" s="25" t="s">
        <v>54</v>
      </c>
      <c r="G73" s="25" t="s">
        <v>287</v>
      </c>
      <c r="H73" s="39" t="s">
        <v>16</v>
      </c>
      <c r="I73" s="25">
        <v>3</v>
      </c>
      <c r="J73" s="31" t="s">
        <v>319</v>
      </c>
      <c r="K73" s="31" t="s">
        <v>306</v>
      </c>
    </row>
    <row r="74" spans="1:11" ht="27.75" customHeight="1" x14ac:dyDescent="0.25">
      <c r="A74" s="34">
        <v>46077</v>
      </c>
      <c r="B74" s="32" t="s">
        <v>343</v>
      </c>
      <c r="C74" s="32" t="s">
        <v>247</v>
      </c>
      <c r="D74" s="33" t="str">
        <f>IFERROR(VLOOKUP(C74,'Akquise-Liste'!$A:$E,2,FALSE()),"")</f>
        <v>Pixelwerk Digital GmbH</v>
      </c>
      <c r="E74" s="33" t="str">
        <f>IFERROR(VLOOKUP(C74,'Akquise-Liste'!$A:$E,4,FALSE()),"")</f>
        <v>Mira Karlsruh</v>
      </c>
      <c r="F74" s="32" t="s">
        <v>54</v>
      </c>
      <c r="G74" s="32" t="s">
        <v>287</v>
      </c>
      <c r="H74" s="40" t="s">
        <v>337</v>
      </c>
      <c r="I74" s="32">
        <v>15</v>
      </c>
      <c r="J74" s="38" t="s">
        <v>342</v>
      </c>
      <c r="K74" s="38" t="s">
        <v>306</v>
      </c>
    </row>
    <row r="75" spans="1:11" ht="27.75" customHeight="1" x14ac:dyDescent="0.25">
      <c r="A75" s="27"/>
      <c r="B75" s="25"/>
      <c r="C75" s="25"/>
      <c r="D75" s="26" t="str">
        <f>IFERROR(VLOOKUP(C75,'Akquise-Liste'!$A:$E,2,FALSE()),"")</f>
        <v/>
      </c>
      <c r="E75" s="26" t="str">
        <f>IFERROR(VLOOKUP(C75,'Akquise-Liste'!$A:$E,4,FALSE()),"")</f>
        <v/>
      </c>
      <c r="F75" s="25"/>
      <c r="G75" s="25"/>
      <c r="H75" s="39"/>
      <c r="I75" s="25"/>
      <c r="J75" s="31"/>
      <c r="K75" s="31"/>
    </row>
    <row r="76" spans="1:11" ht="27.75" customHeight="1" x14ac:dyDescent="0.25">
      <c r="A76" s="34"/>
      <c r="B76" s="32"/>
      <c r="C76" s="32"/>
      <c r="D76" s="33" t="str">
        <f>IFERROR(VLOOKUP(C76,'Akquise-Liste'!$A:$E,2,FALSE()),"")</f>
        <v/>
      </c>
      <c r="E76" s="33" t="str">
        <f>IFERROR(VLOOKUP(C76,'Akquise-Liste'!$A:$E,4,FALSE()),"")</f>
        <v/>
      </c>
      <c r="F76" s="32"/>
      <c r="G76" s="32"/>
      <c r="H76" s="40"/>
      <c r="I76" s="32"/>
      <c r="J76" s="38"/>
      <c r="K76" s="38"/>
    </row>
    <row r="77" spans="1:11" ht="27.75" customHeight="1" x14ac:dyDescent="0.25">
      <c r="A77" s="27"/>
      <c r="B77" s="25"/>
      <c r="C77" s="25"/>
      <c r="D77" s="26" t="str">
        <f>IFERROR(VLOOKUP(C77,'Akquise-Liste'!$A:$E,2,FALSE()),"")</f>
        <v/>
      </c>
      <c r="E77" s="26" t="str">
        <f>IFERROR(VLOOKUP(C77,'Akquise-Liste'!$A:$E,4,FALSE()),"")</f>
        <v/>
      </c>
      <c r="F77" s="25"/>
      <c r="G77" s="25"/>
      <c r="H77" s="39"/>
      <c r="I77" s="25"/>
      <c r="J77" s="31"/>
      <c r="K77" s="31"/>
    </row>
    <row r="78" spans="1:11" ht="27.75" customHeight="1" x14ac:dyDescent="0.25">
      <c r="A78" s="34"/>
      <c r="B78" s="32"/>
      <c r="C78" s="32"/>
      <c r="D78" s="33" t="str">
        <f>IFERROR(VLOOKUP(C78,'Akquise-Liste'!$A:$E,2,FALSE()),"")</f>
        <v/>
      </c>
      <c r="E78" s="33" t="str">
        <f>IFERROR(VLOOKUP(C78,'Akquise-Liste'!$A:$E,4,FALSE()),"")</f>
        <v/>
      </c>
      <c r="F78" s="32"/>
      <c r="G78" s="32"/>
      <c r="H78" s="40"/>
      <c r="I78" s="32"/>
      <c r="J78" s="38"/>
      <c r="K78" s="38"/>
    </row>
    <row r="79" spans="1:11" ht="27.75" customHeight="1" x14ac:dyDescent="0.25">
      <c r="A79" s="27"/>
      <c r="B79" s="25"/>
      <c r="C79" s="25"/>
      <c r="D79" s="26" t="str">
        <f>IFERROR(VLOOKUP(C79,'Akquise-Liste'!$A:$E,2,FALSE()),"")</f>
        <v/>
      </c>
      <c r="E79" s="26" t="str">
        <f>IFERROR(VLOOKUP(C79,'Akquise-Liste'!$A:$E,4,FALSE()),"")</f>
        <v/>
      </c>
      <c r="F79" s="25"/>
      <c r="G79" s="25"/>
      <c r="H79" s="39"/>
      <c r="I79" s="25"/>
      <c r="J79" s="31"/>
      <c r="K79" s="31"/>
    </row>
    <row r="80" spans="1:11" ht="27.75" customHeight="1" x14ac:dyDescent="0.25">
      <c r="A80" s="34"/>
      <c r="B80" s="32"/>
      <c r="C80" s="32"/>
      <c r="D80" s="33" t="str">
        <f>IFERROR(VLOOKUP(C80,'Akquise-Liste'!$A:$E,2,FALSE()),"")</f>
        <v/>
      </c>
      <c r="E80" s="33" t="str">
        <f>IFERROR(VLOOKUP(C80,'Akquise-Liste'!$A:$E,4,FALSE()),"")</f>
        <v/>
      </c>
      <c r="F80" s="32"/>
      <c r="G80" s="32"/>
      <c r="H80" s="40"/>
      <c r="I80" s="32"/>
      <c r="J80" s="38"/>
      <c r="K80" s="38"/>
    </row>
    <row r="81" spans="1:11" ht="27.75" customHeight="1" x14ac:dyDescent="0.25">
      <c r="A81" s="27"/>
      <c r="B81" s="25"/>
      <c r="C81" s="25"/>
      <c r="D81" s="26" t="str">
        <f>IFERROR(VLOOKUP(C81,'Akquise-Liste'!$A:$E,2,FALSE()),"")</f>
        <v/>
      </c>
      <c r="E81" s="26" t="str">
        <f>IFERROR(VLOOKUP(C81,'Akquise-Liste'!$A:$E,4,FALSE()),"")</f>
        <v/>
      </c>
      <c r="F81" s="25"/>
      <c r="G81" s="25"/>
      <c r="H81" s="39"/>
      <c r="I81" s="25"/>
      <c r="J81" s="31"/>
      <c r="K81" s="31"/>
    </row>
    <row r="82" spans="1:11" ht="27.75" customHeight="1" x14ac:dyDescent="0.25">
      <c r="A82" s="34"/>
      <c r="B82" s="32"/>
      <c r="C82" s="32"/>
      <c r="D82" s="33" t="str">
        <f>IFERROR(VLOOKUP(C82,'Akquise-Liste'!$A:$E,2,FALSE()),"")</f>
        <v/>
      </c>
      <c r="E82" s="33" t="str">
        <f>IFERROR(VLOOKUP(C82,'Akquise-Liste'!$A:$E,4,FALSE()),"")</f>
        <v/>
      </c>
      <c r="F82" s="32"/>
      <c r="G82" s="32"/>
      <c r="H82" s="40"/>
      <c r="I82" s="32"/>
      <c r="J82" s="38"/>
      <c r="K82" s="38"/>
    </row>
    <row r="83" spans="1:11" ht="27.75" customHeight="1" x14ac:dyDescent="0.25">
      <c r="A83" s="27"/>
      <c r="B83" s="25"/>
      <c r="C83" s="25"/>
      <c r="D83" s="26" t="str">
        <f>IFERROR(VLOOKUP(C83,'Akquise-Liste'!$A:$E,2,FALSE()),"")</f>
        <v/>
      </c>
      <c r="E83" s="26" t="str">
        <f>IFERROR(VLOOKUP(C83,'Akquise-Liste'!$A:$E,4,FALSE()),"")</f>
        <v/>
      </c>
      <c r="F83" s="25"/>
      <c r="G83" s="25"/>
      <c r="H83" s="39"/>
      <c r="I83" s="25"/>
      <c r="J83" s="31"/>
      <c r="K83" s="31"/>
    </row>
    <row r="84" spans="1:11" ht="27.75" customHeight="1" x14ac:dyDescent="0.25">
      <c r="A84" s="34"/>
      <c r="B84" s="32"/>
      <c r="C84" s="32"/>
      <c r="D84" s="33" t="str">
        <f>IFERROR(VLOOKUP(C84,'Akquise-Liste'!$A:$E,2,FALSE()),"")</f>
        <v/>
      </c>
      <c r="E84" s="33" t="str">
        <f>IFERROR(VLOOKUP(C84,'Akquise-Liste'!$A:$E,4,FALSE()),"")</f>
        <v/>
      </c>
      <c r="F84" s="32"/>
      <c r="G84" s="32"/>
      <c r="H84" s="40"/>
      <c r="I84" s="32"/>
      <c r="J84" s="38"/>
      <c r="K84" s="38"/>
    </row>
    <row r="85" spans="1:11" ht="27.75" customHeight="1" x14ac:dyDescent="0.25">
      <c r="A85" s="27"/>
      <c r="B85" s="25"/>
      <c r="C85" s="25"/>
      <c r="D85" s="26" t="str">
        <f>IFERROR(VLOOKUP(C85,'Akquise-Liste'!$A:$E,2,FALSE()),"")</f>
        <v/>
      </c>
      <c r="E85" s="26" t="str">
        <f>IFERROR(VLOOKUP(C85,'Akquise-Liste'!$A:$E,4,FALSE()),"")</f>
        <v/>
      </c>
      <c r="F85" s="25"/>
      <c r="G85" s="25"/>
      <c r="H85" s="39"/>
      <c r="I85" s="25"/>
      <c r="J85" s="31"/>
      <c r="K85" s="31"/>
    </row>
    <row r="86" spans="1:11" ht="27.75" customHeight="1" x14ac:dyDescent="0.25">
      <c r="A86" s="34"/>
      <c r="B86" s="32"/>
      <c r="C86" s="32"/>
      <c r="D86" s="33" t="str">
        <f>IFERROR(VLOOKUP(C86,'Akquise-Liste'!$A:$E,2,FALSE()),"")</f>
        <v/>
      </c>
      <c r="E86" s="33" t="str">
        <f>IFERROR(VLOOKUP(C86,'Akquise-Liste'!$A:$E,4,FALSE()),"")</f>
        <v/>
      </c>
      <c r="F86" s="32"/>
      <c r="G86" s="32"/>
      <c r="H86" s="40"/>
      <c r="I86" s="32"/>
      <c r="J86" s="38"/>
      <c r="K86" s="38"/>
    </row>
    <row r="87" spans="1:11" ht="27.75" customHeight="1" x14ac:dyDescent="0.25">
      <c r="A87" s="27"/>
      <c r="B87" s="25"/>
      <c r="C87" s="25"/>
      <c r="D87" s="26" t="str">
        <f>IFERROR(VLOOKUP(C87,'Akquise-Liste'!$A:$E,2,FALSE()),"")</f>
        <v/>
      </c>
      <c r="E87" s="26" t="str">
        <f>IFERROR(VLOOKUP(C87,'Akquise-Liste'!$A:$E,4,FALSE()),"")</f>
        <v/>
      </c>
      <c r="F87" s="25"/>
      <c r="G87" s="25"/>
      <c r="H87" s="39"/>
      <c r="I87" s="25"/>
      <c r="J87" s="31"/>
      <c r="K87" s="31"/>
    </row>
    <row r="88" spans="1:11" ht="27.75" customHeight="1" x14ac:dyDescent="0.25">
      <c r="A88" s="34"/>
      <c r="B88" s="32"/>
      <c r="C88" s="32"/>
      <c r="D88" s="33" t="str">
        <f>IFERROR(VLOOKUP(C88,'Akquise-Liste'!$A:$E,2,FALSE()),"")</f>
        <v/>
      </c>
      <c r="E88" s="33" t="str">
        <f>IFERROR(VLOOKUP(C88,'Akquise-Liste'!$A:$E,4,FALSE()),"")</f>
        <v/>
      </c>
      <c r="F88" s="32"/>
      <c r="G88" s="32"/>
      <c r="H88" s="40"/>
      <c r="I88" s="32"/>
      <c r="J88" s="38"/>
      <c r="K88" s="38"/>
    </row>
    <row r="89" spans="1:11" ht="27.75" customHeight="1" x14ac:dyDescent="0.25">
      <c r="A89" s="27"/>
      <c r="B89" s="25"/>
      <c r="C89" s="25"/>
      <c r="D89" s="26" t="str">
        <f>IFERROR(VLOOKUP(C89,'Akquise-Liste'!$A:$E,2,FALSE()),"")</f>
        <v/>
      </c>
      <c r="E89" s="26" t="str">
        <f>IFERROR(VLOOKUP(C89,'Akquise-Liste'!$A:$E,4,FALSE()),"")</f>
        <v/>
      </c>
      <c r="F89" s="25"/>
      <c r="G89" s="25"/>
      <c r="H89" s="39"/>
      <c r="I89" s="25"/>
      <c r="J89" s="31"/>
      <c r="K89" s="31"/>
    </row>
  </sheetData>
  <autoFilter ref="A4:K89" xr:uid="{00000000-0009-0000-0000-000002000000}"/>
  <mergeCells count="2">
    <mergeCell ref="A1:K1"/>
    <mergeCell ref="A2:K2"/>
  </mergeCells>
  <conditionalFormatting sqref="G5:G89">
    <cfRule type="cellIs" dxfId="1" priority="2" operator="equal">
      <formula>"Ja"</formula>
    </cfRule>
    <cfRule type="cellIs" dxfId="0" priority="3" operator="equal">
      <formula>"Nein"</formula>
    </cfRule>
  </conditionalFormatting>
  <dataValidations count="3">
    <dataValidation type="list" allowBlank="1" sqref="F5:F89" xr:uid="{00000000-0002-0000-0200-000000000000}">
      <formula1>lst_Kanal</formula1>
      <formula2>0</formula2>
    </dataValidation>
    <dataValidation type="list" allowBlank="1" sqref="G5:G89" xr:uid="{00000000-0002-0000-0200-000001000000}">
      <formula1>lst_JaNein</formula1>
      <formula2>0</formula2>
    </dataValidation>
    <dataValidation type="list" allowBlank="1" sqref="H5:H89" xr:uid="{00000000-0002-0000-0200-000002000000}">
      <formula1>lst_Ergebnis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zoomScaleNormal="100" workbookViewId="0"/>
  </sheetViews>
  <sheetFormatPr baseColWidth="10" defaultColWidth="8.7109375" defaultRowHeight="15" x14ac:dyDescent="0.25"/>
  <cols>
    <col min="1" max="8" width="22" customWidth="1"/>
  </cols>
  <sheetData>
    <row r="1" spans="1:8" x14ac:dyDescent="0.25">
      <c r="A1" s="41" t="s">
        <v>58</v>
      </c>
      <c r="B1" s="41" t="s">
        <v>59</v>
      </c>
      <c r="C1" s="41" t="s">
        <v>51</v>
      </c>
      <c r="D1" s="41" t="s">
        <v>23</v>
      </c>
      <c r="E1" s="41" t="s">
        <v>57</v>
      </c>
      <c r="F1" s="41" t="s">
        <v>280</v>
      </c>
      <c r="G1" s="41" t="s">
        <v>282</v>
      </c>
      <c r="H1" s="41" t="s">
        <v>349</v>
      </c>
    </row>
    <row r="2" spans="1:8" x14ac:dyDescent="0.25">
      <c r="A2" t="s">
        <v>158</v>
      </c>
      <c r="B2" t="s">
        <v>88</v>
      </c>
      <c r="C2" t="s">
        <v>102</v>
      </c>
      <c r="D2" t="s">
        <v>28</v>
      </c>
      <c r="E2" t="s">
        <v>29</v>
      </c>
      <c r="F2" t="s">
        <v>54</v>
      </c>
      <c r="G2" t="s">
        <v>16</v>
      </c>
      <c r="H2" t="s">
        <v>287</v>
      </c>
    </row>
    <row r="3" spans="1:8" x14ac:dyDescent="0.25">
      <c r="A3" t="s">
        <v>108</v>
      </c>
      <c r="B3" t="s">
        <v>78</v>
      </c>
      <c r="C3" t="s">
        <v>71</v>
      </c>
      <c r="D3" t="s">
        <v>30</v>
      </c>
      <c r="E3" t="s">
        <v>31</v>
      </c>
      <c r="F3" t="s">
        <v>55</v>
      </c>
      <c r="G3" t="s">
        <v>345</v>
      </c>
      <c r="H3" t="s">
        <v>300</v>
      </c>
    </row>
    <row r="4" spans="1:8" x14ac:dyDescent="0.25">
      <c r="A4" t="s">
        <v>77</v>
      </c>
      <c r="B4" t="s">
        <v>98</v>
      </c>
      <c r="C4" t="s">
        <v>92</v>
      </c>
      <c r="D4" t="s">
        <v>32</v>
      </c>
      <c r="E4" t="s">
        <v>33</v>
      </c>
      <c r="F4" t="s">
        <v>28</v>
      </c>
      <c r="G4" t="s">
        <v>288</v>
      </c>
    </row>
    <row r="5" spans="1:8" x14ac:dyDescent="0.25">
      <c r="A5" t="s">
        <v>148</v>
      </c>
      <c r="C5" t="s">
        <v>202</v>
      </c>
      <c r="D5" t="s">
        <v>34</v>
      </c>
      <c r="E5" t="s">
        <v>35</v>
      </c>
      <c r="F5" t="s">
        <v>30</v>
      </c>
      <c r="G5" t="s">
        <v>239</v>
      </c>
    </row>
    <row r="6" spans="1:8" x14ac:dyDescent="0.25">
      <c r="A6" t="s">
        <v>15</v>
      </c>
      <c r="C6" t="s">
        <v>350</v>
      </c>
      <c r="D6" t="s">
        <v>36</v>
      </c>
      <c r="E6" t="s">
        <v>37</v>
      </c>
      <c r="F6" t="s">
        <v>351</v>
      </c>
      <c r="G6" t="s">
        <v>308</v>
      </c>
    </row>
    <row r="7" spans="1:8" x14ac:dyDescent="0.25">
      <c r="A7" t="s">
        <v>16</v>
      </c>
      <c r="C7" t="s">
        <v>162</v>
      </c>
      <c r="D7" t="s">
        <v>38</v>
      </c>
      <c r="F7" t="s">
        <v>325</v>
      </c>
      <c r="G7" t="s">
        <v>301</v>
      </c>
    </row>
    <row r="8" spans="1:8" x14ac:dyDescent="0.25">
      <c r="A8" t="s">
        <v>17</v>
      </c>
      <c r="C8" t="s">
        <v>170</v>
      </c>
      <c r="D8" t="s">
        <v>39</v>
      </c>
      <c r="G8" t="s">
        <v>352</v>
      </c>
    </row>
    <row r="9" spans="1:8" x14ac:dyDescent="0.25">
      <c r="A9" t="s">
        <v>18</v>
      </c>
      <c r="C9" t="s">
        <v>127</v>
      </c>
      <c r="D9" t="s">
        <v>40</v>
      </c>
      <c r="G9" t="s">
        <v>337</v>
      </c>
    </row>
    <row r="10" spans="1:8" x14ac:dyDescent="0.25">
      <c r="A10" t="s">
        <v>19</v>
      </c>
      <c r="C10" t="s">
        <v>82</v>
      </c>
      <c r="D10" t="s">
        <v>353</v>
      </c>
      <c r="G10" t="s">
        <v>292</v>
      </c>
    </row>
    <row r="11" spans="1:8" x14ac:dyDescent="0.25">
      <c r="A11" t="s">
        <v>224</v>
      </c>
      <c r="C11" t="s">
        <v>152</v>
      </c>
      <c r="D11" t="s">
        <v>41</v>
      </c>
    </row>
    <row r="12" spans="1:8" x14ac:dyDescent="0.25">
      <c r="A12" t="s">
        <v>239</v>
      </c>
      <c r="C12" t="s">
        <v>186</v>
      </c>
    </row>
    <row r="13" spans="1:8" x14ac:dyDescent="0.25">
      <c r="C13" t="s">
        <v>194</v>
      </c>
    </row>
    <row r="14" spans="1:8" x14ac:dyDescent="0.25">
      <c r="C14" t="s">
        <v>135</v>
      </c>
    </row>
    <row r="15" spans="1:8" x14ac:dyDescent="0.25">
      <c r="C15" t="s">
        <v>218</v>
      </c>
    </row>
    <row r="16" spans="1:8" x14ac:dyDescent="0.25">
      <c r="C16" t="s">
        <v>210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Dashboard</vt:lpstr>
      <vt:lpstr>Akquise-Liste</vt:lpstr>
      <vt:lpstr>Anrufprotokoll</vt:lpstr>
      <vt:lpstr>Einstellungen</vt:lpstr>
      <vt:lpstr>lst_Branche</vt:lpstr>
      <vt:lpstr>lst_Ergebnis</vt:lpstr>
      <vt:lpstr>lst_JaNein</vt:lpstr>
      <vt:lpstr>lst_Kanal</vt:lpstr>
      <vt:lpstr>lst_Mitarbeiter</vt:lpstr>
      <vt:lpstr>lst_Prio</vt:lpstr>
      <vt:lpstr>lst_Quelle</vt:lpstr>
      <vt:lpstr>lst_Status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2026-06-12T06:07:34Z</dcterms:created>
  <dcterms:modified xsi:type="dcterms:W3CDTF">2026-06-12T06:39:32Z</dcterms:modified>
  <dc:language>en-US</dc:language>
</cp:coreProperties>
</file>