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BFC546E-A59B-4345-B4E3-7C523B712E37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Kalkulation" sheetId="2" r:id="rId2"/>
    <sheet name="Stammdat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6" i="2" l="1"/>
  <c r="Q26" i="2"/>
  <c r="O26" i="2"/>
  <c r="M26" i="2"/>
  <c r="K26" i="2"/>
  <c r="I26" i="2"/>
  <c r="G26" i="2"/>
  <c r="E26" i="2"/>
  <c r="D26" i="2"/>
  <c r="F25" i="2"/>
  <c r="H25" i="2" s="1"/>
  <c r="J25" i="2" s="1"/>
  <c r="L25" i="2" s="1"/>
  <c r="N25" i="2" s="1"/>
  <c r="P25" i="2" s="1"/>
  <c r="R25" i="2" s="1"/>
  <c r="A25" i="2"/>
  <c r="F24" i="2"/>
  <c r="H24" i="2" s="1"/>
  <c r="J24" i="2" s="1"/>
  <c r="L24" i="2" s="1"/>
  <c r="N24" i="2" s="1"/>
  <c r="P24" i="2" s="1"/>
  <c r="R24" i="2" s="1"/>
  <c r="A24" i="2"/>
  <c r="F23" i="2"/>
  <c r="H23" i="2" s="1"/>
  <c r="J23" i="2" s="1"/>
  <c r="L23" i="2" s="1"/>
  <c r="N23" i="2" s="1"/>
  <c r="P23" i="2" s="1"/>
  <c r="R23" i="2" s="1"/>
  <c r="A23" i="2"/>
  <c r="J22" i="2"/>
  <c r="L22" i="2" s="1"/>
  <c r="N22" i="2" s="1"/>
  <c r="P22" i="2" s="1"/>
  <c r="R22" i="2" s="1"/>
  <c r="H22" i="2"/>
  <c r="F22" i="2"/>
  <c r="A22" i="2"/>
  <c r="H21" i="2"/>
  <c r="J21" i="2" s="1"/>
  <c r="L21" i="2" s="1"/>
  <c r="N21" i="2" s="1"/>
  <c r="P21" i="2" s="1"/>
  <c r="R21" i="2" s="1"/>
  <c r="F21" i="2"/>
  <c r="A21" i="2"/>
  <c r="F20" i="2"/>
  <c r="H20" i="2" s="1"/>
  <c r="J20" i="2" s="1"/>
  <c r="L20" i="2" s="1"/>
  <c r="N20" i="2" s="1"/>
  <c r="P20" i="2" s="1"/>
  <c r="R20" i="2" s="1"/>
  <c r="A20" i="2"/>
  <c r="F19" i="2"/>
  <c r="H19" i="2" s="1"/>
  <c r="J19" i="2" s="1"/>
  <c r="L19" i="2" s="1"/>
  <c r="N19" i="2" s="1"/>
  <c r="P19" i="2" s="1"/>
  <c r="R19" i="2" s="1"/>
  <c r="A19" i="2"/>
  <c r="F18" i="2"/>
  <c r="H18" i="2" s="1"/>
  <c r="J18" i="2" s="1"/>
  <c r="L18" i="2" s="1"/>
  <c r="N18" i="2" s="1"/>
  <c r="P18" i="2" s="1"/>
  <c r="R18" i="2" s="1"/>
  <c r="A18" i="2"/>
  <c r="F17" i="2"/>
  <c r="H17" i="2" s="1"/>
  <c r="J17" i="2" s="1"/>
  <c r="L17" i="2" s="1"/>
  <c r="N17" i="2" s="1"/>
  <c r="P17" i="2" s="1"/>
  <c r="R17" i="2" s="1"/>
  <c r="A17" i="2"/>
  <c r="F16" i="2"/>
  <c r="H16" i="2" s="1"/>
  <c r="J16" i="2" s="1"/>
  <c r="L16" i="2" s="1"/>
  <c r="N16" i="2" s="1"/>
  <c r="P16" i="2" s="1"/>
  <c r="R16" i="2" s="1"/>
  <c r="A16" i="2"/>
  <c r="F15" i="2"/>
  <c r="H15" i="2" s="1"/>
  <c r="J15" i="2" s="1"/>
  <c r="L15" i="2" s="1"/>
  <c r="N15" i="2" s="1"/>
  <c r="P15" i="2" s="1"/>
  <c r="R15" i="2" s="1"/>
  <c r="F14" i="2"/>
  <c r="H14" i="2" s="1"/>
  <c r="J14" i="2" s="1"/>
  <c r="L14" i="2" s="1"/>
  <c r="N14" i="2" s="1"/>
  <c r="P14" i="2" s="1"/>
  <c r="R14" i="2" s="1"/>
  <c r="F13" i="2"/>
  <c r="H13" i="2" s="1"/>
  <c r="J13" i="2" s="1"/>
  <c r="L13" i="2" s="1"/>
  <c r="N13" i="2" s="1"/>
  <c r="P13" i="2" s="1"/>
  <c r="R13" i="2" s="1"/>
  <c r="F12" i="2"/>
  <c r="H12" i="2" s="1"/>
  <c r="J12" i="2" s="1"/>
  <c r="L12" i="2" s="1"/>
  <c r="N12" i="2" s="1"/>
  <c r="P12" i="2" s="1"/>
  <c r="R12" i="2" s="1"/>
  <c r="F11" i="2"/>
  <c r="H11" i="2" s="1"/>
  <c r="J11" i="2" s="1"/>
  <c r="L11" i="2" s="1"/>
  <c r="N11" i="2" s="1"/>
  <c r="P11" i="2" s="1"/>
  <c r="R11" i="2" s="1"/>
  <c r="F10" i="2"/>
  <c r="H10" i="2" s="1"/>
  <c r="J10" i="2" s="1"/>
  <c r="L10" i="2" s="1"/>
  <c r="N10" i="2" s="1"/>
  <c r="P10" i="2" s="1"/>
  <c r="R10" i="2" s="1"/>
  <c r="F9" i="2"/>
  <c r="H9" i="2" s="1"/>
  <c r="J9" i="2" s="1"/>
  <c r="L9" i="2" s="1"/>
  <c r="N9" i="2" s="1"/>
  <c r="P9" i="2" s="1"/>
  <c r="R9" i="2" s="1"/>
  <c r="F8" i="2"/>
  <c r="H8" i="2" s="1"/>
  <c r="J8" i="2" s="1"/>
  <c r="L8" i="2" s="1"/>
  <c r="N8" i="2" s="1"/>
  <c r="P8" i="2" s="1"/>
  <c r="R8" i="2" s="1"/>
  <c r="F7" i="2"/>
  <c r="H7" i="2" s="1"/>
  <c r="J7" i="2" s="1"/>
  <c r="L7" i="2" s="1"/>
  <c r="N7" i="2" s="1"/>
  <c r="P7" i="2" s="1"/>
  <c r="R7" i="2" s="1"/>
  <c r="F6" i="2"/>
  <c r="H6" i="2" s="1"/>
  <c r="B12" i="1"/>
  <c r="L7" i="1"/>
  <c r="I7" i="1"/>
  <c r="F7" i="1"/>
  <c r="C7" i="1"/>
  <c r="W11" i="2" l="1"/>
  <c r="V11" i="2"/>
  <c r="U11" i="2"/>
  <c r="T11" i="2"/>
  <c r="X11" i="2"/>
  <c r="V16" i="2"/>
  <c r="U16" i="2"/>
  <c r="T16" i="2"/>
  <c r="X16" i="2"/>
  <c r="W16" i="2"/>
  <c r="X21" i="2"/>
  <c r="W21" i="2"/>
  <c r="V21" i="2"/>
  <c r="U21" i="2"/>
  <c r="T21" i="2"/>
  <c r="X10" i="2"/>
  <c r="W10" i="2"/>
  <c r="V10" i="2"/>
  <c r="U10" i="2"/>
  <c r="T10" i="2"/>
  <c r="X14" i="2"/>
  <c r="W14" i="2"/>
  <c r="V14" i="2"/>
  <c r="U14" i="2"/>
  <c r="T14" i="2"/>
  <c r="X25" i="2"/>
  <c r="W25" i="2"/>
  <c r="V25" i="2"/>
  <c r="U25" i="2"/>
  <c r="T25" i="2"/>
  <c r="X7" i="2"/>
  <c r="W7" i="2"/>
  <c r="V7" i="2"/>
  <c r="U7" i="2"/>
  <c r="T7" i="2"/>
  <c r="X9" i="2"/>
  <c r="W9" i="2"/>
  <c r="V9" i="2"/>
  <c r="U9" i="2"/>
  <c r="T9" i="2"/>
  <c r="X22" i="2"/>
  <c r="W22" i="2"/>
  <c r="V22" i="2"/>
  <c r="U22" i="2"/>
  <c r="T22" i="2"/>
  <c r="X13" i="2"/>
  <c r="W13" i="2"/>
  <c r="V13" i="2"/>
  <c r="U13" i="2"/>
  <c r="T13" i="2"/>
  <c r="X15" i="2"/>
  <c r="W15" i="2"/>
  <c r="V15" i="2"/>
  <c r="U15" i="2"/>
  <c r="T15" i="2"/>
  <c r="X17" i="2"/>
  <c r="W17" i="2"/>
  <c r="V17" i="2"/>
  <c r="U17" i="2"/>
  <c r="T17" i="2"/>
  <c r="X20" i="2"/>
  <c r="W20" i="2"/>
  <c r="V20" i="2"/>
  <c r="U20" i="2"/>
  <c r="T20" i="2"/>
  <c r="X8" i="2"/>
  <c r="W8" i="2"/>
  <c r="V8" i="2"/>
  <c r="U8" i="2"/>
  <c r="T8" i="2"/>
  <c r="X12" i="2"/>
  <c r="W12" i="2"/>
  <c r="V12" i="2"/>
  <c r="U12" i="2"/>
  <c r="T12" i="2"/>
  <c r="X23" i="2"/>
  <c r="W23" i="2"/>
  <c r="V23" i="2"/>
  <c r="U23" i="2"/>
  <c r="T23" i="2"/>
  <c r="X24" i="2"/>
  <c r="W24" i="2"/>
  <c r="V24" i="2"/>
  <c r="U24" i="2"/>
  <c r="T24" i="2"/>
  <c r="X18" i="2"/>
  <c r="W18" i="2"/>
  <c r="V18" i="2"/>
  <c r="U18" i="2"/>
  <c r="T18" i="2"/>
  <c r="W19" i="2"/>
  <c r="V19" i="2"/>
  <c r="U19" i="2"/>
  <c r="T19" i="2"/>
  <c r="X19" i="2"/>
  <c r="J6" i="2"/>
  <c r="H26" i="2"/>
  <c r="F26" i="2"/>
  <c r="B15" i="1" l="1"/>
  <c r="E12" i="1"/>
  <c r="L6" i="2"/>
  <c r="J26" i="2"/>
  <c r="N6" i="2" l="1"/>
  <c r="L26" i="2"/>
  <c r="P6" i="2" l="1"/>
  <c r="N26" i="2"/>
  <c r="R6" i="2" l="1"/>
  <c r="P26" i="2"/>
  <c r="W6" i="2" l="1"/>
  <c r="H12" i="1"/>
  <c r="V6" i="2"/>
  <c r="V26" i="2" s="1"/>
  <c r="U6" i="2"/>
  <c r="T6" i="2"/>
  <c r="R26" i="2"/>
  <c r="E15" i="1"/>
  <c r="X6" i="2"/>
  <c r="X26" i="2" l="1"/>
  <c r="H31" i="1"/>
  <c r="D29" i="1"/>
  <c r="H26" i="1"/>
  <c r="D24" i="1"/>
  <c r="F26" i="1"/>
  <c r="C26" i="1"/>
  <c r="I29" i="1"/>
  <c r="K15" i="1"/>
  <c r="E24" i="1"/>
  <c r="G31" i="1"/>
  <c r="C29" i="1"/>
  <c r="G26" i="1"/>
  <c r="C24" i="1"/>
  <c r="B29" i="1"/>
  <c r="B24" i="1"/>
  <c r="I28" i="1"/>
  <c r="E26" i="1"/>
  <c r="I23" i="1"/>
  <c r="G28" i="1"/>
  <c r="G23" i="1"/>
  <c r="F28" i="1"/>
  <c r="F23" i="1"/>
  <c r="H29" i="1"/>
  <c r="H24" i="1"/>
  <c r="C27" i="1"/>
  <c r="G24" i="1"/>
  <c r="B27" i="1"/>
  <c r="F24" i="1"/>
  <c r="I26" i="1"/>
  <c r="F31" i="1"/>
  <c r="E31" i="1"/>
  <c r="D31" i="1"/>
  <c r="H28" i="1"/>
  <c r="D26" i="1"/>
  <c r="H23" i="1"/>
  <c r="B26" i="1"/>
  <c r="E27" i="1"/>
  <c r="D27" i="1"/>
  <c r="C31" i="1"/>
  <c r="B31" i="1"/>
  <c r="I30" i="1"/>
  <c r="E28" i="1"/>
  <c r="I25" i="1"/>
  <c r="E23" i="1"/>
  <c r="H25" i="1"/>
  <c r="D23" i="1"/>
  <c r="C28" i="1"/>
  <c r="G25" i="1"/>
  <c r="B28" i="1"/>
  <c r="F25" i="1"/>
  <c r="D30" i="1"/>
  <c r="H27" i="1"/>
  <c r="H18" i="1"/>
  <c r="C25" i="1"/>
  <c r="B30" i="1"/>
  <c r="F27" i="1"/>
  <c r="B25" i="1"/>
  <c r="F29" i="1"/>
  <c r="E29" i="1"/>
  <c r="H30" i="1"/>
  <c r="D28" i="1"/>
  <c r="C23" i="1"/>
  <c r="B23" i="1"/>
  <c r="D25" i="1"/>
  <c r="C30" i="1"/>
  <c r="G27" i="1"/>
  <c r="I24" i="1"/>
  <c r="G29" i="1"/>
  <c r="K12" i="1"/>
  <c r="G30" i="1"/>
  <c r="F30" i="1"/>
  <c r="I32" i="1"/>
  <c r="E30" i="1"/>
  <c r="I27" i="1"/>
  <c r="E25" i="1"/>
  <c r="H32" i="1"/>
  <c r="G32" i="1"/>
  <c r="F32" i="1"/>
  <c r="E32" i="1"/>
  <c r="D32" i="1"/>
  <c r="C32" i="1"/>
  <c r="B32" i="1"/>
  <c r="I31" i="1"/>
  <c r="K18" i="1"/>
  <c r="T26" i="2"/>
  <c r="H15" i="1"/>
  <c r="U26" i="2"/>
  <c r="B18" i="1"/>
  <c r="W26" i="2"/>
  <c r="E18" i="1"/>
</calcChain>
</file>

<file path=xl/sharedStrings.xml><?xml version="1.0" encoding="utf-8"?>
<sst xmlns="http://schemas.openxmlformats.org/spreadsheetml/2006/main" count="152" uniqueCount="135">
  <si>
    <t>Vorwärtskalkulation - Übersicht und Kennzahlen</t>
  </si>
  <si>
    <t>UNTERNEHMENS-INFORMATION</t>
  </si>
  <si>
    <t>Firma</t>
  </si>
  <si>
    <t>Branche</t>
  </si>
  <si>
    <t>Periode</t>
  </si>
  <si>
    <t>Stand</t>
  </si>
  <si>
    <t>KENNZAHLEN-ÜBERSICHT</t>
  </si>
  <si>
    <t>Anzahl Artikel</t>
  </si>
  <si>
    <t>Summe Bezugskosten</t>
  </si>
  <si>
    <t>Summe Netto-Umsatz</t>
  </si>
  <si>
    <t>Summe Marge</t>
  </si>
  <si>
    <t>Ø Bezugspreis</t>
  </si>
  <si>
    <t>Ø Nettoverkaufspreis</t>
  </si>
  <si>
    <t>Ø Bruttoverkaufspreis</t>
  </si>
  <si>
    <t>Ø Marge</t>
  </si>
  <si>
    <t>Ø Kalkulationsfaktor</t>
  </si>
  <si>
    <t>Ø Handelsspanne</t>
  </si>
  <si>
    <t>Höchste Marge</t>
  </si>
  <si>
    <t>Niedrigste Marge</t>
  </si>
  <si>
    <t>ARTIKEL-VERGLEICH (sortiert nach Marge €)</t>
  </si>
  <si>
    <t>Artikel</t>
  </si>
  <si>
    <t>Kategorie</t>
  </si>
  <si>
    <t>Bezugspreis</t>
  </si>
  <si>
    <t>Nettoverkauf</t>
  </si>
  <si>
    <t>Bruttoverkauf</t>
  </si>
  <si>
    <t>Kalk.-Faktor</t>
  </si>
  <si>
    <t>Handelsspanne</t>
  </si>
  <si>
    <t>Marge</t>
  </si>
  <si>
    <t>KALKULATIONSSCHEMA - VORWÄRTSKALKULATION</t>
  </si>
  <si>
    <t>Listeneinkaufspreis</t>
  </si>
  <si>
    <t>Ausgangspreis laut Lieferantenkatalog</t>
  </si>
  <si>
    <t>− Lieferantenrabatt</t>
  </si>
  <si>
    <t>(vom Hundert)</t>
  </si>
  <si>
    <t>Zieleinkaufspreis</t>
  </si>
  <si>
    <t>− Lieferantenskonto</t>
  </si>
  <si>
    <t>Bareinkaufspreis</t>
  </si>
  <si>
    <t>+ Bezugskosten</t>
  </si>
  <si>
    <t>(Fracht, Versicherung, Verpackung)</t>
  </si>
  <si>
    <t>Bezugspreis (Einstandspreis)</t>
  </si>
  <si>
    <t>Basis für die Selbstkostenkalkulation</t>
  </si>
  <si>
    <t>+ Handlungskostenzuschlag</t>
  </si>
  <si>
    <t>(Gemeinkosten in %)</t>
  </si>
  <si>
    <t>Selbstkostenpreis</t>
  </si>
  <si>
    <t>+ Gewinnzuschlag</t>
  </si>
  <si>
    <t>(in %)</t>
  </si>
  <si>
    <t>Barverkaufspreis</t>
  </si>
  <si>
    <t>+ Kundenskonto</t>
  </si>
  <si>
    <t>(im Hundert)</t>
  </si>
  <si>
    <t>Zielverkaufspreis</t>
  </si>
  <si>
    <t>+ Kundenrabatt</t>
  </si>
  <si>
    <t>Nettoverkaufspreis</t>
  </si>
  <si>
    <t>Listenverkaufspreis ohne USt</t>
  </si>
  <si>
    <t>+ Umsatzsteuer</t>
  </si>
  <si>
    <t>(19% bzw. 7%)</t>
  </si>
  <si>
    <t>Bruttoverkaufspreis</t>
  </si>
  <si>
    <t>Endpreis für den Kunden</t>
  </si>
  <si>
    <t>MARGE PRO ARTIKEL</t>
  </si>
  <si>
    <t>Hinweis: Diese Vorlage dient der unternehmensinternen Preiskalkulation. Die Werte sind beispielhaft. Passen Sie Zuschlagssätze stets an Ihre individuellen Betriebs- und Marktverhältnisse an.</t>
  </si>
  <si>
    <t>KALKULATION VERKAUFSPREIS - VORWÄRTSKALKULATION 2026</t>
  </si>
  <si>
    <t>Vom Listeneinkaufspreis zum Bruttoverkaufspreis - alle Werte werden automatisch berechnet</t>
  </si>
  <si>
    <t>Identifikation</t>
  </si>
  <si>
    <t>Bezugskalkulation (vom Hundert)</t>
  </si>
  <si>
    <t>Selbstkostenkalkulation</t>
  </si>
  <si>
    <t>Verkaufskalkulation</t>
  </si>
  <si>
    <t>Kennzahlen</t>
  </si>
  <si>
    <t>Nr.</t>
  </si>
  <si>
    <t>Listeneinkaufspreis €</t>
  </si>
  <si>
    <t>Lief.-Rabatt %</t>
  </si>
  <si>
    <t>Zieleinkaufspreis €</t>
  </si>
  <si>
    <t>Lief.-Skonto %</t>
  </si>
  <si>
    <t>Bareinkaufspreis €</t>
  </si>
  <si>
    <t>Bezugskosten €</t>
  </si>
  <si>
    <t>Bezugspreis €</t>
  </si>
  <si>
    <t>Handl.-Kosten %</t>
  </si>
  <si>
    <t>Selbstkosten €</t>
  </si>
  <si>
    <t>Gewinn-zuschlag %</t>
  </si>
  <si>
    <t>Barverkaufspreis €</t>
  </si>
  <si>
    <t>Kunden-skonto %</t>
  </si>
  <si>
    <t>Zielverkaufspreis €</t>
  </si>
  <si>
    <t>Kunden-rabatt %</t>
  </si>
  <si>
    <t>Nettoverkaufspreis €</t>
  </si>
  <si>
    <t>USt %</t>
  </si>
  <si>
    <t>Bruttoverkaufspreis €</t>
  </si>
  <si>
    <t>Kalk.-Zuschlag %</t>
  </si>
  <si>
    <t>Handels-spanne %</t>
  </si>
  <si>
    <t>Marge €</t>
  </si>
  <si>
    <t>Premium Kopfhörer</t>
  </si>
  <si>
    <t>Elektronik</t>
  </si>
  <si>
    <t>Designer T-Shirt</t>
  </si>
  <si>
    <t>Bekleidung</t>
  </si>
  <si>
    <t>Edelstahl Wasserkocher</t>
  </si>
  <si>
    <t>Haushaltsware</t>
  </si>
  <si>
    <t>Ergonomischer Bürostuhl</t>
  </si>
  <si>
    <t>Bürobedarf</t>
  </si>
  <si>
    <t>Lauf-Sneakers</t>
  </si>
  <si>
    <t>Sport &amp; Freizeit</t>
  </si>
  <si>
    <t>Anti-Aging Gesichtscreme</t>
  </si>
  <si>
    <t>Kosmetik</t>
  </si>
  <si>
    <t>Holz-Bausteine Set 100</t>
  </si>
  <si>
    <t>Spielwaren</t>
  </si>
  <si>
    <t>Akkuschrauber 18V</t>
  </si>
  <si>
    <t>Werkzeug</t>
  </si>
  <si>
    <t>Bio-Olivenöl 750ml</t>
  </si>
  <si>
    <t>Lebensmittel</t>
  </si>
  <si>
    <t>Holz-Couchtisch</t>
  </si>
  <si>
    <t>Möbel</t>
  </si>
  <si>
    <t>STAMMDATEN &amp; STANDARD-ZUSCHLAGSSÄTZE</t>
  </si>
  <si>
    <t>Standard-Zuschlagssätze</t>
  </si>
  <si>
    <t>Kategorien</t>
  </si>
  <si>
    <t>USt-Sätze</t>
  </si>
  <si>
    <t>Lieferantenrabatt</t>
  </si>
  <si>
    <t>Lieferantenskonto</t>
  </si>
  <si>
    <t>Handlungskostenzuschlag</t>
  </si>
  <si>
    <t>Gewinnzuschlag</t>
  </si>
  <si>
    <t>Kundenskonto</t>
  </si>
  <si>
    <t>Kundenrabatt</t>
  </si>
  <si>
    <t>USt-Satz Standard</t>
  </si>
  <si>
    <t>USt-Satz ermäßigt</t>
  </si>
  <si>
    <t>Unternehmens-Information</t>
  </si>
  <si>
    <t>Sonstiges</t>
  </si>
  <si>
    <t>Musterbetrieb GmbH</t>
  </si>
  <si>
    <t>Handel</t>
  </si>
  <si>
    <t>Kalkulationsperiode</t>
  </si>
  <si>
    <t>Geschäftsjahr 2026</t>
  </si>
  <si>
    <t>Verantwortlich</t>
  </si>
  <si>
    <t>M. Beispiel</t>
  </si>
  <si>
    <t>Erstellt am</t>
  </si>
  <si>
    <t>Hinweise zur Kalkulation</t>
  </si>
  <si>
    <t>• Gelb hinterlegte Zellen sind Eingabewerte und dürfen frei angepasst werden.</t>
  </si>
  <si>
    <t>• Lieferantenrabatt und Lieferantenskonto werden 'vom Hundert' gerechnet (Abzug vom Bruttowert).</t>
  </si>
  <si>
    <t>• Kundenskonto und Kundenrabatt werden 'im Hundert' gerechnet (Aufschlag, sodass nach Abzug der korrekte Wert übrig bleibt).</t>
  </si>
  <si>
    <t>• Der Kalkulationsfaktor zeigt das Verhältnis Nettoverkaufspreis / Bezugspreis.</t>
  </si>
  <si>
    <t>• Die Handelsspanne wird auf den Nettoverkaufspreis bezogen; der Kalkulationsaufschlag auf den Bezugspreis.</t>
  </si>
  <si>
    <t>• Diese Vorlage dient der Preiskalkulation im Handel. Die Werte sind beispielhaft und unverbindlich.</t>
  </si>
  <si>
    <t>KALKULATION VERKAUFSPREIS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</si>
</sst>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"/>
    <numFmt numFmtId="166" formatCode="0.000"/>
    <numFmt numFmtId="167" formatCode="0.0%"/>
  </numFmts>
  <fonts count="27" x14ac:knownFonts="1">
    <font>
      <sz val="11"/>
      <color theme="1"/>
      <name val="Calibri"/>
      <family val="2"/>
      <charset val="1"/>
    </font>
    <font>
      <b/>
      <sz val="22"/>
      <color rgb="FF1F3A5F"/>
      <name val="Calibri"/>
      <charset val="1"/>
    </font>
    <font>
      <i/>
      <sz val="11"/>
      <color rgb="FF3D5170"/>
      <name val="Calibri"/>
      <charset val="1"/>
    </font>
    <font>
      <b/>
      <sz val="11"/>
      <color rgb="FFFFFFFF"/>
      <name val="Calibri"/>
      <charset val="1"/>
    </font>
    <font>
      <b/>
      <sz val="9"/>
      <color rgb="FF3D5170"/>
      <name val="Cambria"/>
      <charset val="1"/>
    </font>
    <font>
      <b/>
      <sz val="11"/>
      <color rgb="FF1F3A5F"/>
      <name val="Cambria"/>
      <charset val="1"/>
    </font>
    <font>
      <b/>
      <sz val="9"/>
      <color rgb="FF3D5170"/>
      <name val="Calibri"/>
      <charset val="1"/>
    </font>
    <font>
      <b/>
      <sz val="16"/>
      <color rgb="FF1F3A5F"/>
      <name val="Calibri"/>
      <charset val="1"/>
    </font>
    <font>
      <b/>
      <sz val="16"/>
      <color rgb="FF2E7D5B"/>
      <name val="Calibri"/>
      <charset val="1"/>
    </font>
    <font>
      <b/>
      <sz val="16"/>
      <color rgb="FFB5384E"/>
      <name val="Calibri"/>
      <charset val="1"/>
    </font>
    <font>
      <b/>
      <sz val="10"/>
      <color rgb="FF1F3A5F"/>
      <name val="Calibri"/>
      <charset val="1"/>
    </font>
    <font>
      <b/>
      <sz val="10"/>
      <color rgb="FF1A202C"/>
      <name val="Calibri"/>
      <charset val="1"/>
    </font>
    <font>
      <sz val="10"/>
      <color rgb="FF1A202C"/>
      <name val="Calibri"/>
      <charset val="1"/>
    </font>
    <font>
      <b/>
      <sz val="10"/>
      <color rgb="FF2E7D5B"/>
      <name val="Calibri"/>
      <charset val="1"/>
    </font>
    <font>
      <i/>
      <sz val="9"/>
      <color rgb="FF3D5170"/>
      <name val="Calibri"/>
      <charset val="1"/>
    </font>
    <font>
      <sz val="10"/>
      <color rgb="FF1F3A5F"/>
      <name val="Calibri"/>
      <charset val="1"/>
    </font>
    <font>
      <sz val="10"/>
      <color rgb="FF8B5A2B"/>
      <name val="Calibri"/>
      <charset val="1"/>
    </font>
    <font>
      <b/>
      <sz val="10"/>
      <color rgb="FF8B5A2B"/>
      <name val="Calibri"/>
      <charset val="1"/>
    </font>
    <font>
      <sz val="10"/>
      <color rgb="FF2E7D5B"/>
      <name val="Calibri"/>
      <charset val="1"/>
    </font>
    <font>
      <b/>
      <sz val="14"/>
      <color rgb="FFFFFFFF"/>
      <name val="Calibri"/>
      <charset val="1"/>
    </font>
    <font>
      <i/>
      <sz val="10"/>
      <color rgb="FF3D5170"/>
      <name val="Calibri"/>
      <charset val="1"/>
    </font>
    <font>
      <b/>
      <sz val="10"/>
      <color rgb="FF3D5170"/>
      <name val="Calibri"/>
      <charset val="1"/>
    </font>
    <font>
      <b/>
      <sz val="10"/>
      <color rgb="FF8B6914"/>
      <name val="Calibri"/>
      <charset val="1"/>
    </font>
    <font>
      <b/>
      <sz val="9"/>
      <color rgb="FF1A202C"/>
      <name val="Calibri"/>
      <charset val="1"/>
    </font>
    <font>
      <b/>
      <sz val="11"/>
      <color rgb="FFFFFFFF"/>
      <name val="Cambria"/>
      <charset val="1"/>
    </font>
    <font>
      <b/>
      <sz val="11"/>
      <color rgb="FF1F3A5F"/>
      <name val="Calibri"/>
      <charset val="1"/>
    </font>
    <font>
      <b/>
      <sz val="11"/>
      <name val="Cambria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A5F"/>
        <bgColor rgb="FF3D5170"/>
      </patternFill>
    </fill>
    <fill>
      <patternFill patternType="solid">
        <fgColor rgb="FFF4F6F8"/>
        <bgColor rgb="FFEDF2F7"/>
      </patternFill>
    </fill>
    <fill>
      <patternFill patternType="solid">
        <fgColor rgb="FFFFFFFF"/>
        <bgColor rgb="FFF4F6F8"/>
      </patternFill>
    </fill>
    <fill>
      <patternFill patternType="solid">
        <fgColor rgb="FFEDF2F7"/>
        <bgColor rgb="FFF4F6F8"/>
      </patternFill>
    </fill>
    <fill>
      <patternFill patternType="solid">
        <fgColor rgb="FFDCE7F1"/>
        <bgColor rgb="FFDCEDD5"/>
      </patternFill>
    </fill>
    <fill>
      <patternFill patternType="solid">
        <fgColor rgb="FFF5E6D4"/>
        <bgColor rgb="FFFFF4CE"/>
      </patternFill>
    </fill>
    <fill>
      <patternFill patternType="solid">
        <fgColor rgb="FFDCEDD5"/>
        <bgColor rgb="FFDCE7F1"/>
      </patternFill>
    </fill>
    <fill>
      <patternFill patternType="solid">
        <fgColor rgb="FFFFF4CE"/>
        <bgColor rgb="FFF5E6D4"/>
      </patternFill>
    </fill>
    <fill>
      <patternFill patternType="solid">
        <fgColor rgb="FF3D5170"/>
        <bgColor rgb="FF1F3A5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F3A5F"/>
      </bottom>
      <diagonal/>
    </border>
    <border>
      <left style="thin">
        <color rgb="FFD1D9E0"/>
      </left>
      <right style="thin">
        <color rgb="FFD1D9E0"/>
      </right>
      <top style="medium">
        <color rgb="FF1F3A5F"/>
      </top>
      <bottom/>
      <diagonal/>
    </border>
    <border>
      <left style="thin">
        <color rgb="FFD1D9E0"/>
      </left>
      <right style="thin">
        <color rgb="FFD1D9E0"/>
      </right>
      <top/>
      <bottom style="thin">
        <color rgb="FFD1D9E0"/>
      </bottom>
      <diagonal/>
    </border>
    <border>
      <left/>
      <right/>
      <top style="thin">
        <color rgb="FFD1D9E0"/>
      </top>
      <bottom style="medium">
        <color rgb="FF1F3A5F"/>
      </bottom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2" fillId="9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14" fillId="0" borderId="0" xfId="0" applyFont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indent="1"/>
    </xf>
    <xf numFmtId="0" fontId="14" fillId="7" borderId="5" xfId="0" applyFont="1" applyFill="1" applyBorder="1" applyAlignment="1">
      <alignment horizontal="left" vertical="center" indent="1"/>
    </xf>
    <xf numFmtId="0" fontId="14" fillId="6" borderId="5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3" borderId="0" xfId="0" applyFont="1" applyFill="1" applyAlignment="1">
      <alignment horizontal="left" vertical="center" indent="1"/>
    </xf>
    <xf numFmtId="49" fontId="5" fillId="3" borderId="0" xfId="0" applyNumberFormat="1" applyFont="1" applyFill="1" applyAlignment="1">
      <alignment horizontal="left" vertical="center" indent="1"/>
    </xf>
    <xf numFmtId="164" fontId="5" fillId="3" borderId="0" xfId="0" applyNumberFormat="1" applyFont="1" applyFill="1" applyAlignment="1">
      <alignment horizontal="left" vertical="center" indent="1"/>
    </xf>
    <xf numFmtId="0" fontId="6" fillId="4" borderId="2" xfId="0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/>
    </xf>
    <xf numFmtId="166" fontId="7" fillId="4" borderId="3" xfId="0" applyNumberFormat="1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165" fontId="12" fillId="0" borderId="5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left" vertical="center" indent="1"/>
    </xf>
    <xf numFmtId="49" fontId="12" fillId="5" borderId="5" xfId="0" applyNumberFormat="1" applyFont="1" applyFill="1" applyBorder="1" applyAlignment="1">
      <alignment horizontal="left" vertical="center" indent="1"/>
    </xf>
    <xf numFmtId="165" fontId="12" fillId="5" borderId="5" xfId="0" applyNumberFormat="1" applyFont="1" applyFill="1" applyBorder="1" applyAlignment="1">
      <alignment horizontal="center" vertical="center"/>
    </xf>
    <xf numFmtId="166" fontId="12" fillId="5" borderId="5" xfId="0" applyNumberFormat="1" applyFont="1" applyFill="1" applyBorder="1" applyAlignment="1">
      <alignment horizontal="center" vertical="center"/>
    </xf>
    <xf numFmtId="167" fontId="12" fillId="5" borderId="5" xfId="0" applyNumberFormat="1" applyFont="1" applyFill="1" applyBorder="1" applyAlignment="1">
      <alignment horizontal="center" vertical="center"/>
    </xf>
    <xf numFmtId="165" fontId="13" fillId="5" borderId="5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 indent="1"/>
    </xf>
    <xf numFmtId="0" fontId="15" fillId="6" borderId="5" xfId="0" applyFont="1" applyFill="1" applyBorder="1" applyAlignment="1">
      <alignment horizontal="left" vertical="center" indent="1"/>
    </xf>
    <xf numFmtId="0" fontId="16" fillId="7" borderId="5" xfId="0" applyFont="1" applyFill="1" applyBorder="1" applyAlignment="1">
      <alignment horizontal="left" vertical="center" indent="1"/>
    </xf>
    <xf numFmtId="0" fontId="17" fillId="7" borderId="5" xfId="0" applyFont="1" applyFill="1" applyBorder="1" applyAlignment="1">
      <alignment horizontal="left" vertical="center" indent="1"/>
    </xf>
    <xf numFmtId="0" fontId="18" fillId="8" borderId="5" xfId="0" applyFont="1" applyFill="1" applyBorder="1" applyAlignment="1">
      <alignment horizontal="left" vertical="center" indent="1"/>
    </xf>
    <xf numFmtId="0" fontId="13" fillId="8" borderId="5" xfId="0" applyFont="1" applyFill="1" applyBorder="1" applyAlignment="1">
      <alignment horizontal="left" vertical="center" indent="1"/>
    </xf>
    <xf numFmtId="0" fontId="23" fillId="3" borderId="5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165" fontId="15" fillId="9" borderId="5" xfId="0" applyNumberFormat="1" applyFont="1" applyFill="1" applyBorder="1" applyAlignment="1">
      <alignment horizontal="center" vertical="center"/>
    </xf>
    <xf numFmtId="167" fontId="15" fillId="9" borderId="5" xfId="0" applyNumberFormat="1" applyFont="1" applyFill="1" applyBorder="1" applyAlignment="1">
      <alignment horizontal="center" vertical="center"/>
    </xf>
    <xf numFmtId="165" fontId="10" fillId="8" borderId="5" xfId="0" applyNumberFormat="1" applyFont="1" applyFill="1" applyBorder="1" applyAlignment="1">
      <alignment horizontal="center" vertical="center"/>
    </xf>
    <xf numFmtId="165" fontId="13" fillId="9" borderId="5" xfId="0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indent="1"/>
    </xf>
    <xf numFmtId="0" fontId="12" fillId="5" borderId="5" xfId="0" applyFont="1" applyFill="1" applyBorder="1" applyAlignment="1">
      <alignment horizontal="left" vertical="center" indent="1"/>
    </xf>
    <xf numFmtId="165" fontId="24" fillId="10" borderId="5" xfId="0" applyNumberFormat="1" applyFont="1" applyFill="1" applyBorder="1" applyAlignment="1">
      <alignment horizontal="center" vertical="center"/>
    </xf>
    <xf numFmtId="167" fontId="24" fillId="10" borderId="5" xfId="0" applyNumberFormat="1" applyFont="1" applyFill="1" applyBorder="1" applyAlignment="1">
      <alignment horizontal="center" vertical="center"/>
    </xf>
    <xf numFmtId="166" fontId="24" fillId="10" borderId="5" xfId="0" applyNumberFormat="1" applyFont="1" applyFill="1" applyBorder="1" applyAlignment="1">
      <alignment horizontal="center" vertical="center"/>
    </xf>
    <xf numFmtId="0" fontId="25" fillId="0" borderId="0" xfId="0" applyFont="1"/>
    <xf numFmtId="0" fontId="5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167" fontId="5" fillId="9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 indent="1"/>
    </xf>
    <xf numFmtId="167" fontId="0" fillId="0" borderId="5" xfId="0" applyNumberFormat="1" applyBorder="1" applyAlignment="1">
      <alignment horizontal="center"/>
    </xf>
    <xf numFmtId="0" fontId="0" fillId="9" borderId="5" xfId="0" applyFill="1" applyBorder="1" applyAlignment="1">
      <alignment horizontal="left" indent="1"/>
    </xf>
    <xf numFmtId="164" fontId="0" fillId="9" borderId="5" xfId="0" applyNumberFormat="1" applyFill="1" applyBorder="1" applyAlignment="1">
      <alignment horizontal="left" indent="1"/>
    </xf>
    <xf numFmtId="0" fontId="0" fillId="10" borderId="0" xfId="0" applyFill="1"/>
    <xf numFmtId="0" fontId="0" fillId="0" borderId="0" xfId="0" applyAlignment="1">
      <alignment horizontal="left" wrapText="1" indent="1"/>
    </xf>
  </cellXfs>
  <cellStyles count="1">
    <cellStyle name="Standard" xfId="0" builtinId="0"/>
  </cellStyles>
  <dxfs count="2">
    <dxf>
      <font>
        <b/>
        <color rgb="FFB5384E"/>
      </font>
    </dxf>
    <dxf>
      <font>
        <b/>
        <color rgb="FF2E7D5B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008080"/>
      <rgbColor rgb="FFD9D9D9"/>
      <rgbColor rgb="FF878787"/>
      <rgbColor rgb="FF9999FF"/>
      <rgbColor rgb="FFB5384E"/>
      <rgbColor rgb="FFFFF4CE"/>
      <rgbColor rgb="FFEDF2F7"/>
      <rgbColor rgb="FF660066"/>
      <rgbColor rgb="FFFF8080"/>
      <rgbColor rgb="FF0066CC"/>
      <rgbColor rgb="FFD1D9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7F1"/>
      <rgbColor rgb="FFDCEDD5"/>
      <rgbColor rgb="FFF5E6D4"/>
      <rgbColor rgb="FF99CCFF"/>
      <rgbColor rgb="FFFF99CC"/>
      <rgbColor rgb="FFCC99FF"/>
      <rgbColor rgb="FFF4F6F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2E7D5B"/>
      <rgbColor rgb="FF003300"/>
      <rgbColor rgb="FF333300"/>
      <rgbColor rgb="FF8B5A2B"/>
      <rgbColor rgb="FF993366"/>
      <rgbColor rgb="FF3D5170"/>
      <rgbColor rgb="FF1A20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Marge pro Artikel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2E7D5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Kalkulation!$B$6:$B$15</c:f>
              <c:strCache>
                <c:ptCount val="10"/>
                <c:pt idx="0">
                  <c:v>Premium Kopfhörer</c:v>
                </c:pt>
                <c:pt idx="1">
                  <c:v>Designer T-Shirt</c:v>
                </c:pt>
                <c:pt idx="2">
                  <c:v>Edelstahl Wasserkocher</c:v>
                </c:pt>
                <c:pt idx="3">
                  <c:v>Ergonomischer Bürostuhl</c:v>
                </c:pt>
                <c:pt idx="4">
                  <c:v>Lauf-Sneakers</c:v>
                </c:pt>
                <c:pt idx="5">
                  <c:v>Anti-Aging Gesichtscreme</c:v>
                </c:pt>
                <c:pt idx="6">
                  <c:v>Holz-Bausteine Set 100</c:v>
                </c:pt>
                <c:pt idx="7">
                  <c:v>Akkuschrauber 18V</c:v>
                </c:pt>
                <c:pt idx="8">
                  <c:v>Bio-Olivenöl 750ml</c:v>
                </c:pt>
                <c:pt idx="9">
                  <c:v>Holz-Couchtisch</c:v>
                </c:pt>
              </c:strCache>
            </c:strRef>
          </c:cat>
          <c:val>
            <c:numRef>
              <c:f>Kalkulation!$X$6:$X$15</c:f>
              <c:numCache>
                <c:formatCode>#,##0.00" €"</c:formatCode>
                <c:ptCount val="10"/>
                <c:pt idx="0">
                  <c:v>35.541009070294791</c:v>
                </c:pt>
                <c:pt idx="1">
                  <c:v>10.980795918367345</c:v>
                </c:pt>
                <c:pt idx="2">
                  <c:v>12.996787932564327</c:v>
                </c:pt>
                <c:pt idx="3">
                  <c:v>71.930195876288636</c:v>
                </c:pt>
                <c:pt idx="4">
                  <c:v>23.669242630385483</c:v>
                </c:pt>
                <c:pt idx="5">
                  <c:v>8.5332451127819535</c:v>
                </c:pt>
                <c:pt idx="6">
                  <c:v>16.70149433106576</c:v>
                </c:pt>
                <c:pt idx="7">
                  <c:v>24.066282165039922</c:v>
                </c:pt>
                <c:pt idx="8">
                  <c:v>4.6667213748657375</c:v>
                </c:pt>
                <c:pt idx="9">
                  <c:v>93.935573074590664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C-4A8A-A13F-576242C81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60796"/>
        <c:axId val="66201794"/>
      </c:barChart>
      <c:catAx>
        <c:axId val="863607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Marge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6201794"/>
        <c:crosses val="autoZero"/>
        <c:auto val="1"/>
        <c:lblAlgn val="ctr"/>
        <c:lblOffset val="100"/>
        <c:noMultiLvlLbl val="0"/>
      </c:catAx>
      <c:valAx>
        <c:axId val="6620179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636079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54</xdr:row>
      <xdr:rowOff>0</xdr:rowOff>
    </xdr:from>
    <xdr:to>
      <xdr:col>13</xdr:col>
      <xdr:colOff>141795</xdr:colOff>
      <xdr:row>76</xdr:row>
      <xdr:rowOff>128520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0"/>
  <sheetViews>
    <sheetView showGridLines="0" tabSelected="1" zoomScaleNormal="100" workbookViewId="0">
      <selection activeCell="G23" sqref="G23"/>
    </sheetView>
  </sheetViews>
  <sheetFormatPr baseColWidth="10" defaultColWidth="8.7109375" defaultRowHeight="15" x14ac:dyDescent="0.25"/>
  <cols>
    <col min="1" max="1" width="2" customWidth="1"/>
    <col min="2" max="2" width="24.42578125" bestFit="1" customWidth="1"/>
    <col min="3" max="3" width="18" customWidth="1"/>
    <col min="4" max="4" width="10.140625" bestFit="1" customWidth="1"/>
    <col min="5" max="5" width="22.42578125" customWidth="1"/>
    <col min="6" max="6" width="12" bestFit="1" customWidth="1"/>
    <col min="7" max="7" width="7.85546875" customWidth="1"/>
    <col min="8" max="8" width="21.5703125" customWidth="1"/>
    <col min="9" max="9" width="18" customWidth="1"/>
    <col min="10" max="10" width="2" customWidth="1"/>
    <col min="11" max="11" width="18.5703125" customWidth="1"/>
    <col min="12" max="12" width="18" customWidth="1"/>
    <col min="13" max="13" width="2" customWidth="1"/>
  </cols>
  <sheetData>
    <row r="2" spans="2:12" ht="36" customHeight="1" x14ac:dyDescent="0.25">
      <c r="B2" s="14" t="s">
        <v>134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8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6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6" spans="2:12" ht="24" customHeight="1" x14ac:dyDescent="0.25"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2" ht="27.75" customHeight="1" x14ac:dyDescent="0.25">
      <c r="B7" s="16" t="s">
        <v>2</v>
      </c>
      <c r="C7" s="17" t="str">
        <f>Stammdaten!B15</f>
        <v>Musterbetrieb GmbH</v>
      </c>
      <c r="E7" s="16" t="s">
        <v>3</v>
      </c>
      <c r="F7" s="17" t="str">
        <f>Stammdaten!B16</f>
        <v>Handel</v>
      </c>
      <c r="H7" s="16" t="s">
        <v>4</v>
      </c>
      <c r="I7" s="17" t="str">
        <f>Stammdaten!B17</f>
        <v>Geschäftsjahr 2026</v>
      </c>
      <c r="K7" s="16" t="s">
        <v>5</v>
      </c>
      <c r="L7" s="18">
        <f>Stammdaten!B19</f>
        <v>46037</v>
      </c>
    </row>
    <row r="9" spans="2:12" ht="24" customHeight="1" x14ac:dyDescent="0.25"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1" spans="2:12" ht="18" customHeight="1" x14ac:dyDescent="0.25">
      <c r="B11" s="19" t="s">
        <v>7</v>
      </c>
      <c r="E11" s="19" t="s">
        <v>8</v>
      </c>
      <c r="H11" s="19" t="s">
        <v>9</v>
      </c>
      <c r="K11" s="19" t="s">
        <v>10</v>
      </c>
    </row>
    <row r="12" spans="2:12" ht="36" customHeight="1" x14ac:dyDescent="0.25">
      <c r="B12" s="20">
        <f>COUNTA(Kalkulation!B6:B25)</f>
        <v>10</v>
      </c>
      <c r="E12" s="21">
        <f>SUM(Kalkulation!J6:J25)</f>
        <v>345.34860000000003</v>
      </c>
      <c r="H12" s="21">
        <f>SUM(Kalkulation!R6:R25)</f>
        <v>648.36994748624466</v>
      </c>
      <c r="K12" s="22">
        <f>SUM(Kalkulation!X6:X25)</f>
        <v>303.02134748624462</v>
      </c>
    </row>
    <row r="14" spans="2:12" ht="18" customHeight="1" x14ac:dyDescent="0.25">
      <c r="B14" s="19" t="s">
        <v>11</v>
      </c>
      <c r="E14" s="19" t="s">
        <v>12</v>
      </c>
      <c r="H14" s="19" t="s">
        <v>13</v>
      </c>
      <c r="K14" s="19" t="s">
        <v>14</v>
      </c>
    </row>
    <row r="15" spans="2:12" ht="36" customHeight="1" x14ac:dyDescent="0.25">
      <c r="B15" s="21">
        <f>IFERROR(AVERAGEIF(Kalkulation!J6:J25,"&gt;0"),0)</f>
        <v>34.534860000000002</v>
      </c>
      <c r="E15" s="21">
        <f>IFERROR(AVERAGEIF(Kalkulation!R6:R25,"&gt;0"),0)</f>
        <v>64.836994748624463</v>
      </c>
      <c r="H15" s="21">
        <f>IFERROR(AVERAGEIF(Kalkulation!T6:T25,"&gt;0"),0)</f>
        <v>77.024898294364718</v>
      </c>
      <c r="K15" s="22">
        <f>IFERROR(AVERAGEIF(Kalkulation!X6:X25,"&gt;0"),0)</f>
        <v>30.302134748624461</v>
      </c>
    </row>
    <row r="17" spans="2:12" ht="18" customHeight="1" x14ac:dyDescent="0.25">
      <c r="B17" s="19" t="s">
        <v>15</v>
      </c>
      <c r="E17" s="19" t="s">
        <v>16</v>
      </c>
      <c r="H17" s="19" t="s">
        <v>17</v>
      </c>
      <c r="K17" s="19" t="s">
        <v>18</v>
      </c>
    </row>
    <row r="18" spans="2:12" ht="36" customHeight="1" x14ac:dyDescent="0.25">
      <c r="B18" s="23">
        <f>IFERROR(AVERAGEIF(Kalkulation!U6:U25,"&gt;0"),0)</f>
        <v>1.8771671791224687</v>
      </c>
      <c r="E18" s="24">
        <f>IFERROR(AVERAGEIF(Kalkulation!W6:W25,"&gt;0"),0)</f>
        <v>0.46477529714691712</v>
      </c>
      <c r="H18" s="22">
        <f>IFERROR(MAX(Kalkulation!X6:X25),0)</f>
        <v>93.935573074590664</v>
      </c>
      <c r="K18" s="25">
        <f>IFERROR(MIN(IF(Kalkulation!X6:X25&gt;0,Kalkulation!X6:X25)),0)</f>
        <v>4.6667213748657375</v>
      </c>
    </row>
    <row r="21" spans="2:12" ht="24" customHeight="1" x14ac:dyDescent="0.25"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ht="24" customHeight="1" x14ac:dyDescent="0.25">
      <c r="B22" s="26" t="s">
        <v>20</v>
      </c>
      <c r="C22" s="26" t="s">
        <v>21</v>
      </c>
      <c r="D22" s="26" t="s">
        <v>22</v>
      </c>
      <c r="E22" s="26" t="s">
        <v>23</v>
      </c>
      <c r="F22" s="26" t="s">
        <v>24</v>
      </c>
      <c r="G22" s="26" t="s">
        <v>25</v>
      </c>
      <c r="H22" s="26" t="s">
        <v>26</v>
      </c>
      <c r="I22" s="26" t="s">
        <v>27</v>
      </c>
    </row>
    <row r="23" spans="2:12" ht="21.75" customHeight="1" x14ac:dyDescent="0.25">
      <c r="B23" s="27" t="str">
        <f>IFERROR(INDEX(Kalkulation!B6:B25,MATCH(LARGE(Kalkulation!X6:X25,1),Kalkulation!X6:X25,0)),"")</f>
        <v>Holz-Couchtisch</v>
      </c>
      <c r="C23" s="28" t="str">
        <f>IFERROR(INDEX(Kalkulation!C6:C25,MATCH(LARGE(Kalkulation!X6:X25,1),Kalkulation!X6:X25,0)),"")</f>
        <v>Möbel</v>
      </c>
      <c r="D23" s="29">
        <f>IFERROR(INDEX(Kalkulation!J6:J25,MATCH(LARGE(Kalkulation!X6:X25,1),Kalkulation!X6:X25,0)),"")</f>
        <v>97.36</v>
      </c>
      <c r="E23" s="29">
        <f>IFERROR(INDEX(Kalkulation!R6:R25,MATCH(LARGE(Kalkulation!X6:X25,1),Kalkulation!X6:X25,0)),"")</f>
        <v>191.29557307459066</v>
      </c>
      <c r="F23" s="29">
        <f>IFERROR(INDEX(Kalkulation!T6:T25,MATCH(LARGE(Kalkulation!X6:X25,1),Kalkulation!X6:X25,0)),"")</f>
        <v>227.64173195876288</v>
      </c>
      <c r="G23" s="30">
        <f>IFERROR(INDEX(Kalkulation!U6:U25,MATCH(LARGE(Kalkulation!X6:X25,1),Kalkulation!X6:X25,0)),"")</f>
        <v>1.9648271679805944</v>
      </c>
      <c r="H23" s="31">
        <f>IFERROR(INDEX(Kalkulation!W6:W25,MATCH(LARGE(Kalkulation!X6:X25,1),Kalkulation!X6:X25,0)),"")</f>
        <v>0.49104938271604937</v>
      </c>
      <c r="I23" s="32">
        <f>IFERROR(LARGE(Kalkulation!X6:X25,1),0)</f>
        <v>93.935573074590664</v>
      </c>
    </row>
    <row r="24" spans="2:12" ht="21.75" customHeight="1" x14ac:dyDescent="0.25">
      <c r="B24" s="33" t="str">
        <f>IFERROR(INDEX(Kalkulation!B6:B25,MATCH(LARGE(Kalkulation!X6:X25,2),Kalkulation!X6:X25,0)),"")</f>
        <v>Ergonomischer Bürostuhl</v>
      </c>
      <c r="C24" s="34" t="str">
        <f>IFERROR(INDEX(Kalkulation!C6:C25,MATCH(LARGE(Kalkulation!X6:X25,2),Kalkulation!X6:X25,0)),"")</f>
        <v>Bürobedarf</v>
      </c>
      <c r="D24" s="35">
        <f>IFERROR(INDEX(Kalkulation!J6:J25,MATCH(LARGE(Kalkulation!X6:X25,2),Kalkulation!X6:X25,0)),"")</f>
        <v>84.063000000000002</v>
      </c>
      <c r="E24" s="35">
        <f>IFERROR(INDEX(Kalkulation!R6:R25,MATCH(LARGE(Kalkulation!X6:X25,2),Kalkulation!X6:X25,0)),"")</f>
        <v>155.99319587628864</v>
      </c>
      <c r="F24" s="35">
        <f>IFERROR(INDEX(Kalkulation!T6:T25,MATCH(LARGE(Kalkulation!X6:X25,2),Kalkulation!X6:X25,0)),"")</f>
        <v>185.63190309278346</v>
      </c>
      <c r="G24" s="36">
        <f>IFERROR(INDEX(Kalkulation!U6:U25,MATCH(LARGE(Kalkulation!X6:X25,2),Kalkulation!X6:X25,0)),"")</f>
        <v>1.8556701030927831</v>
      </c>
      <c r="H24" s="37">
        <f>IFERROR(INDEX(Kalkulation!W6:W25,MATCH(LARGE(Kalkulation!X6:X25,2),Kalkulation!X6:X25,0)),"")</f>
        <v>0.46111111111111103</v>
      </c>
      <c r="I24" s="38">
        <f>IFERROR(LARGE(Kalkulation!X6:X25,2),0)</f>
        <v>71.930195876288636</v>
      </c>
    </row>
    <row r="25" spans="2:12" ht="21.75" customHeight="1" x14ac:dyDescent="0.25">
      <c r="B25" s="27" t="str">
        <f>IFERROR(INDEX(Kalkulation!B6:B25,MATCH(LARGE(Kalkulation!X6:X25,3),Kalkulation!X6:X25,0)),"")</f>
        <v>Premium Kopfhörer</v>
      </c>
      <c r="C25" s="28" t="str">
        <f>IFERROR(INDEX(Kalkulation!C6:C25,MATCH(LARGE(Kalkulation!X6:X25,3),Kalkulation!X6:X25,0)),"")</f>
        <v>Elektronik</v>
      </c>
      <c r="D25" s="29">
        <f>IFERROR(INDEX(Kalkulation!J6:J25,MATCH(LARGE(Kalkulation!X6:X25,3),Kalkulation!X6:X25,0)),"")</f>
        <v>42.19</v>
      </c>
      <c r="E25" s="29">
        <f>IFERROR(INDEX(Kalkulation!R6:R25,MATCH(LARGE(Kalkulation!X6:X25,3),Kalkulation!X6:X25,0)),"")</f>
        <v>77.731009070294789</v>
      </c>
      <c r="F25" s="29">
        <f>IFERROR(INDEX(Kalkulation!T6:T25,MATCH(LARGE(Kalkulation!X6:X25,3),Kalkulation!X6:X25,0)),"")</f>
        <v>92.499900793650795</v>
      </c>
      <c r="G25" s="30">
        <f>IFERROR(INDEX(Kalkulation!U6:U25,MATCH(LARGE(Kalkulation!X6:X25,3),Kalkulation!X6:X25,0)),"")</f>
        <v>1.8424036281179141</v>
      </c>
      <c r="H25" s="31">
        <f>IFERROR(INDEX(Kalkulation!W6:W25,MATCH(LARGE(Kalkulation!X6:X25,3),Kalkulation!X6:X25,0)),"")</f>
        <v>0.45723076923076927</v>
      </c>
      <c r="I25" s="32">
        <f>IFERROR(LARGE(Kalkulation!X6:X25,3),0)</f>
        <v>35.541009070294791</v>
      </c>
    </row>
    <row r="26" spans="2:12" ht="21.75" customHeight="1" x14ac:dyDescent="0.25">
      <c r="B26" s="33" t="str">
        <f>IFERROR(INDEX(Kalkulation!B6:B25,MATCH(LARGE(Kalkulation!X6:X25,4),Kalkulation!X6:X25,0)),"")</f>
        <v>Akkuschrauber 18V</v>
      </c>
      <c r="C26" s="34" t="str">
        <f>IFERROR(INDEX(Kalkulation!C6:C25,MATCH(LARGE(Kalkulation!X6:X25,4),Kalkulation!X6:X25,0)),"")</f>
        <v>Werkzeug</v>
      </c>
      <c r="D26" s="35">
        <f>IFERROR(INDEX(Kalkulation!J6:J25,MATCH(LARGE(Kalkulation!X6:X25,4),Kalkulation!X6:X25,0)),"")</f>
        <v>32.876000000000005</v>
      </c>
      <c r="E26" s="35">
        <f>IFERROR(INDEX(Kalkulation!R6:R25,MATCH(LARGE(Kalkulation!X6:X25,4),Kalkulation!X6:X25,0)),"")</f>
        <v>56.942282165039927</v>
      </c>
      <c r="F26" s="35">
        <f>IFERROR(INDEX(Kalkulation!T6:T25,MATCH(LARGE(Kalkulation!X6:X25,4),Kalkulation!X6:X25,0)),"")</f>
        <v>67.76131577639751</v>
      </c>
      <c r="G26" s="36">
        <f>IFERROR(INDEX(Kalkulation!U6:U25,MATCH(LARGE(Kalkulation!X6:X25,4),Kalkulation!X6:X25,0)),"")</f>
        <v>1.7320319432120672</v>
      </c>
      <c r="H26" s="37">
        <f>IFERROR(INDEX(Kalkulation!W6:W25,MATCH(LARGE(Kalkulation!X6:X25,4),Kalkulation!X6:X25,0)),"")</f>
        <v>0.42264344262295073</v>
      </c>
      <c r="I26" s="38">
        <f>IFERROR(LARGE(Kalkulation!X6:X25,4),0)</f>
        <v>24.066282165039922</v>
      </c>
    </row>
    <row r="27" spans="2:12" ht="21.75" customHeight="1" x14ac:dyDescent="0.25">
      <c r="B27" s="27" t="str">
        <f>IFERROR(INDEX(Kalkulation!B6:B25,MATCH(LARGE(Kalkulation!X6:X25,5),Kalkulation!X6:X25,0)),"")</f>
        <v>Lauf-Sneakers</v>
      </c>
      <c r="C27" s="28" t="str">
        <f>IFERROR(INDEX(Kalkulation!C6:C25,MATCH(LARGE(Kalkulation!X6:X25,5),Kalkulation!X6:X25,0)),"")</f>
        <v>Sport &amp; Freizeit</v>
      </c>
      <c r="D27" s="29">
        <f>IFERROR(INDEX(Kalkulation!J6:J25,MATCH(LARGE(Kalkulation!X6:X25,5),Kalkulation!X6:X25,0)),"")</f>
        <v>26.695999999999998</v>
      </c>
      <c r="E27" s="29">
        <f>IFERROR(INDEX(Kalkulation!R6:R25,MATCH(LARGE(Kalkulation!X6:X25,5),Kalkulation!X6:X25,0)),"")</f>
        <v>50.365242630385481</v>
      </c>
      <c r="F27" s="29">
        <f>IFERROR(INDEX(Kalkulation!T6:T25,MATCH(LARGE(Kalkulation!X6:X25,5),Kalkulation!X6:X25,0)),"")</f>
        <v>59.934638730158717</v>
      </c>
      <c r="G27" s="30">
        <f>IFERROR(INDEX(Kalkulation!U6:U25,MATCH(LARGE(Kalkulation!X6:X25,5),Kalkulation!X6:X25,0)),"")</f>
        <v>1.8866213151927436</v>
      </c>
      <c r="H27" s="31">
        <f>IFERROR(INDEX(Kalkulation!W6:W25,MATCH(LARGE(Kalkulation!X6:X25,5),Kalkulation!X6:X25,0)),"")</f>
        <v>0.46995192307692307</v>
      </c>
      <c r="I27" s="32">
        <f>IFERROR(LARGE(Kalkulation!X6:X25,5),0)</f>
        <v>23.669242630385483</v>
      </c>
    </row>
    <row r="28" spans="2:12" ht="21.75" customHeight="1" x14ac:dyDescent="0.25">
      <c r="B28" s="33" t="str">
        <f>IFERROR(INDEX(Kalkulation!B6:B25,MATCH(LARGE(Kalkulation!X6:X25,6),Kalkulation!X6:X25,0)),"")</f>
        <v>Holz-Bausteine Set 100</v>
      </c>
      <c r="C28" s="34" t="str">
        <f>IFERROR(INDEX(Kalkulation!C6:C25,MATCH(LARGE(Kalkulation!X6:X25,6),Kalkulation!X6:X25,0)),"")</f>
        <v>Spielwaren</v>
      </c>
      <c r="D28" s="35">
        <f>IFERROR(INDEX(Kalkulation!J6:J25,MATCH(LARGE(Kalkulation!X6:X25,6),Kalkulation!X6:X25,0)),"")</f>
        <v>19.826000000000001</v>
      </c>
      <c r="E28" s="35">
        <f>IFERROR(INDEX(Kalkulation!R6:R25,MATCH(LARGE(Kalkulation!X6:X25,6),Kalkulation!X6:X25,0)),"")</f>
        <v>36.52749433106576</v>
      </c>
      <c r="F28" s="35">
        <f>IFERROR(INDEX(Kalkulation!T6:T25,MATCH(LARGE(Kalkulation!X6:X25,6),Kalkulation!X6:X25,0)),"")</f>
        <v>43.467718253968251</v>
      </c>
      <c r="G28" s="36">
        <f>IFERROR(INDEX(Kalkulation!U6:U25,MATCH(LARGE(Kalkulation!X6:X25,6),Kalkulation!X6:X25,0)),"")</f>
        <v>1.8424036281179139</v>
      </c>
      <c r="H28" s="37">
        <f>IFERROR(INDEX(Kalkulation!W6:W25,MATCH(LARGE(Kalkulation!X6:X25,6),Kalkulation!X6:X25,0)),"")</f>
        <v>0.45723076923076922</v>
      </c>
      <c r="I28" s="38">
        <f>IFERROR(LARGE(Kalkulation!X6:X25,6),0)</f>
        <v>16.70149433106576</v>
      </c>
    </row>
    <row r="29" spans="2:12" ht="21.75" customHeight="1" x14ac:dyDescent="0.25">
      <c r="B29" s="27" t="str">
        <f>IFERROR(INDEX(Kalkulation!B6:B25,MATCH(LARGE(Kalkulation!X6:X25,7),Kalkulation!X6:X25,0)),"")</f>
        <v>Edelstahl Wasserkocher</v>
      </c>
      <c r="C29" s="28" t="str">
        <f>IFERROR(INDEX(Kalkulation!C6:C25,MATCH(LARGE(Kalkulation!X6:X25,7),Kalkulation!X6:X25,0)),"")</f>
        <v>Haushaltsware</v>
      </c>
      <c r="D29" s="29">
        <f>IFERROR(INDEX(Kalkulation!J6:J25,MATCH(LARGE(Kalkulation!X6:X25,7),Kalkulation!X6:X25,0)),"")</f>
        <v>17.7544</v>
      </c>
      <c r="E29" s="29">
        <f>IFERROR(INDEX(Kalkulation!R6:R25,MATCH(LARGE(Kalkulation!X6:X25,7),Kalkulation!X6:X25,0)),"")</f>
        <v>30.751187932564328</v>
      </c>
      <c r="F29" s="29">
        <f>IFERROR(INDEX(Kalkulation!T6:T25,MATCH(LARGE(Kalkulation!X6:X25,7),Kalkulation!X6:X25,0)),"")</f>
        <v>36.593913639751548</v>
      </c>
      <c r="G29" s="30">
        <f>IFERROR(INDEX(Kalkulation!U6:U25,MATCH(LARGE(Kalkulation!X6:X25,7),Kalkulation!X6:X25,0)),"")</f>
        <v>1.7320319432120672</v>
      </c>
      <c r="H29" s="31">
        <f>IFERROR(INDEX(Kalkulation!W6:W25,MATCH(LARGE(Kalkulation!X6:X25,7),Kalkulation!X6:X25,0)),"")</f>
        <v>0.42264344262295078</v>
      </c>
      <c r="I29" s="32">
        <f>IFERROR(LARGE(Kalkulation!X6:X25,7),0)</f>
        <v>12.996787932564327</v>
      </c>
    </row>
    <row r="30" spans="2:12" ht="21.75" customHeight="1" x14ac:dyDescent="0.25">
      <c r="B30" s="33" t="str">
        <f>IFERROR(INDEX(Kalkulation!B6:B25,MATCH(LARGE(Kalkulation!X6:X25,8),Kalkulation!X6:X25,0)),"")</f>
        <v>Designer T-Shirt</v>
      </c>
      <c r="C30" s="34" t="str">
        <f>IFERROR(INDEX(Kalkulation!C6:C25,MATCH(LARGE(Kalkulation!X6:X25,8),Kalkulation!X6:X25,0)),"")</f>
        <v>Bekleidung</v>
      </c>
      <c r="D30" s="35">
        <f>IFERROR(INDEX(Kalkulation!J6:J25,MATCH(LARGE(Kalkulation!X6:X25,8),Kalkulation!X6:X25,0)),"")</f>
        <v>11.093999999999998</v>
      </c>
      <c r="E30" s="35">
        <f>IFERROR(INDEX(Kalkulation!R6:R25,MATCH(LARGE(Kalkulation!X6:X25,8),Kalkulation!X6:X25,0)),"")</f>
        <v>22.074795918367343</v>
      </c>
      <c r="F30" s="35">
        <f>IFERROR(INDEX(Kalkulation!T6:T25,MATCH(LARGE(Kalkulation!X6:X25,8),Kalkulation!X6:X25,0)),"")</f>
        <v>26.269007142857138</v>
      </c>
      <c r="G30" s="36">
        <f>IFERROR(INDEX(Kalkulation!U6:U25,MATCH(LARGE(Kalkulation!X6:X25,8),Kalkulation!X6:X25,0)),"")</f>
        <v>1.989795918367347</v>
      </c>
      <c r="H30" s="37">
        <f>IFERROR(INDEX(Kalkulation!W6:W25,MATCH(LARGE(Kalkulation!X6:X25,8),Kalkulation!X6:X25,0)),"")</f>
        <v>0.49743589743589745</v>
      </c>
      <c r="I30" s="38">
        <f>IFERROR(LARGE(Kalkulation!X6:X25,8),0)</f>
        <v>10.980795918367345</v>
      </c>
    </row>
    <row r="31" spans="2:12" ht="21.75" customHeight="1" x14ac:dyDescent="0.25">
      <c r="B31" s="27" t="str">
        <f>IFERROR(INDEX(Kalkulation!B6:B25,MATCH(LARGE(Kalkulation!X6:X25,9),Kalkulation!X6:X25,0)),"")</f>
        <v>Anti-Aging Gesichtscreme</v>
      </c>
      <c r="C31" s="28" t="str">
        <f>IFERROR(INDEX(Kalkulation!C6:C25,MATCH(LARGE(Kalkulation!X6:X25,9),Kalkulation!X6:X25,0)),"")</f>
        <v>Kosmetik</v>
      </c>
      <c r="D31" s="29">
        <f>IFERROR(INDEX(Kalkulation!J6:J25,MATCH(LARGE(Kalkulation!X6:X25,9),Kalkulation!X6:X25,0)),"")</f>
        <v>7.2287999999999997</v>
      </c>
      <c r="E31" s="29">
        <f>IFERROR(INDEX(Kalkulation!R6:R25,MATCH(LARGE(Kalkulation!X6:X25,9),Kalkulation!X6:X25,0)),"")</f>
        <v>15.762045112781953</v>
      </c>
      <c r="F31" s="29">
        <f>IFERROR(INDEX(Kalkulation!T6:T25,MATCH(LARGE(Kalkulation!X6:X25,9),Kalkulation!X6:X25,0)),"")</f>
        <v>18.756833684210523</v>
      </c>
      <c r="G31" s="30">
        <f>IFERROR(INDEX(Kalkulation!U6:U25,MATCH(LARGE(Kalkulation!X6:X25,9),Kalkulation!X6:X25,0)),"")</f>
        <v>2.1804511278195489</v>
      </c>
      <c r="H31" s="31">
        <f>IFERROR(INDEX(Kalkulation!W6:W25,MATCH(LARGE(Kalkulation!X6:X25,9),Kalkulation!X6:X25,0)),"")</f>
        <v>0.54137931034482756</v>
      </c>
      <c r="I31" s="32">
        <f>IFERROR(LARGE(Kalkulation!X6:X25,9),0)</f>
        <v>8.5332451127819535</v>
      </c>
    </row>
    <row r="32" spans="2:12" ht="21.75" customHeight="1" x14ac:dyDescent="0.25">
      <c r="B32" s="33" t="str">
        <f>IFERROR(INDEX(Kalkulation!B6:B25,MATCH(LARGE(Kalkulation!X6:X25,10),Kalkulation!X6:X25,0)),"")</f>
        <v>Bio-Olivenöl 750ml</v>
      </c>
      <c r="C32" s="34" t="str">
        <f>IFERROR(INDEX(Kalkulation!C6:C25,MATCH(LARGE(Kalkulation!X6:X25,10),Kalkulation!X6:X25,0)),"")</f>
        <v>Lebensmittel</v>
      </c>
      <c r="D32" s="35">
        <f>IFERROR(INDEX(Kalkulation!J6:J25,MATCH(LARGE(Kalkulation!X6:X25,10),Kalkulation!X6:X25,0)),"")</f>
        <v>6.2604000000000006</v>
      </c>
      <c r="E32" s="35">
        <f>IFERROR(INDEX(Kalkulation!R6:R25,MATCH(LARGE(Kalkulation!X6:X25,10),Kalkulation!X6:X25,0)),"")</f>
        <v>10.927121374865738</v>
      </c>
      <c r="F32" s="35">
        <f>IFERROR(INDEX(Kalkulation!T6:T25,MATCH(LARGE(Kalkulation!X6:X25,10),Kalkulation!X6:X25,0)),"")</f>
        <v>11.692019871106341</v>
      </c>
      <c r="G32" s="36">
        <f>IFERROR(INDEX(Kalkulation!U6:U25,MATCH(LARGE(Kalkulation!X6:X25,10),Kalkulation!X6:X25,0)),"")</f>
        <v>1.745435016111708</v>
      </c>
      <c r="H32" s="37">
        <f>IFERROR(INDEX(Kalkulation!W6:W25,MATCH(LARGE(Kalkulation!X6:X25,10),Kalkulation!X6:X25,0)),"")</f>
        <v>0.42707692307692313</v>
      </c>
      <c r="I32" s="38">
        <f>IFERROR(LARGE(Kalkulation!X6:X25,10),0)</f>
        <v>4.6667213748657375</v>
      </c>
    </row>
    <row r="35" spans="2:12" ht="24" customHeight="1" x14ac:dyDescent="0.25">
      <c r="B35" s="12" t="s">
        <v>28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2:12" ht="19.5" customHeight="1" x14ac:dyDescent="0.25">
      <c r="B36" s="39" t="s">
        <v>29</v>
      </c>
      <c r="C36" s="11" t="s">
        <v>30</v>
      </c>
      <c r="D36" s="11"/>
      <c r="E36" s="11"/>
      <c r="F36" s="11"/>
    </row>
    <row r="37" spans="2:12" ht="19.5" customHeight="1" x14ac:dyDescent="0.25">
      <c r="B37" s="40" t="s">
        <v>31</v>
      </c>
      <c r="C37" s="11" t="s">
        <v>32</v>
      </c>
      <c r="D37" s="11"/>
      <c r="E37" s="11"/>
      <c r="F37" s="11"/>
    </row>
    <row r="38" spans="2:12" ht="19.5" customHeight="1" x14ac:dyDescent="0.25">
      <c r="B38" s="39" t="s">
        <v>33</v>
      </c>
      <c r="C38" s="11"/>
      <c r="D38" s="11"/>
      <c r="E38" s="11"/>
      <c r="F38" s="11"/>
    </row>
    <row r="39" spans="2:12" ht="19.5" customHeight="1" x14ac:dyDescent="0.25">
      <c r="B39" s="40" t="s">
        <v>34</v>
      </c>
      <c r="C39" s="11" t="s">
        <v>32</v>
      </c>
      <c r="D39" s="11"/>
      <c r="E39" s="11"/>
      <c r="F39" s="11"/>
    </row>
    <row r="40" spans="2:12" ht="19.5" customHeight="1" x14ac:dyDescent="0.25">
      <c r="B40" s="39" t="s">
        <v>35</v>
      </c>
      <c r="C40" s="11"/>
      <c r="D40" s="11"/>
      <c r="E40" s="11"/>
      <c r="F40" s="11"/>
    </row>
    <row r="41" spans="2:12" ht="19.5" customHeight="1" x14ac:dyDescent="0.25">
      <c r="B41" s="40" t="s">
        <v>36</v>
      </c>
      <c r="C41" s="11" t="s">
        <v>37</v>
      </c>
      <c r="D41" s="11"/>
      <c r="E41" s="11"/>
      <c r="F41" s="11"/>
    </row>
    <row r="42" spans="2:12" ht="19.5" customHeight="1" x14ac:dyDescent="0.25">
      <c r="B42" s="39" t="s">
        <v>38</v>
      </c>
      <c r="C42" s="11" t="s">
        <v>39</v>
      </c>
      <c r="D42" s="11"/>
      <c r="E42" s="11"/>
      <c r="F42" s="11"/>
    </row>
    <row r="43" spans="2:12" ht="19.5" customHeight="1" x14ac:dyDescent="0.25">
      <c r="B43" s="41" t="s">
        <v>40</v>
      </c>
      <c r="C43" s="10" t="s">
        <v>41</v>
      </c>
      <c r="D43" s="10"/>
      <c r="E43" s="10"/>
      <c r="F43" s="10"/>
    </row>
    <row r="44" spans="2:12" ht="19.5" customHeight="1" x14ac:dyDescent="0.25">
      <c r="B44" s="42" t="s">
        <v>42</v>
      </c>
      <c r="C44" s="10"/>
      <c r="D44" s="10"/>
      <c r="E44" s="10"/>
      <c r="F44" s="10"/>
    </row>
    <row r="45" spans="2:12" ht="19.5" customHeight="1" x14ac:dyDescent="0.25">
      <c r="B45" s="43" t="s">
        <v>43</v>
      </c>
      <c r="C45" s="9" t="s">
        <v>44</v>
      </c>
      <c r="D45" s="9"/>
      <c r="E45" s="9"/>
      <c r="F45" s="9"/>
    </row>
    <row r="46" spans="2:12" ht="19.5" customHeight="1" x14ac:dyDescent="0.25">
      <c r="B46" s="44" t="s">
        <v>45</v>
      </c>
      <c r="C46" s="9"/>
      <c r="D46" s="9"/>
      <c r="E46" s="9"/>
      <c r="F46" s="9"/>
    </row>
    <row r="47" spans="2:12" ht="19.5" customHeight="1" x14ac:dyDescent="0.25">
      <c r="B47" s="43" t="s">
        <v>46</v>
      </c>
      <c r="C47" s="9" t="s">
        <v>47</v>
      </c>
      <c r="D47" s="9"/>
      <c r="E47" s="9"/>
      <c r="F47" s="9"/>
    </row>
    <row r="48" spans="2:12" ht="19.5" customHeight="1" x14ac:dyDescent="0.25">
      <c r="B48" s="44" t="s">
        <v>48</v>
      </c>
      <c r="C48" s="9"/>
      <c r="D48" s="9"/>
      <c r="E48" s="9"/>
      <c r="F48" s="9"/>
    </row>
    <row r="49" spans="2:12" ht="19.5" customHeight="1" x14ac:dyDescent="0.25">
      <c r="B49" s="43" t="s">
        <v>49</v>
      </c>
      <c r="C49" s="9" t="s">
        <v>47</v>
      </c>
      <c r="D49" s="9"/>
      <c r="E49" s="9"/>
      <c r="F49" s="9"/>
    </row>
    <row r="50" spans="2:12" ht="19.5" customHeight="1" x14ac:dyDescent="0.25">
      <c r="B50" s="44" t="s">
        <v>50</v>
      </c>
      <c r="C50" s="9" t="s">
        <v>51</v>
      </c>
      <c r="D50" s="9"/>
      <c r="E50" s="9"/>
      <c r="F50" s="9"/>
    </row>
    <row r="51" spans="2:12" ht="19.5" customHeight="1" x14ac:dyDescent="0.25">
      <c r="B51" s="43" t="s">
        <v>52</v>
      </c>
      <c r="C51" s="9" t="s">
        <v>53</v>
      </c>
      <c r="D51" s="9"/>
      <c r="E51" s="9"/>
      <c r="F51" s="9"/>
    </row>
    <row r="52" spans="2:12" ht="19.5" customHeight="1" x14ac:dyDescent="0.25">
      <c r="B52" s="44" t="s">
        <v>54</v>
      </c>
      <c r="C52" s="9" t="s">
        <v>55</v>
      </c>
      <c r="D52" s="9"/>
      <c r="E52" s="9"/>
      <c r="F52" s="9"/>
    </row>
    <row r="54" spans="2:12" ht="24" customHeight="1" x14ac:dyDescent="0.25">
      <c r="H54" s="12" t="s">
        <v>56</v>
      </c>
      <c r="I54" s="12"/>
      <c r="J54" s="12"/>
      <c r="K54" s="12"/>
      <c r="L54" s="12"/>
    </row>
    <row r="80" spans="2:12" ht="30" customHeight="1" x14ac:dyDescent="0.25">
      <c r="B80" s="8" t="s">
        <v>57</v>
      </c>
      <c r="C80" s="8"/>
      <c r="D80" s="8"/>
      <c r="E80" s="8"/>
      <c r="F80" s="8"/>
      <c r="G80" s="8"/>
      <c r="H80" s="8"/>
      <c r="I80" s="8"/>
      <c r="J80" s="8"/>
      <c r="K80" s="8"/>
      <c r="L80" s="8"/>
    </row>
  </sheetData>
  <mergeCells count="25">
    <mergeCell ref="C50:F50"/>
    <mergeCell ref="C51:F51"/>
    <mergeCell ref="C52:F52"/>
    <mergeCell ref="H54:L54"/>
    <mergeCell ref="B80:L80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B35:L35"/>
    <mergeCell ref="C36:F36"/>
    <mergeCell ref="C37:F37"/>
    <mergeCell ref="C38:F38"/>
    <mergeCell ref="C39:F39"/>
    <mergeCell ref="B2:L2"/>
    <mergeCell ref="B3:L3"/>
    <mergeCell ref="B6:L6"/>
    <mergeCell ref="B9:L9"/>
    <mergeCell ref="B21:L2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2" customWidth="1"/>
    <col min="3" max="3" width="17" customWidth="1"/>
    <col min="4" max="4" width="14" customWidth="1"/>
    <col min="5" max="5" width="11" customWidth="1"/>
    <col min="6" max="6" width="14" customWidth="1"/>
    <col min="7" max="7" width="11" customWidth="1"/>
    <col min="8" max="8" width="14" customWidth="1"/>
    <col min="9" max="9" width="12" customWidth="1"/>
    <col min="10" max="10" width="13" customWidth="1"/>
    <col min="11" max="11" width="12" customWidth="1"/>
    <col min="12" max="12" width="13" customWidth="1"/>
    <col min="13" max="13" width="11" customWidth="1"/>
    <col min="14" max="14" width="14" customWidth="1"/>
    <col min="15" max="15" width="11" customWidth="1"/>
    <col min="16" max="16" width="14" customWidth="1"/>
    <col min="17" max="17" width="11" customWidth="1"/>
    <col min="18" max="18" width="14" customWidth="1"/>
    <col min="19" max="19" width="8" customWidth="1"/>
    <col min="20" max="20" width="15" customWidth="1"/>
    <col min="21" max="21" width="11" customWidth="1"/>
    <col min="22" max="22" width="13" customWidth="1"/>
    <col min="23" max="24" width="12" customWidth="1"/>
  </cols>
  <sheetData>
    <row r="1" spans="1:24" ht="27.75" customHeight="1" x14ac:dyDescent="0.25">
      <c r="A1" s="7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8" customHeight="1" x14ac:dyDescent="0.25">
      <c r="A2" s="6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4" spans="1:24" ht="21.75" customHeight="1" x14ac:dyDescent="0.25">
      <c r="A4" s="5" t="s">
        <v>60</v>
      </c>
      <c r="B4" s="5"/>
      <c r="C4" s="5"/>
      <c r="D4" s="4" t="s">
        <v>61</v>
      </c>
      <c r="E4" s="4"/>
      <c r="F4" s="4"/>
      <c r="G4" s="4"/>
      <c r="H4" s="4"/>
      <c r="I4" s="4"/>
      <c r="J4" s="4"/>
      <c r="K4" s="3" t="s">
        <v>62</v>
      </c>
      <c r="L4" s="3"/>
      <c r="M4" s="2" t="s">
        <v>63</v>
      </c>
      <c r="N4" s="2"/>
      <c r="O4" s="2"/>
      <c r="P4" s="2"/>
      <c r="Q4" s="2"/>
      <c r="R4" s="2"/>
      <c r="S4" s="2"/>
      <c r="T4" s="2"/>
      <c r="U4" s="1" t="s">
        <v>64</v>
      </c>
      <c r="V4" s="1"/>
      <c r="W4" s="1"/>
      <c r="X4" s="1"/>
    </row>
    <row r="5" spans="1:24" ht="37.5" customHeight="1" x14ac:dyDescent="0.25">
      <c r="A5" s="45" t="s">
        <v>65</v>
      </c>
      <c r="B5" s="45" t="s">
        <v>20</v>
      </c>
      <c r="C5" s="45" t="s">
        <v>21</v>
      </c>
      <c r="D5" s="46" t="s">
        <v>66</v>
      </c>
      <c r="E5" s="46" t="s">
        <v>67</v>
      </c>
      <c r="F5" s="46" t="s">
        <v>68</v>
      </c>
      <c r="G5" s="46" t="s">
        <v>69</v>
      </c>
      <c r="H5" s="46" t="s">
        <v>70</v>
      </c>
      <c r="I5" s="46" t="s">
        <v>71</v>
      </c>
      <c r="J5" s="46" t="s">
        <v>72</v>
      </c>
      <c r="K5" s="47" t="s">
        <v>73</v>
      </c>
      <c r="L5" s="47" t="s">
        <v>74</v>
      </c>
      <c r="M5" s="48" t="s">
        <v>75</v>
      </c>
      <c r="N5" s="48" t="s">
        <v>76</v>
      </c>
      <c r="O5" s="48" t="s">
        <v>77</v>
      </c>
      <c r="P5" s="48" t="s">
        <v>78</v>
      </c>
      <c r="Q5" s="48" t="s">
        <v>79</v>
      </c>
      <c r="R5" s="48" t="s">
        <v>80</v>
      </c>
      <c r="S5" s="48" t="s">
        <v>81</v>
      </c>
      <c r="T5" s="48" t="s">
        <v>82</v>
      </c>
      <c r="U5" s="49" t="s">
        <v>25</v>
      </c>
      <c r="V5" s="49" t="s">
        <v>83</v>
      </c>
      <c r="W5" s="49" t="s">
        <v>84</v>
      </c>
      <c r="X5" s="49" t="s">
        <v>85</v>
      </c>
    </row>
    <row r="6" spans="1:24" ht="27.75" customHeight="1" x14ac:dyDescent="0.25">
      <c r="A6" s="50">
        <v>1</v>
      </c>
      <c r="B6" s="51" t="s">
        <v>86</v>
      </c>
      <c r="C6" s="52" t="s">
        <v>87</v>
      </c>
      <c r="D6" s="53">
        <v>45</v>
      </c>
      <c r="E6" s="54">
        <v>0.1</v>
      </c>
      <c r="F6" s="29">
        <f t="shared" ref="F6:F15" si="0">D6*(1-E6)</f>
        <v>40.5</v>
      </c>
      <c r="G6" s="54">
        <v>0.02</v>
      </c>
      <c r="H6" s="29">
        <f t="shared" ref="H6:H15" si="1">F6*(1-G6)</f>
        <v>39.69</v>
      </c>
      <c r="I6" s="53">
        <v>2.5</v>
      </c>
      <c r="J6" s="29">
        <f t="shared" ref="J6:J15" si="2">H6+I6</f>
        <v>42.19</v>
      </c>
      <c r="K6" s="54">
        <v>0.3</v>
      </c>
      <c r="L6" s="29">
        <f t="shared" ref="L6:L15" si="3">J6*(1+K6)</f>
        <v>54.847000000000001</v>
      </c>
      <c r="M6" s="54">
        <v>0.25</v>
      </c>
      <c r="N6" s="29">
        <f t="shared" ref="N6:N15" si="4">L6*(1+M6)</f>
        <v>68.558750000000003</v>
      </c>
      <c r="O6" s="54">
        <v>0.02</v>
      </c>
      <c r="P6" s="29">
        <f t="shared" ref="P6:P15" si="5">N6/(1-O6)</f>
        <v>69.957908163265316</v>
      </c>
      <c r="Q6" s="54">
        <v>0.1</v>
      </c>
      <c r="R6" s="29">
        <f t="shared" ref="R6:R15" si="6">P6/(1-Q6)</f>
        <v>77.731009070294789</v>
      </c>
      <c r="S6" s="54">
        <v>0.19</v>
      </c>
      <c r="T6" s="55">
        <f t="shared" ref="T6:T15" si="7">R6*(1+S6)</f>
        <v>92.499900793650795</v>
      </c>
      <c r="U6" s="30">
        <f t="shared" ref="U6:U15" si="8">IFERROR(R6/J6,0)</f>
        <v>1.8424036281179141</v>
      </c>
      <c r="V6" s="31">
        <f t="shared" ref="V6:V15" si="9">IFERROR((R6-J6)/J6,0)</f>
        <v>0.84240362811791403</v>
      </c>
      <c r="W6" s="31">
        <f t="shared" ref="W6:W15" si="10">IFERROR((R6-J6)/R6,0)</f>
        <v>0.45723076923076927</v>
      </c>
      <c r="X6" s="56">
        <f t="shared" ref="X6:X15" si="11">R6-J6</f>
        <v>35.541009070294791</v>
      </c>
    </row>
    <row r="7" spans="1:24" ht="27.75" customHeight="1" x14ac:dyDescent="0.25">
      <c r="A7" s="57">
        <v>2</v>
      </c>
      <c r="B7" s="58" t="s">
        <v>88</v>
      </c>
      <c r="C7" s="59" t="s">
        <v>89</v>
      </c>
      <c r="D7" s="53">
        <v>12</v>
      </c>
      <c r="E7" s="54">
        <v>0.15</v>
      </c>
      <c r="F7" s="35">
        <f t="shared" si="0"/>
        <v>10.199999999999999</v>
      </c>
      <c r="G7" s="54">
        <v>0.03</v>
      </c>
      <c r="H7" s="35">
        <f t="shared" si="1"/>
        <v>9.8939999999999984</v>
      </c>
      <c r="I7" s="53">
        <v>1.2</v>
      </c>
      <c r="J7" s="35">
        <f t="shared" si="2"/>
        <v>11.093999999999998</v>
      </c>
      <c r="K7" s="54">
        <v>0.35</v>
      </c>
      <c r="L7" s="35">
        <f t="shared" si="3"/>
        <v>14.976899999999997</v>
      </c>
      <c r="M7" s="54">
        <v>0.3</v>
      </c>
      <c r="N7" s="35">
        <f t="shared" si="4"/>
        <v>19.469969999999996</v>
      </c>
      <c r="O7" s="54">
        <v>0.02</v>
      </c>
      <c r="P7" s="35">
        <f t="shared" si="5"/>
        <v>19.867316326530609</v>
      </c>
      <c r="Q7" s="54">
        <v>0.1</v>
      </c>
      <c r="R7" s="35">
        <f t="shared" si="6"/>
        <v>22.074795918367343</v>
      </c>
      <c r="S7" s="54">
        <v>0.19</v>
      </c>
      <c r="T7" s="55">
        <f t="shared" si="7"/>
        <v>26.269007142857138</v>
      </c>
      <c r="U7" s="36">
        <f t="shared" si="8"/>
        <v>1.989795918367347</v>
      </c>
      <c r="V7" s="37">
        <f t="shared" si="9"/>
        <v>0.98979591836734704</v>
      </c>
      <c r="W7" s="37">
        <f t="shared" si="10"/>
        <v>0.49743589743589745</v>
      </c>
      <c r="X7" s="56">
        <f t="shared" si="11"/>
        <v>10.980795918367345</v>
      </c>
    </row>
    <row r="8" spans="1:24" ht="27.75" customHeight="1" x14ac:dyDescent="0.25">
      <c r="A8" s="50">
        <v>3</v>
      </c>
      <c r="B8" s="51" t="s">
        <v>90</v>
      </c>
      <c r="C8" s="52" t="s">
        <v>91</v>
      </c>
      <c r="D8" s="53">
        <v>18.5</v>
      </c>
      <c r="E8" s="54">
        <v>0.12</v>
      </c>
      <c r="F8" s="29">
        <f t="shared" si="0"/>
        <v>16.28</v>
      </c>
      <c r="G8" s="54">
        <v>0.02</v>
      </c>
      <c r="H8" s="29">
        <f t="shared" si="1"/>
        <v>15.954400000000001</v>
      </c>
      <c r="I8" s="53">
        <v>1.8</v>
      </c>
      <c r="J8" s="29">
        <f t="shared" si="2"/>
        <v>17.7544</v>
      </c>
      <c r="K8" s="54">
        <v>0.28000000000000003</v>
      </c>
      <c r="L8" s="29">
        <f t="shared" si="3"/>
        <v>22.725632000000001</v>
      </c>
      <c r="M8" s="54">
        <v>0.22</v>
      </c>
      <c r="N8" s="29">
        <f t="shared" si="4"/>
        <v>27.725271039999999</v>
      </c>
      <c r="O8" s="54">
        <v>0.02</v>
      </c>
      <c r="P8" s="29">
        <f t="shared" si="5"/>
        <v>28.291092897959182</v>
      </c>
      <c r="Q8" s="54">
        <v>0.08</v>
      </c>
      <c r="R8" s="29">
        <f t="shared" si="6"/>
        <v>30.751187932564328</v>
      </c>
      <c r="S8" s="54">
        <v>0.19</v>
      </c>
      <c r="T8" s="55">
        <f t="shared" si="7"/>
        <v>36.593913639751548</v>
      </c>
      <c r="U8" s="30">
        <f t="shared" si="8"/>
        <v>1.7320319432120672</v>
      </c>
      <c r="V8" s="31">
        <f t="shared" si="9"/>
        <v>0.73203194321206722</v>
      </c>
      <c r="W8" s="31">
        <f t="shared" si="10"/>
        <v>0.42264344262295078</v>
      </c>
      <c r="X8" s="56">
        <f t="shared" si="11"/>
        <v>12.996787932564327</v>
      </c>
    </row>
    <row r="9" spans="1:24" ht="27.75" customHeight="1" x14ac:dyDescent="0.25">
      <c r="A9" s="57">
        <v>4</v>
      </c>
      <c r="B9" s="58" t="s">
        <v>92</v>
      </c>
      <c r="C9" s="59" t="s">
        <v>93</v>
      </c>
      <c r="D9" s="53">
        <v>95</v>
      </c>
      <c r="E9" s="54">
        <v>0.18</v>
      </c>
      <c r="F9" s="35">
        <f t="shared" si="0"/>
        <v>77.900000000000006</v>
      </c>
      <c r="G9" s="54">
        <v>0.03</v>
      </c>
      <c r="H9" s="35">
        <f t="shared" si="1"/>
        <v>75.563000000000002</v>
      </c>
      <c r="I9" s="53">
        <v>8.5</v>
      </c>
      <c r="J9" s="35">
        <f t="shared" si="2"/>
        <v>84.063000000000002</v>
      </c>
      <c r="K9" s="54">
        <v>0.32</v>
      </c>
      <c r="L9" s="35">
        <f t="shared" si="3"/>
        <v>110.96316</v>
      </c>
      <c r="M9" s="54">
        <v>0.2</v>
      </c>
      <c r="N9" s="35">
        <f t="shared" si="4"/>
        <v>133.15579199999999</v>
      </c>
      <c r="O9" s="54">
        <v>0.03</v>
      </c>
      <c r="P9" s="35">
        <f t="shared" si="5"/>
        <v>137.27401237113401</v>
      </c>
      <c r="Q9" s="54">
        <v>0.12</v>
      </c>
      <c r="R9" s="35">
        <f t="shared" si="6"/>
        <v>155.99319587628864</v>
      </c>
      <c r="S9" s="54">
        <v>0.19</v>
      </c>
      <c r="T9" s="55">
        <f t="shared" si="7"/>
        <v>185.63190309278346</v>
      </c>
      <c r="U9" s="36">
        <f t="shared" si="8"/>
        <v>1.8556701030927831</v>
      </c>
      <c r="V9" s="37">
        <f t="shared" si="9"/>
        <v>0.85567010309278324</v>
      </c>
      <c r="W9" s="37">
        <f t="shared" si="10"/>
        <v>0.46111111111111103</v>
      </c>
      <c r="X9" s="56">
        <f t="shared" si="11"/>
        <v>71.930195876288636</v>
      </c>
    </row>
    <row r="10" spans="1:24" ht="27.75" customHeight="1" x14ac:dyDescent="0.25">
      <c r="A10" s="50">
        <v>5</v>
      </c>
      <c r="B10" s="51" t="s">
        <v>94</v>
      </c>
      <c r="C10" s="52" t="s">
        <v>95</v>
      </c>
      <c r="D10" s="53">
        <v>28</v>
      </c>
      <c r="E10" s="54">
        <v>0.1</v>
      </c>
      <c r="F10" s="29">
        <f t="shared" si="0"/>
        <v>25.2</v>
      </c>
      <c r="G10" s="54">
        <v>0.02</v>
      </c>
      <c r="H10" s="29">
        <f t="shared" si="1"/>
        <v>24.695999999999998</v>
      </c>
      <c r="I10" s="53">
        <v>2</v>
      </c>
      <c r="J10" s="29">
        <f t="shared" si="2"/>
        <v>26.695999999999998</v>
      </c>
      <c r="K10" s="54">
        <v>0.3</v>
      </c>
      <c r="L10" s="29">
        <f t="shared" si="3"/>
        <v>34.704799999999999</v>
      </c>
      <c r="M10" s="54">
        <v>0.28000000000000003</v>
      </c>
      <c r="N10" s="29">
        <f t="shared" si="4"/>
        <v>44.422143999999996</v>
      </c>
      <c r="O10" s="54">
        <v>0.02</v>
      </c>
      <c r="P10" s="29">
        <f t="shared" si="5"/>
        <v>45.328718367346937</v>
      </c>
      <c r="Q10" s="54">
        <v>0.1</v>
      </c>
      <c r="R10" s="29">
        <f t="shared" si="6"/>
        <v>50.365242630385481</v>
      </c>
      <c r="S10" s="54">
        <v>0.19</v>
      </c>
      <c r="T10" s="55">
        <f t="shared" si="7"/>
        <v>59.934638730158717</v>
      </c>
      <c r="U10" s="30">
        <f t="shared" si="8"/>
        <v>1.8866213151927436</v>
      </c>
      <c r="V10" s="31">
        <f t="shared" si="9"/>
        <v>0.88662131519274368</v>
      </c>
      <c r="W10" s="31">
        <f t="shared" si="10"/>
        <v>0.46995192307692307</v>
      </c>
      <c r="X10" s="56">
        <f t="shared" si="11"/>
        <v>23.669242630385483</v>
      </c>
    </row>
    <row r="11" spans="1:24" ht="27.75" customHeight="1" x14ac:dyDescent="0.25">
      <c r="A11" s="57">
        <v>6</v>
      </c>
      <c r="B11" s="58" t="s">
        <v>96</v>
      </c>
      <c r="C11" s="59" t="s">
        <v>97</v>
      </c>
      <c r="D11" s="53">
        <v>8.1999999999999993</v>
      </c>
      <c r="E11" s="54">
        <v>0.2</v>
      </c>
      <c r="F11" s="35">
        <f t="shared" si="0"/>
        <v>6.56</v>
      </c>
      <c r="G11" s="54">
        <v>0.02</v>
      </c>
      <c r="H11" s="35">
        <f t="shared" si="1"/>
        <v>6.4287999999999998</v>
      </c>
      <c r="I11" s="53">
        <v>0.8</v>
      </c>
      <c r="J11" s="35">
        <f t="shared" si="2"/>
        <v>7.2287999999999997</v>
      </c>
      <c r="K11" s="54">
        <v>0.4</v>
      </c>
      <c r="L11" s="35">
        <f t="shared" si="3"/>
        <v>10.12032</v>
      </c>
      <c r="M11" s="54">
        <v>0.45</v>
      </c>
      <c r="N11" s="35">
        <f t="shared" si="4"/>
        <v>14.674463999999999</v>
      </c>
      <c r="O11" s="54">
        <v>0.02</v>
      </c>
      <c r="P11" s="35">
        <f t="shared" si="5"/>
        <v>14.973942857142855</v>
      </c>
      <c r="Q11" s="54">
        <v>0.05</v>
      </c>
      <c r="R11" s="35">
        <f t="shared" si="6"/>
        <v>15.762045112781953</v>
      </c>
      <c r="S11" s="54">
        <v>0.19</v>
      </c>
      <c r="T11" s="55">
        <f t="shared" si="7"/>
        <v>18.756833684210523</v>
      </c>
      <c r="U11" s="36">
        <f t="shared" si="8"/>
        <v>2.1804511278195489</v>
      </c>
      <c r="V11" s="37">
        <f t="shared" si="9"/>
        <v>1.1804511278195486</v>
      </c>
      <c r="W11" s="37">
        <f t="shared" si="10"/>
        <v>0.54137931034482756</v>
      </c>
      <c r="X11" s="56">
        <f t="shared" si="11"/>
        <v>8.5332451127819535</v>
      </c>
    </row>
    <row r="12" spans="1:24" ht="27.75" customHeight="1" x14ac:dyDescent="0.25">
      <c r="A12" s="50">
        <v>7</v>
      </c>
      <c r="B12" s="51" t="s">
        <v>98</v>
      </c>
      <c r="C12" s="52" t="s">
        <v>99</v>
      </c>
      <c r="D12" s="53">
        <v>22</v>
      </c>
      <c r="E12" s="54">
        <v>0.15</v>
      </c>
      <c r="F12" s="29">
        <f t="shared" si="0"/>
        <v>18.7</v>
      </c>
      <c r="G12" s="54">
        <v>0.02</v>
      </c>
      <c r="H12" s="29">
        <f t="shared" si="1"/>
        <v>18.326000000000001</v>
      </c>
      <c r="I12" s="53">
        <v>1.5</v>
      </c>
      <c r="J12" s="29">
        <f t="shared" si="2"/>
        <v>19.826000000000001</v>
      </c>
      <c r="K12" s="54">
        <v>0.3</v>
      </c>
      <c r="L12" s="29">
        <f t="shared" si="3"/>
        <v>25.773800000000001</v>
      </c>
      <c r="M12" s="54">
        <v>0.25</v>
      </c>
      <c r="N12" s="29">
        <f t="shared" si="4"/>
        <v>32.21725</v>
      </c>
      <c r="O12" s="54">
        <v>0.02</v>
      </c>
      <c r="P12" s="29">
        <f t="shared" si="5"/>
        <v>32.874744897959182</v>
      </c>
      <c r="Q12" s="54">
        <v>0.1</v>
      </c>
      <c r="R12" s="29">
        <f t="shared" si="6"/>
        <v>36.52749433106576</v>
      </c>
      <c r="S12" s="54">
        <v>0.19</v>
      </c>
      <c r="T12" s="55">
        <f t="shared" si="7"/>
        <v>43.467718253968251</v>
      </c>
      <c r="U12" s="30">
        <f t="shared" si="8"/>
        <v>1.8424036281179139</v>
      </c>
      <c r="V12" s="31">
        <f t="shared" si="9"/>
        <v>0.84240362811791381</v>
      </c>
      <c r="W12" s="31">
        <f t="shared" si="10"/>
        <v>0.45723076923076922</v>
      </c>
      <c r="X12" s="56">
        <f t="shared" si="11"/>
        <v>16.70149433106576</v>
      </c>
    </row>
    <row r="13" spans="1:24" ht="27.75" customHeight="1" x14ac:dyDescent="0.25">
      <c r="A13" s="57">
        <v>8</v>
      </c>
      <c r="B13" s="58" t="s">
        <v>100</v>
      </c>
      <c r="C13" s="59" t="s">
        <v>101</v>
      </c>
      <c r="D13" s="53">
        <v>35</v>
      </c>
      <c r="E13" s="54">
        <v>0.12</v>
      </c>
      <c r="F13" s="35">
        <f t="shared" si="0"/>
        <v>30.8</v>
      </c>
      <c r="G13" s="54">
        <v>0.03</v>
      </c>
      <c r="H13" s="35">
        <f t="shared" si="1"/>
        <v>29.876000000000001</v>
      </c>
      <c r="I13" s="53">
        <v>3</v>
      </c>
      <c r="J13" s="35">
        <f t="shared" si="2"/>
        <v>32.876000000000005</v>
      </c>
      <c r="K13" s="54">
        <v>0.28000000000000003</v>
      </c>
      <c r="L13" s="35">
        <f t="shared" si="3"/>
        <v>42.081280000000007</v>
      </c>
      <c r="M13" s="54">
        <v>0.22</v>
      </c>
      <c r="N13" s="35">
        <f t="shared" si="4"/>
        <v>51.339161600000004</v>
      </c>
      <c r="O13" s="54">
        <v>0.02</v>
      </c>
      <c r="P13" s="35">
        <f t="shared" si="5"/>
        <v>52.386899591836737</v>
      </c>
      <c r="Q13" s="54">
        <v>0.08</v>
      </c>
      <c r="R13" s="35">
        <f t="shared" si="6"/>
        <v>56.942282165039927</v>
      </c>
      <c r="S13" s="54">
        <v>0.19</v>
      </c>
      <c r="T13" s="55">
        <f t="shared" si="7"/>
        <v>67.76131577639751</v>
      </c>
      <c r="U13" s="36">
        <f t="shared" si="8"/>
        <v>1.7320319432120672</v>
      </c>
      <c r="V13" s="37">
        <f t="shared" si="9"/>
        <v>0.7320319432120671</v>
      </c>
      <c r="W13" s="37">
        <f t="shared" si="10"/>
        <v>0.42264344262295073</v>
      </c>
      <c r="X13" s="56">
        <f t="shared" si="11"/>
        <v>24.066282165039922</v>
      </c>
    </row>
    <row r="14" spans="1:24" ht="27.75" customHeight="1" x14ac:dyDescent="0.25">
      <c r="A14" s="50">
        <v>9</v>
      </c>
      <c r="B14" s="51" t="s">
        <v>102</v>
      </c>
      <c r="C14" s="52" t="s">
        <v>103</v>
      </c>
      <c r="D14" s="53">
        <v>6.5</v>
      </c>
      <c r="E14" s="54">
        <v>0.08</v>
      </c>
      <c r="F14" s="29">
        <f t="shared" si="0"/>
        <v>5.98</v>
      </c>
      <c r="G14" s="54">
        <v>0.02</v>
      </c>
      <c r="H14" s="29">
        <f t="shared" si="1"/>
        <v>5.8604000000000003</v>
      </c>
      <c r="I14" s="53">
        <v>0.4</v>
      </c>
      <c r="J14" s="29">
        <f t="shared" si="2"/>
        <v>6.2604000000000006</v>
      </c>
      <c r="K14" s="54">
        <v>0.25</v>
      </c>
      <c r="L14" s="29">
        <f t="shared" si="3"/>
        <v>7.8255000000000008</v>
      </c>
      <c r="M14" s="54">
        <v>0.3</v>
      </c>
      <c r="N14" s="29">
        <f t="shared" si="4"/>
        <v>10.173150000000001</v>
      </c>
      <c r="O14" s="54">
        <v>0.02</v>
      </c>
      <c r="P14" s="29">
        <f t="shared" si="5"/>
        <v>10.38076530612245</v>
      </c>
      <c r="Q14" s="54">
        <v>0.05</v>
      </c>
      <c r="R14" s="29">
        <f t="shared" si="6"/>
        <v>10.927121374865738</v>
      </c>
      <c r="S14" s="54">
        <v>7.0000000000000007E-2</v>
      </c>
      <c r="T14" s="55">
        <f t="shared" si="7"/>
        <v>11.692019871106341</v>
      </c>
      <c r="U14" s="30">
        <f t="shared" si="8"/>
        <v>1.745435016111708</v>
      </c>
      <c r="V14" s="31">
        <f t="shared" si="9"/>
        <v>0.74543501611170804</v>
      </c>
      <c r="W14" s="31">
        <f t="shared" si="10"/>
        <v>0.42707692307692313</v>
      </c>
      <c r="X14" s="56">
        <f t="shared" si="11"/>
        <v>4.6667213748657375</v>
      </c>
    </row>
    <row r="15" spans="1:24" ht="27.75" customHeight="1" x14ac:dyDescent="0.25">
      <c r="A15" s="57">
        <v>10</v>
      </c>
      <c r="B15" s="58" t="s">
        <v>104</v>
      </c>
      <c r="C15" s="59" t="s">
        <v>105</v>
      </c>
      <c r="D15" s="53">
        <v>110</v>
      </c>
      <c r="E15" s="54">
        <v>0.2</v>
      </c>
      <c r="F15" s="35">
        <f t="shared" si="0"/>
        <v>88</v>
      </c>
      <c r="G15" s="54">
        <v>0.03</v>
      </c>
      <c r="H15" s="35">
        <f t="shared" si="1"/>
        <v>85.36</v>
      </c>
      <c r="I15" s="53">
        <v>12</v>
      </c>
      <c r="J15" s="35">
        <f t="shared" si="2"/>
        <v>97.36</v>
      </c>
      <c r="K15" s="54">
        <v>0.35</v>
      </c>
      <c r="L15" s="35">
        <f t="shared" si="3"/>
        <v>131.43600000000001</v>
      </c>
      <c r="M15" s="54">
        <v>0.2</v>
      </c>
      <c r="N15" s="35">
        <f t="shared" si="4"/>
        <v>157.72319999999999</v>
      </c>
      <c r="O15" s="54">
        <v>0.03</v>
      </c>
      <c r="P15" s="35">
        <f t="shared" si="5"/>
        <v>162.60123711340205</v>
      </c>
      <c r="Q15" s="54">
        <v>0.15</v>
      </c>
      <c r="R15" s="35">
        <f t="shared" si="6"/>
        <v>191.29557307459066</v>
      </c>
      <c r="S15" s="54">
        <v>0.19</v>
      </c>
      <c r="T15" s="55">
        <f t="shared" si="7"/>
        <v>227.64173195876288</v>
      </c>
      <c r="U15" s="36">
        <f t="shared" si="8"/>
        <v>1.9648271679805944</v>
      </c>
      <c r="V15" s="37">
        <f t="shared" si="9"/>
        <v>0.96482716798059431</v>
      </c>
      <c r="W15" s="37">
        <f t="shared" si="10"/>
        <v>0.49104938271604937</v>
      </c>
      <c r="X15" s="56">
        <f t="shared" si="11"/>
        <v>93.935573074590664</v>
      </c>
    </row>
    <row r="16" spans="1:24" ht="25.5" customHeight="1" x14ac:dyDescent="0.25">
      <c r="A16" s="50" t="str">
        <f>IF(B16="","",MAX(A$6:A15)+1)</f>
        <v/>
      </c>
      <c r="B16" s="51"/>
      <c r="C16" s="52"/>
      <c r="D16" s="53"/>
      <c r="E16" s="54"/>
      <c r="F16" s="29" t="str">
        <f t="shared" ref="F16:F25" si="12">IF(D16="","",D16*(1-IFERROR(E16,0)))</f>
        <v/>
      </c>
      <c r="G16" s="54"/>
      <c r="H16" s="29" t="str">
        <f t="shared" ref="H16:H25" si="13">IF(F16="","",F16*(1-IFERROR(G16,0)))</f>
        <v/>
      </c>
      <c r="I16" s="53"/>
      <c r="J16" s="29" t="str">
        <f t="shared" ref="J16:J25" si="14">IF(H16="","",H16+IFERROR(I16,0))</f>
        <v/>
      </c>
      <c r="K16" s="54"/>
      <c r="L16" s="29" t="str">
        <f t="shared" ref="L16:L25" si="15">IF(J16="","",J16*(1+IFERROR(K16,0)))</f>
        <v/>
      </c>
      <c r="M16" s="54"/>
      <c r="N16" s="29" t="str">
        <f t="shared" ref="N16:N25" si="16">IF(L16="","",L16*(1+IFERROR(M16,0)))</f>
        <v/>
      </c>
      <c r="O16" s="54"/>
      <c r="P16" s="29" t="str">
        <f t="shared" ref="P16:P25" si="17">IF(N16="","",N16/(1-IFERROR(O16,0)))</f>
        <v/>
      </c>
      <c r="Q16" s="54"/>
      <c r="R16" s="29" t="str">
        <f t="shared" ref="R16:R25" si="18">IF(P16="","",P16/(1-IFERROR(Q16,0)))</f>
        <v/>
      </c>
      <c r="S16" s="54"/>
      <c r="T16" s="55" t="str">
        <f t="shared" ref="T16:T25" si="19">IF(R16="","",R16*(1+IFERROR(S16,0)))</f>
        <v/>
      </c>
      <c r="U16" s="30" t="str">
        <f t="shared" ref="U16:U25" si="20">IF(OR(R16="",J16=0,J16=""),"",R16/J16)</f>
        <v/>
      </c>
      <c r="V16" s="31" t="str">
        <f t="shared" ref="V16:V25" si="21">IF(OR(R16="",J16=0,J16=""),"",(R16-J16)/J16)</f>
        <v/>
      </c>
      <c r="W16" s="31" t="str">
        <f t="shared" ref="W16:W25" si="22">IF(OR(R16="",R16=0),"",(R16-J16)/R16)</f>
        <v/>
      </c>
      <c r="X16" s="56" t="str">
        <f t="shared" ref="X16:X25" si="23">IF(R16="","",R16-J16)</f>
        <v/>
      </c>
    </row>
    <row r="17" spans="1:24" ht="25.5" customHeight="1" x14ac:dyDescent="0.25">
      <c r="A17" s="57" t="str">
        <f>IF(B17="","",MAX(A$6:A16)+1)</f>
        <v/>
      </c>
      <c r="B17" s="58"/>
      <c r="C17" s="59"/>
      <c r="D17" s="53"/>
      <c r="E17" s="54"/>
      <c r="F17" s="35" t="str">
        <f t="shared" si="12"/>
        <v/>
      </c>
      <c r="G17" s="54"/>
      <c r="H17" s="35" t="str">
        <f t="shared" si="13"/>
        <v/>
      </c>
      <c r="I17" s="53"/>
      <c r="J17" s="35" t="str">
        <f t="shared" si="14"/>
        <v/>
      </c>
      <c r="K17" s="54"/>
      <c r="L17" s="35" t="str">
        <f t="shared" si="15"/>
        <v/>
      </c>
      <c r="M17" s="54"/>
      <c r="N17" s="35" t="str">
        <f t="shared" si="16"/>
        <v/>
      </c>
      <c r="O17" s="54"/>
      <c r="P17" s="35" t="str">
        <f t="shared" si="17"/>
        <v/>
      </c>
      <c r="Q17" s="54"/>
      <c r="R17" s="35" t="str">
        <f t="shared" si="18"/>
        <v/>
      </c>
      <c r="S17" s="54"/>
      <c r="T17" s="55" t="str">
        <f t="shared" si="19"/>
        <v/>
      </c>
      <c r="U17" s="36" t="str">
        <f t="shared" si="20"/>
        <v/>
      </c>
      <c r="V17" s="37" t="str">
        <f t="shared" si="21"/>
        <v/>
      </c>
      <c r="W17" s="37" t="str">
        <f t="shared" si="22"/>
        <v/>
      </c>
      <c r="X17" s="56" t="str">
        <f t="shared" si="23"/>
        <v/>
      </c>
    </row>
    <row r="18" spans="1:24" ht="25.5" customHeight="1" x14ac:dyDescent="0.25">
      <c r="A18" s="50" t="str">
        <f>IF(B18="","",MAX(A$6:A17)+1)</f>
        <v/>
      </c>
      <c r="B18" s="51"/>
      <c r="C18" s="52"/>
      <c r="D18" s="53"/>
      <c r="E18" s="54"/>
      <c r="F18" s="29" t="str">
        <f t="shared" si="12"/>
        <v/>
      </c>
      <c r="G18" s="54"/>
      <c r="H18" s="29" t="str">
        <f t="shared" si="13"/>
        <v/>
      </c>
      <c r="I18" s="53"/>
      <c r="J18" s="29" t="str">
        <f t="shared" si="14"/>
        <v/>
      </c>
      <c r="K18" s="54"/>
      <c r="L18" s="29" t="str">
        <f t="shared" si="15"/>
        <v/>
      </c>
      <c r="M18" s="54"/>
      <c r="N18" s="29" t="str">
        <f t="shared" si="16"/>
        <v/>
      </c>
      <c r="O18" s="54"/>
      <c r="P18" s="29" t="str">
        <f t="shared" si="17"/>
        <v/>
      </c>
      <c r="Q18" s="54"/>
      <c r="R18" s="29" t="str">
        <f t="shared" si="18"/>
        <v/>
      </c>
      <c r="S18" s="54"/>
      <c r="T18" s="55" t="str">
        <f t="shared" si="19"/>
        <v/>
      </c>
      <c r="U18" s="30" t="str">
        <f t="shared" si="20"/>
        <v/>
      </c>
      <c r="V18" s="31" t="str">
        <f t="shared" si="21"/>
        <v/>
      </c>
      <c r="W18" s="31" t="str">
        <f t="shared" si="22"/>
        <v/>
      </c>
      <c r="X18" s="56" t="str">
        <f t="shared" si="23"/>
        <v/>
      </c>
    </row>
    <row r="19" spans="1:24" ht="25.5" customHeight="1" x14ac:dyDescent="0.25">
      <c r="A19" s="57" t="str">
        <f>IF(B19="","",MAX(A$6:A18)+1)</f>
        <v/>
      </c>
      <c r="B19" s="58"/>
      <c r="C19" s="59"/>
      <c r="D19" s="53"/>
      <c r="E19" s="54"/>
      <c r="F19" s="35" t="str">
        <f t="shared" si="12"/>
        <v/>
      </c>
      <c r="G19" s="54"/>
      <c r="H19" s="35" t="str">
        <f t="shared" si="13"/>
        <v/>
      </c>
      <c r="I19" s="53"/>
      <c r="J19" s="35" t="str">
        <f t="shared" si="14"/>
        <v/>
      </c>
      <c r="K19" s="54"/>
      <c r="L19" s="35" t="str">
        <f t="shared" si="15"/>
        <v/>
      </c>
      <c r="M19" s="54"/>
      <c r="N19" s="35" t="str">
        <f t="shared" si="16"/>
        <v/>
      </c>
      <c r="O19" s="54"/>
      <c r="P19" s="35" t="str">
        <f t="shared" si="17"/>
        <v/>
      </c>
      <c r="Q19" s="54"/>
      <c r="R19" s="35" t="str">
        <f t="shared" si="18"/>
        <v/>
      </c>
      <c r="S19" s="54"/>
      <c r="T19" s="55" t="str">
        <f t="shared" si="19"/>
        <v/>
      </c>
      <c r="U19" s="36" t="str">
        <f t="shared" si="20"/>
        <v/>
      </c>
      <c r="V19" s="37" t="str">
        <f t="shared" si="21"/>
        <v/>
      </c>
      <c r="W19" s="37" t="str">
        <f t="shared" si="22"/>
        <v/>
      </c>
      <c r="X19" s="56" t="str">
        <f t="shared" si="23"/>
        <v/>
      </c>
    </row>
    <row r="20" spans="1:24" ht="25.5" customHeight="1" x14ac:dyDescent="0.25">
      <c r="A20" s="50" t="str">
        <f>IF(B20="","",MAX(A$6:A19)+1)</f>
        <v/>
      </c>
      <c r="B20" s="51"/>
      <c r="C20" s="52"/>
      <c r="D20" s="53"/>
      <c r="E20" s="54"/>
      <c r="F20" s="29" t="str">
        <f t="shared" si="12"/>
        <v/>
      </c>
      <c r="G20" s="54"/>
      <c r="H20" s="29" t="str">
        <f t="shared" si="13"/>
        <v/>
      </c>
      <c r="I20" s="53"/>
      <c r="J20" s="29" t="str">
        <f t="shared" si="14"/>
        <v/>
      </c>
      <c r="K20" s="54"/>
      <c r="L20" s="29" t="str">
        <f t="shared" si="15"/>
        <v/>
      </c>
      <c r="M20" s="54"/>
      <c r="N20" s="29" t="str">
        <f t="shared" si="16"/>
        <v/>
      </c>
      <c r="O20" s="54"/>
      <c r="P20" s="29" t="str">
        <f t="shared" si="17"/>
        <v/>
      </c>
      <c r="Q20" s="54"/>
      <c r="R20" s="29" t="str">
        <f t="shared" si="18"/>
        <v/>
      </c>
      <c r="S20" s="54"/>
      <c r="T20" s="55" t="str">
        <f t="shared" si="19"/>
        <v/>
      </c>
      <c r="U20" s="30" t="str">
        <f t="shared" si="20"/>
        <v/>
      </c>
      <c r="V20" s="31" t="str">
        <f t="shared" si="21"/>
        <v/>
      </c>
      <c r="W20" s="31" t="str">
        <f t="shared" si="22"/>
        <v/>
      </c>
      <c r="X20" s="56" t="str">
        <f t="shared" si="23"/>
        <v/>
      </c>
    </row>
    <row r="21" spans="1:24" ht="25.5" customHeight="1" x14ac:dyDescent="0.25">
      <c r="A21" s="57" t="str">
        <f>IF(B21="","",MAX(A$6:A20)+1)</f>
        <v/>
      </c>
      <c r="B21" s="58"/>
      <c r="C21" s="59"/>
      <c r="D21" s="53"/>
      <c r="E21" s="54"/>
      <c r="F21" s="35" t="str">
        <f t="shared" si="12"/>
        <v/>
      </c>
      <c r="G21" s="54"/>
      <c r="H21" s="35" t="str">
        <f t="shared" si="13"/>
        <v/>
      </c>
      <c r="I21" s="53"/>
      <c r="J21" s="35" t="str">
        <f t="shared" si="14"/>
        <v/>
      </c>
      <c r="K21" s="54"/>
      <c r="L21" s="35" t="str">
        <f t="shared" si="15"/>
        <v/>
      </c>
      <c r="M21" s="54"/>
      <c r="N21" s="35" t="str">
        <f t="shared" si="16"/>
        <v/>
      </c>
      <c r="O21" s="54"/>
      <c r="P21" s="35" t="str">
        <f t="shared" si="17"/>
        <v/>
      </c>
      <c r="Q21" s="54"/>
      <c r="R21" s="35" t="str">
        <f t="shared" si="18"/>
        <v/>
      </c>
      <c r="S21" s="54"/>
      <c r="T21" s="55" t="str">
        <f t="shared" si="19"/>
        <v/>
      </c>
      <c r="U21" s="36" t="str">
        <f t="shared" si="20"/>
        <v/>
      </c>
      <c r="V21" s="37" t="str">
        <f t="shared" si="21"/>
        <v/>
      </c>
      <c r="W21" s="37" t="str">
        <f t="shared" si="22"/>
        <v/>
      </c>
      <c r="X21" s="56" t="str">
        <f t="shared" si="23"/>
        <v/>
      </c>
    </row>
    <row r="22" spans="1:24" ht="25.5" customHeight="1" x14ac:dyDescent="0.25">
      <c r="A22" s="50" t="str">
        <f>IF(B22="","",MAX(A$6:A21)+1)</f>
        <v/>
      </c>
      <c r="B22" s="51"/>
      <c r="C22" s="52"/>
      <c r="D22" s="53"/>
      <c r="E22" s="54"/>
      <c r="F22" s="29" t="str">
        <f t="shared" si="12"/>
        <v/>
      </c>
      <c r="G22" s="54"/>
      <c r="H22" s="29" t="str">
        <f t="shared" si="13"/>
        <v/>
      </c>
      <c r="I22" s="53"/>
      <c r="J22" s="29" t="str">
        <f t="shared" si="14"/>
        <v/>
      </c>
      <c r="K22" s="54"/>
      <c r="L22" s="29" t="str">
        <f t="shared" si="15"/>
        <v/>
      </c>
      <c r="M22" s="54"/>
      <c r="N22" s="29" t="str">
        <f t="shared" si="16"/>
        <v/>
      </c>
      <c r="O22" s="54"/>
      <c r="P22" s="29" t="str">
        <f t="shared" si="17"/>
        <v/>
      </c>
      <c r="Q22" s="54"/>
      <c r="R22" s="29" t="str">
        <f t="shared" si="18"/>
        <v/>
      </c>
      <c r="S22" s="54"/>
      <c r="T22" s="55" t="str">
        <f t="shared" si="19"/>
        <v/>
      </c>
      <c r="U22" s="30" t="str">
        <f t="shared" si="20"/>
        <v/>
      </c>
      <c r="V22" s="31" t="str">
        <f t="shared" si="21"/>
        <v/>
      </c>
      <c r="W22" s="31" t="str">
        <f t="shared" si="22"/>
        <v/>
      </c>
      <c r="X22" s="56" t="str">
        <f t="shared" si="23"/>
        <v/>
      </c>
    </row>
    <row r="23" spans="1:24" ht="25.5" customHeight="1" x14ac:dyDescent="0.25">
      <c r="A23" s="57" t="str">
        <f>IF(B23="","",MAX(A$6:A22)+1)</f>
        <v/>
      </c>
      <c r="B23" s="58"/>
      <c r="C23" s="59"/>
      <c r="D23" s="53"/>
      <c r="E23" s="54"/>
      <c r="F23" s="35" t="str">
        <f t="shared" si="12"/>
        <v/>
      </c>
      <c r="G23" s="54"/>
      <c r="H23" s="35" t="str">
        <f t="shared" si="13"/>
        <v/>
      </c>
      <c r="I23" s="53"/>
      <c r="J23" s="35" t="str">
        <f t="shared" si="14"/>
        <v/>
      </c>
      <c r="K23" s="54"/>
      <c r="L23" s="35" t="str">
        <f t="shared" si="15"/>
        <v/>
      </c>
      <c r="M23" s="54"/>
      <c r="N23" s="35" t="str">
        <f t="shared" si="16"/>
        <v/>
      </c>
      <c r="O23" s="54"/>
      <c r="P23" s="35" t="str">
        <f t="shared" si="17"/>
        <v/>
      </c>
      <c r="Q23" s="54"/>
      <c r="R23" s="35" t="str">
        <f t="shared" si="18"/>
        <v/>
      </c>
      <c r="S23" s="54"/>
      <c r="T23" s="55" t="str">
        <f t="shared" si="19"/>
        <v/>
      </c>
      <c r="U23" s="36" t="str">
        <f t="shared" si="20"/>
        <v/>
      </c>
      <c r="V23" s="37" t="str">
        <f t="shared" si="21"/>
        <v/>
      </c>
      <c r="W23" s="37" t="str">
        <f t="shared" si="22"/>
        <v/>
      </c>
      <c r="X23" s="56" t="str">
        <f t="shared" si="23"/>
        <v/>
      </c>
    </row>
    <row r="24" spans="1:24" ht="25.5" customHeight="1" x14ac:dyDescent="0.25">
      <c r="A24" s="50" t="str">
        <f>IF(B24="","",MAX(A$6:A23)+1)</f>
        <v/>
      </c>
      <c r="B24" s="51"/>
      <c r="C24" s="52"/>
      <c r="D24" s="53"/>
      <c r="E24" s="54"/>
      <c r="F24" s="29" t="str">
        <f t="shared" si="12"/>
        <v/>
      </c>
      <c r="G24" s="54"/>
      <c r="H24" s="29" t="str">
        <f t="shared" si="13"/>
        <v/>
      </c>
      <c r="I24" s="53"/>
      <c r="J24" s="29" t="str">
        <f t="shared" si="14"/>
        <v/>
      </c>
      <c r="K24" s="54"/>
      <c r="L24" s="29" t="str">
        <f t="shared" si="15"/>
        <v/>
      </c>
      <c r="M24" s="54"/>
      <c r="N24" s="29" t="str">
        <f t="shared" si="16"/>
        <v/>
      </c>
      <c r="O24" s="54"/>
      <c r="P24" s="29" t="str">
        <f t="shared" si="17"/>
        <v/>
      </c>
      <c r="Q24" s="54"/>
      <c r="R24" s="29" t="str">
        <f t="shared" si="18"/>
        <v/>
      </c>
      <c r="S24" s="54"/>
      <c r="T24" s="55" t="str">
        <f t="shared" si="19"/>
        <v/>
      </c>
      <c r="U24" s="30" t="str">
        <f t="shared" si="20"/>
        <v/>
      </c>
      <c r="V24" s="31" t="str">
        <f t="shared" si="21"/>
        <v/>
      </c>
      <c r="W24" s="31" t="str">
        <f t="shared" si="22"/>
        <v/>
      </c>
      <c r="X24" s="56" t="str">
        <f t="shared" si="23"/>
        <v/>
      </c>
    </row>
    <row r="25" spans="1:24" ht="25.5" customHeight="1" x14ac:dyDescent="0.25">
      <c r="A25" s="57" t="str">
        <f>IF(B25="","",MAX(A$6:A24)+1)</f>
        <v/>
      </c>
      <c r="B25" s="58"/>
      <c r="C25" s="59"/>
      <c r="D25" s="53"/>
      <c r="E25" s="54"/>
      <c r="F25" s="35" t="str">
        <f t="shared" si="12"/>
        <v/>
      </c>
      <c r="G25" s="54"/>
      <c r="H25" s="35" t="str">
        <f t="shared" si="13"/>
        <v/>
      </c>
      <c r="I25" s="53"/>
      <c r="J25" s="35" t="str">
        <f t="shared" si="14"/>
        <v/>
      </c>
      <c r="K25" s="54"/>
      <c r="L25" s="35" t="str">
        <f t="shared" si="15"/>
        <v/>
      </c>
      <c r="M25" s="54"/>
      <c r="N25" s="35" t="str">
        <f t="shared" si="16"/>
        <v/>
      </c>
      <c r="O25" s="54"/>
      <c r="P25" s="35" t="str">
        <f t="shared" si="17"/>
        <v/>
      </c>
      <c r="Q25" s="54"/>
      <c r="R25" s="35" t="str">
        <f t="shared" si="18"/>
        <v/>
      </c>
      <c r="S25" s="54"/>
      <c r="T25" s="55" t="str">
        <f t="shared" si="19"/>
        <v/>
      </c>
      <c r="U25" s="36" t="str">
        <f t="shared" si="20"/>
        <v/>
      </c>
      <c r="V25" s="37" t="str">
        <f t="shared" si="21"/>
        <v/>
      </c>
      <c r="W25" s="37" t="str">
        <f t="shared" si="22"/>
        <v/>
      </c>
      <c r="X25" s="56" t="str">
        <f t="shared" si="23"/>
        <v/>
      </c>
    </row>
    <row r="26" spans="1:24" ht="25.5" customHeight="1" x14ac:dyDescent="0.25">
      <c r="A26" s="71"/>
      <c r="B26" s="71"/>
      <c r="C26" s="71"/>
      <c r="D26" s="60">
        <f>SUM(D6:D25)</f>
        <v>380.2</v>
      </c>
      <c r="E26" s="61">
        <f>IFERROR(AVERAGEIF(E6:E25,"&gt;0"),0)</f>
        <v>0.14000000000000001</v>
      </c>
      <c r="F26" s="60">
        <f>SUM(F6:F25)</f>
        <v>320.12</v>
      </c>
      <c r="G26" s="61">
        <f>IFERROR(AVERAGEIF(G6:G25,"&gt;0"),0)</f>
        <v>2.4E-2</v>
      </c>
      <c r="H26" s="60">
        <f>SUM(H6:H25)</f>
        <v>311.64859999999999</v>
      </c>
      <c r="I26" s="60">
        <f>SUM(I6:I25)</f>
        <v>33.700000000000003</v>
      </c>
      <c r="J26" s="60">
        <f>SUM(J6:J25)</f>
        <v>345.34860000000003</v>
      </c>
      <c r="K26" s="61">
        <f>IFERROR(AVERAGEIF(K6:K25,"&gt;0"),0)</f>
        <v>0.31300000000000006</v>
      </c>
      <c r="L26" s="60">
        <f>SUM(L6:L25)</f>
        <v>455.45439199999998</v>
      </c>
      <c r="M26" s="61">
        <f>IFERROR(AVERAGEIF(M6:M25,"&gt;0"),0)</f>
        <v>0.26700000000000002</v>
      </c>
      <c r="N26" s="60">
        <f>SUM(N6:N25)</f>
        <v>559.45915263999996</v>
      </c>
      <c r="O26" s="61">
        <f>IFERROR(AVERAGEIF(O6:O25,"&gt;0"),0)</f>
        <v>2.1999999999999999E-2</v>
      </c>
      <c r="P26" s="60">
        <f>SUM(P6:P25)</f>
        <v>573.93663789269942</v>
      </c>
      <c r="Q26" s="61">
        <f>IFERROR(AVERAGEIF(Q6:Q25,"&gt;0"),0)</f>
        <v>9.2999999999999999E-2</v>
      </c>
      <c r="R26" s="60">
        <f>SUM(R6:R25)</f>
        <v>648.36994748624466</v>
      </c>
      <c r="S26" s="61">
        <f>IFERROR(AVERAGEIF(S6:S25,"&gt;0"),0)</f>
        <v>0.17799999999999999</v>
      </c>
      <c r="T26" s="60">
        <f>SUM(T6:T25)</f>
        <v>770.24898294364721</v>
      </c>
      <c r="U26" s="62">
        <f>IFERROR(AVERAGEIF(U6:U25,"&gt;0"),0)</f>
        <v>1.8771671791224687</v>
      </c>
      <c r="V26" s="61">
        <f>IFERROR(AVERAGEIF(V6:V25,"&gt;0"),0)</f>
        <v>0.87716717912246867</v>
      </c>
      <c r="W26" s="61">
        <f>IFERROR(AVERAGEIF(W6:W25,"&gt;0"),0)</f>
        <v>0.46477529714691712</v>
      </c>
      <c r="X26" s="60">
        <f>SUM(X6:X25)</f>
        <v>303.02134748624462</v>
      </c>
    </row>
  </sheetData>
  <mergeCells count="8">
    <mergeCell ref="A26:C26"/>
    <mergeCell ref="A1:X1"/>
    <mergeCell ref="A2:X2"/>
    <mergeCell ref="A4:C4"/>
    <mergeCell ref="D4:J4"/>
    <mergeCell ref="K4:L4"/>
    <mergeCell ref="M4:T4"/>
    <mergeCell ref="U4:X4"/>
  </mergeCells>
  <conditionalFormatting sqref="W6:W15">
    <cfRule type="cellIs" dxfId="1" priority="3" operator="greaterThan">
      <formula>0.5</formula>
    </cfRule>
  </conditionalFormatting>
  <conditionalFormatting sqref="X6:X15">
    <cfRule type="cellIs" dxfId="0" priority="2" operator="lessThan">
      <formula>5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Stammdaten!$D$4:$D$14</xm:f>
          </x14:formula1>
          <x14:formula2>
            <xm:f>0</xm:f>
          </x14:formula2>
          <xm:sqref>C6:C50</xm:sqref>
        </x14:dataValidation>
        <x14:dataValidation type="list" allowBlank="1" xr:uid="{00000000-0002-0000-0100-000001000000}">
          <x14:formula1>
            <xm:f>Stammdaten!$E$4:$E$6</xm:f>
          </x14:formula1>
          <x14:formula2>
            <xm:f>0</xm:f>
          </x14:formula2>
          <xm:sqref>S6:S50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showGridLines="0" zoomScaleNormal="100" workbookViewId="0"/>
  </sheetViews>
  <sheetFormatPr baseColWidth="10" defaultColWidth="8.7109375" defaultRowHeight="15" x14ac:dyDescent="0.25"/>
  <cols>
    <col min="1" max="1" width="28" customWidth="1"/>
    <col min="2" max="2" width="24" customWidth="1"/>
    <col min="3" max="3" width="3" customWidth="1"/>
    <col min="4" max="4" width="22" customWidth="1"/>
    <col min="5" max="5" width="14" customWidth="1"/>
  </cols>
  <sheetData>
    <row r="1" spans="1:6" ht="27.75" customHeight="1" x14ac:dyDescent="0.25">
      <c r="A1" s="7" t="s">
        <v>106</v>
      </c>
      <c r="B1" s="7"/>
      <c r="C1" s="7"/>
      <c r="D1" s="7"/>
      <c r="E1" s="7"/>
      <c r="F1" s="7"/>
    </row>
    <row r="3" spans="1:6" x14ac:dyDescent="0.25">
      <c r="A3" s="63" t="s">
        <v>107</v>
      </c>
      <c r="D3" s="64" t="s">
        <v>108</v>
      </c>
      <c r="E3" s="64" t="s">
        <v>109</v>
      </c>
    </row>
    <row r="4" spans="1:6" x14ac:dyDescent="0.25">
      <c r="A4" s="65" t="s">
        <v>110</v>
      </c>
      <c r="B4" s="66">
        <v>0.1</v>
      </c>
      <c r="D4" s="67" t="s">
        <v>87</v>
      </c>
      <c r="E4" s="68">
        <v>0.19</v>
      </c>
    </row>
    <row r="5" spans="1:6" x14ac:dyDescent="0.25">
      <c r="A5" s="65" t="s">
        <v>111</v>
      </c>
      <c r="B5" s="66">
        <v>0.02</v>
      </c>
      <c r="D5" s="67" t="s">
        <v>89</v>
      </c>
      <c r="E5" s="68">
        <v>7.0000000000000007E-2</v>
      </c>
    </row>
    <row r="6" spans="1:6" x14ac:dyDescent="0.25">
      <c r="A6" s="65" t="s">
        <v>112</v>
      </c>
      <c r="B6" s="66">
        <v>0.3</v>
      </c>
      <c r="D6" s="67" t="s">
        <v>91</v>
      </c>
      <c r="E6" s="68">
        <v>0</v>
      </c>
    </row>
    <row r="7" spans="1:6" x14ac:dyDescent="0.25">
      <c r="A7" s="65" t="s">
        <v>113</v>
      </c>
      <c r="B7" s="66">
        <v>0.2</v>
      </c>
      <c r="D7" s="67" t="s">
        <v>93</v>
      </c>
    </row>
    <row r="8" spans="1:6" x14ac:dyDescent="0.25">
      <c r="A8" s="65" t="s">
        <v>114</v>
      </c>
      <c r="B8" s="66">
        <v>0.02</v>
      </c>
      <c r="D8" s="67" t="s">
        <v>95</v>
      </c>
    </row>
    <row r="9" spans="1:6" x14ac:dyDescent="0.25">
      <c r="A9" s="65" t="s">
        <v>115</v>
      </c>
      <c r="B9" s="66">
        <v>0.1</v>
      </c>
      <c r="D9" s="67" t="s">
        <v>97</v>
      </c>
    </row>
    <row r="10" spans="1:6" x14ac:dyDescent="0.25">
      <c r="A10" s="65" t="s">
        <v>116</v>
      </c>
      <c r="B10" s="66">
        <v>0.19</v>
      </c>
      <c r="D10" s="67" t="s">
        <v>99</v>
      </c>
    </row>
    <row r="11" spans="1:6" x14ac:dyDescent="0.25">
      <c r="A11" s="65" t="s">
        <v>117</v>
      </c>
      <c r="B11" s="66">
        <v>7.0000000000000007E-2</v>
      </c>
      <c r="D11" s="67" t="s">
        <v>101</v>
      </c>
    </row>
    <row r="12" spans="1:6" x14ac:dyDescent="0.25">
      <c r="D12" s="67" t="s">
        <v>103</v>
      </c>
    </row>
    <row r="13" spans="1:6" x14ac:dyDescent="0.25">
      <c r="D13" s="67" t="s">
        <v>105</v>
      </c>
    </row>
    <row r="14" spans="1:6" x14ac:dyDescent="0.25">
      <c r="A14" s="63" t="s">
        <v>118</v>
      </c>
      <c r="D14" s="67" t="s">
        <v>119</v>
      </c>
    </row>
    <row r="15" spans="1:6" x14ac:dyDescent="0.25">
      <c r="A15" s="65" t="s">
        <v>2</v>
      </c>
      <c r="B15" s="69" t="s">
        <v>120</v>
      </c>
    </row>
    <row r="16" spans="1:6" x14ac:dyDescent="0.25">
      <c r="A16" s="65" t="s">
        <v>3</v>
      </c>
      <c r="B16" s="69" t="s">
        <v>121</v>
      </c>
    </row>
    <row r="17" spans="1:6" x14ac:dyDescent="0.25">
      <c r="A17" s="65" t="s">
        <v>122</v>
      </c>
      <c r="B17" s="69" t="s">
        <v>123</v>
      </c>
    </row>
    <row r="18" spans="1:6" x14ac:dyDescent="0.25">
      <c r="A18" s="65" t="s">
        <v>124</v>
      </c>
      <c r="B18" s="69" t="s">
        <v>125</v>
      </c>
    </row>
    <row r="19" spans="1:6" x14ac:dyDescent="0.25">
      <c r="A19" s="65" t="s">
        <v>126</v>
      </c>
      <c r="B19" s="70">
        <v>46037</v>
      </c>
    </row>
    <row r="22" spans="1:6" x14ac:dyDescent="0.25">
      <c r="A22" s="63" t="s">
        <v>127</v>
      </c>
    </row>
    <row r="23" spans="1:6" ht="21.75" customHeight="1" x14ac:dyDescent="0.25">
      <c r="A23" s="72" t="s">
        <v>128</v>
      </c>
      <c r="B23" s="72"/>
      <c r="C23" s="72"/>
      <c r="D23" s="72"/>
      <c r="E23" s="72"/>
      <c r="F23" s="72"/>
    </row>
    <row r="24" spans="1:6" ht="21.75" customHeight="1" x14ac:dyDescent="0.25">
      <c r="A24" s="72" t="s">
        <v>129</v>
      </c>
      <c r="B24" s="72"/>
      <c r="C24" s="72"/>
      <c r="D24" s="72"/>
      <c r="E24" s="72"/>
      <c r="F24" s="72"/>
    </row>
    <row r="25" spans="1:6" ht="21.75" customHeight="1" x14ac:dyDescent="0.25">
      <c r="A25" s="72" t="s">
        <v>130</v>
      </c>
      <c r="B25" s="72"/>
      <c r="C25" s="72"/>
      <c r="D25" s="72"/>
      <c r="E25" s="72"/>
      <c r="F25" s="72"/>
    </row>
    <row r="26" spans="1:6" ht="21.75" customHeight="1" x14ac:dyDescent="0.25">
      <c r="A26" s="72" t="s">
        <v>131</v>
      </c>
      <c r="B26" s="72"/>
      <c r="C26" s="72"/>
      <c r="D26" s="72"/>
      <c r="E26" s="72"/>
      <c r="F26" s="72"/>
    </row>
    <row r="27" spans="1:6" ht="21.75" customHeight="1" x14ac:dyDescent="0.25">
      <c r="A27" s="72" t="s">
        <v>132</v>
      </c>
      <c r="B27" s="72"/>
      <c r="C27" s="72"/>
      <c r="D27" s="72"/>
      <c r="E27" s="72"/>
      <c r="F27" s="72"/>
    </row>
    <row r="28" spans="1:6" ht="21.75" customHeight="1" x14ac:dyDescent="0.25">
      <c r="A28" s="72" t="s">
        <v>133</v>
      </c>
      <c r="B28" s="72"/>
      <c r="C28" s="72"/>
      <c r="D28" s="72"/>
      <c r="E28" s="72"/>
      <c r="F28" s="72"/>
    </row>
  </sheetData>
  <mergeCells count="7">
    <mergeCell ref="A27:F27"/>
    <mergeCell ref="A28:F28"/>
    <mergeCell ref="A1:F1"/>
    <mergeCell ref="A23:F23"/>
    <mergeCell ref="A24:F24"/>
    <mergeCell ref="A25:F25"/>
    <mergeCell ref="A26:F2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Kalkulation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2026-06-10T10:45:39Z</dcterms:created>
  <dcterms:modified xsi:type="dcterms:W3CDTF">2026-06-10T11:02:18Z</dcterms:modified>
  <dc:language>en-US</dc:language>
</cp:coreProperties>
</file>