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6B4FA6F4-BE96-4D81-AB70-3653E20C86B6}" xr6:coauthVersionLast="47" xr6:coauthVersionMax="47" xr10:uidLastSave="{00000000-0000-0000-0000-000000000000}"/>
  <bookViews>
    <workbookView xWindow="690" yWindow="690" windowWidth="25500" windowHeight="13500" tabRatio="500" xr2:uid="{00000000-000D-0000-FFFF-FFFF00000000}"/>
  </bookViews>
  <sheets>
    <sheet name="Kalkulation" sheetId="1" r:id="rId1"/>
    <sheet name="Produktvergleich" sheetId="2" r:id="rId2"/>
    <sheet name="Rückwärtskalkulation" sheetId="3" r:id="rId3"/>
  </sheets>
  <definedNames>
    <definedName name="_xlnm.Print_Area" localSheetId="0">Kalkulation!$B$1:$F$48</definedName>
    <definedName name="_xlnm.Print_Area" localSheetId="1">Produktvergleich!$B$1:$S$21</definedName>
    <definedName name="_xlnm.Print_Area" localSheetId="2">Rückwärtskalkulation!$B$1:$F$37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3" i="3" l="1"/>
  <c r="F15" i="3" s="1"/>
  <c r="H16" i="2"/>
  <c r="J16" i="2" s="1"/>
  <c r="O16" i="2" s="1"/>
  <c r="H15" i="2"/>
  <c r="J15" i="2" s="1"/>
  <c r="O15" i="2" s="1"/>
  <c r="H14" i="2"/>
  <c r="J14" i="2" s="1"/>
  <c r="O14" i="2" s="1"/>
  <c r="H13" i="2"/>
  <c r="J13" i="2" s="1"/>
  <c r="O13" i="2" s="1"/>
  <c r="H12" i="2"/>
  <c r="J12" i="2" s="1"/>
  <c r="O12" i="2" s="1"/>
  <c r="H11" i="2"/>
  <c r="J11" i="2" s="1"/>
  <c r="O11" i="2" s="1"/>
  <c r="H10" i="2"/>
  <c r="J10" i="2" s="1"/>
  <c r="O10" i="2" s="1"/>
  <c r="H9" i="2"/>
  <c r="J9" i="2" s="1"/>
  <c r="O9" i="2" s="1"/>
  <c r="H8" i="2"/>
  <c r="J8" i="2" s="1"/>
  <c r="O8" i="2" s="1"/>
  <c r="H7" i="2"/>
  <c r="J7" i="2" s="1"/>
  <c r="F14" i="1"/>
  <c r="R9" i="2" l="1"/>
  <c r="S9" i="2"/>
  <c r="Q9" i="2"/>
  <c r="P9" i="2"/>
  <c r="S13" i="2"/>
  <c r="R13" i="2"/>
  <c r="Q13" i="2"/>
  <c r="P13" i="2"/>
  <c r="R14" i="2"/>
  <c r="Q14" i="2"/>
  <c r="P14" i="2"/>
  <c r="S14" i="2"/>
  <c r="S8" i="2"/>
  <c r="R8" i="2"/>
  <c r="Q8" i="2"/>
  <c r="P8" i="2"/>
  <c r="Q12" i="2"/>
  <c r="S12" i="2"/>
  <c r="P12" i="2"/>
  <c r="R12" i="2"/>
  <c r="P15" i="2"/>
  <c r="S15" i="2"/>
  <c r="R15" i="2"/>
  <c r="Q15" i="2"/>
  <c r="J18" i="2"/>
  <c r="O7" i="2"/>
  <c r="R11" i="2"/>
  <c r="Q11" i="2"/>
  <c r="P11" i="2"/>
  <c r="S11" i="2"/>
  <c r="S16" i="2"/>
  <c r="R16" i="2"/>
  <c r="Q16" i="2"/>
  <c r="P16" i="2"/>
  <c r="P10" i="2"/>
  <c r="S10" i="2"/>
  <c r="R10" i="2"/>
  <c r="Q10" i="2"/>
  <c r="F17" i="3"/>
  <c r="E16" i="3"/>
  <c r="H18" i="2"/>
  <c r="E14" i="3"/>
  <c r="E15" i="1"/>
  <c r="F16" i="1" s="1"/>
  <c r="E17" i="1" l="1"/>
  <c r="F18" i="1" s="1"/>
  <c r="F20" i="1" s="1"/>
  <c r="F24" i="1" s="1"/>
  <c r="F19" i="3"/>
  <c r="E18" i="3"/>
  <c r="R7" i="2"/>
  <c r="R18" i="2" s="1"/>
  <c r="Q7" i="2"/>
  <c r="Q18" i="2" s="1"/>
  <c r="O18" i="2"/>
  <c r="S7" i="2"/>
  <c r="S18" i="2" s="1"/>
  <c r="P7" i="2"/>
  <c r="P18" i="2" s="1"/>
  <c r="E25" i="1" l="1"/>
  <c r="E26" i="1"/>
  <c r="F27" i="1" s="1"/>
  <c r="F21" i="3"/>
  <c r="E20" i="3"/>
  <c r="D45" i="1" l="1"/>
  <c r="F31" i="1"/>
  <c r="F24" i="3"/>
  <c r="E23" i="3"/>
  <c r="E22" i="3"/>
  <c r="F35" i="3"/>
  <c r="F26" i="3" l="1"/>
  <c r="F28" i="3" s="1"/>
  <c r="F34" i="3"/>
  <c r="D34" i="3"/>
  <c r="F33" i="3"/>
  <c r="D33" i="3"/>
  <c r="E32" i="1"/>
  <c r="D44" i="1" s="1"/>
  <c r="F33" i="1" l="1"/>
  <c r="F35" i="1" s="1"/>
  <c r="F30" i="3"/>
  <c r="E27" i="3"/>
  <c r="D35" i="3" l="1"/>
  <c r="E29" i="3"/>
  <c r="F37" i="1"/>
  <c r="E34" i="1"/>
  <c r="F44" i="1" l="1"/>
  <c r="F43" i="1"/>
  <c r="D42" i="1"/>
  <c r="E36" i="1"/>
  <c r="D43" i="1"/>
  <c r="F42" i="1"/>
  <c r="E38" i="1"/>
  <c r="F45" i="1" s="1"/>
  <c r="F39" i="1" l="1"/>
</calcChain>
</file>

<file path=xl/sharedStrings.xml><?xml version="1.0" encoding="utf-8"?>
<sst xmlns="http://schemas.openxmlformats.org/spreadsheetml/2006/main" count="187" uniqueCount="131">
  <si>
    <t>KALKULATION VERKAUFSPREIS</t>
  </si>
  <si>
    <t>Vorwärtskalkulation · Vom Listeneinkaufspreis zum Bruttoverkaufspreis · Stand 2026</t>
  </si>
  <si>
    <t>Eingabezelle (manuell anpassen)</t>
  </si>
  <si>
    <t>automatische Berechnung</t>
  </si>
  <si>
    <t xml:space="preserve">  ARTIKELDATEN</t>
  </si>
  <si>
    <t>Artikelbezeichnung</t>
  </si>
  <si>
    <t>Beispielartikel Standard</t>
  </si>
  <si>
    <t>Kalkulationsdatum</t>
  </si>
  <si>
    <t>15.03.2026</t>
  </si>
  <si>
    <t>Artikelnummer</t>
  </si>
  <si>
    <t>ART-1001</t>
  </si>
  <si>
    <t>Bearbeiter:in</t>
  </si>
  <si>
    <t>M. Schneider</t>
  </si>
  <si>
    <t>Produktkategorie</t>
  </si>
  <si>
    <t>Sortimentsware</t>
  </si>
  <si>
    <t>Kalkulationsmenge</t>
  </si>
  <si>
    <t>1 Stück</t>
  </si>
  <si>
    <t xml:space="preserve">  1. BEZUGSKALKULATION   ·   Listeneinkaufspreis → Bezugspreis</t>
  </si>
  <si>
    <t>%-Satz</t>
  </si>
  <si>
    <t>Position</t>
  </si>
  <si>
    <t>Betrag</t>
  </si>
  <si>
    <t>Zwischensumme</t>
  </si>
  <si>
    <t>Listeneinkaufspreis (netto)</t>
  </si>
  <si>
    <t>−</t>
  </si>
  <si>
    <t>Lieferantenrabatt</t>
  </si>
  <si>
    <t>=</t>
  </si>
  <si>
    <t>Zieleinkaufspreis (ZEK)</t>
  </si>
  <si>
    <t>Lieferantenskonto</t>
  </si>
  <si>
    <t>Bareinkaufspreis (BEK)</t>
  </si>
  <si>
    <t>+</t>
  </si>
  <si>
    <t>Bezugskosten (Fracht, Versicherung, Verpackung)</t>
  </si>
  <si>
    <t>Bezugspreis / Einstandspreis (BEP)</t>
  </si>
  <si>
    <t xml:space="preserve">  2. SELBSTKOSTENKALKULATION   ·   Bezugspreis → Selbstkostenpreis</t>
  </si>
  <si>
    <t>Bezugspreis (Übernahme aus Bezugskalkulation)</t>
  </si>
  <si>
    <t>Handlungskosten / Gemeinkostenzuschlag</t>
  </si>
  <si>
    <t>Lagerzins (kalkulatorisch)</t>
  </si>
  <si>
    <t>Selbstkostenpreis (SKP)</t>
  </si>
  <si>
    <t xml:space="preserve">  3. VERKAUFSKALKULATION   ·   Selbstkostenpreis → Bruttoverkaufspreis</t>
  </si>
  <si>
    <t>Selbstkostenpreis (Übernahme)</t>
  </si>
  <si>
    <t>Gewinnzuschlag (vom Hundert)</t>
  </si>
  <si>
    <t>Barverkaufspreis (BVP)</t>
  </si>
  <si>
    <t>Kundenskonto (im Hundert)</t>
  </si>
  <si>
    <t>Zielverkaufspreis (ZVP)</t>
  </si>
  <si>
    <t>Kundenrabatt (im Hundert)</t>
  </si>
  <si>
    <t>Listenverkaufspreis netto (LVP)</t>
  </si>
  <si>
    <t>Umsatzsteuer (USt)</t>
  </si>
  <si>
    <t>BRUTTOVERKAUFSPREIS (Endkundenpreis)</t>
  </si>
  <si>
    <t xml:space="preserve">  KENNZAHLEN UND MARGE</t>
  </si>
  <si>
    <t>Kalkulationszuschlag (Aufschlag auf Bezugspreis)</t>
  </si>
  <si>
    <t>Marge / Rohgewinn pro Stück (netto)</t>
  </si>
  <si>
    <t>Kalkulationsfaktor (LVP ÷ Bezugspreis)</t>
  </si>
  <si>
    <t>Handelsspanne (Marge in % vom LVP)</t>
  </si>
  <si>
    <t>Gewinn-Aufschlag (vom Selbstkostenpreis)</t>
  </si>
  <si>
    <t>Reingewinn pro Stück (LVP − SKP)</t>
  </si>
  <si>
    <t>Mindestpreis Selbstkosten (Preisuntergrenze)</t>
  </si>
  <si>
    <t>USt-Betrag pro Stück</t>
  </si>
  <si>
    <t>Hinweis zur Im-Hundert-Rechnung: Kundenskonto und Kundenrabatt werden vom Endpreis abgezogen. Der Barverkaufspreis entspricht deshalb (100 % − Skonto %) des Zielverkaufspreises, der Zielverkaufspreis (100 % − Rabatt %) des Listenverkaufspreises. Daher wird in der Vorwärtsrechnung durch (1 − Skonto %) bzw. (1 − Rabatt %) dividiert.</t>
  </si>
  <si>
    <t>PRODUKTVERGLEICH – Mehrartikel-Kalkulation</t>
  </si>
  <si>
    <t>Eingaben pro Artikel anpassen – Bezugspreis, Selbstkosten, Listen-VK netto und Brutto werden automatisch berechnet · Stand 2026</t>
  </si>
  <si>
    <t>Artikel</t>
  </si>
  <si>
    <t>Bezugskalkulation</t>
  </si>
  <si>
    <t>Selbstkosten</t>
  </si>
  <si>
    <t>Verkaufszuschläge</t>
  </si>
  <si>
    <t>Verkaufspreise</t>
  </si>
  <si>
    <t>Marge &amp; Kennzahlen</t>
  </si>
  <si>
    <t>Artikel-Nr.</t>
  </si>
  <si>
    <t>Bezeichnung</t>
  </si>
  <si>
    <t>Listen-EK netto</t>
  </si>
  <si>
    <t>Lief.-Rabatt</t>
  </si>
  <si>
    <t>Lief.-Skonto</t>
  </si>
  <si>
    <t>Bezugskosten</t>
  </si>
  <si>
    <t>Bezugspreis</t>
  </si>
  <si>
    <t>Handlungs-
kosten %</t>
  </si>
  <si>
    <t>Selbst-
kostenpreis</t>
  </si>
  <si>
    <t>Gewinn %</t>
  </si>
  <si>
    <t>Kd.-Skonto</t>
  </si>
  <si>
    <t>Kd.-Rabatt</t>
  </si>
  <si>
    <t>USt</t>
  </si>
  <si>
    <t>Listen-VK netto</t>
  </si>
  <si>
    <t>Brutto-VK</t>
  </si>
  <si>
    <t>Marge €</t>
  </si>
  <si>
    <t>Handels-
spanne %</t>
  </si>
  <si>
    <t>Kalk.-faktor</t>
  </si>
  <si>
    <t>Einsteigerprodukt</t>
  </si>
  <si>
    <t>ART-1002</t>
  </si>
  <si>
    <t>Standardartikel klein</t>
  </si>
  <si>
    <t>ART-1003</t>
  </si>
  <si>
    <t>Standardartikel groß</t>
  </si>
  <si>
    <t>ART-1004</t>
  </si>
  <si>
    <t>Premiumartikel I</t>
  </si>
  <si>
    <t>ART-1005</t>
  </si>
  <si>
    <t>Premiumartikel II</t>
  </si>
  <si>
    <t>ART-1006</t>
  </si>
  <si>
    <t>Sortimentsergänzung</t>
  </si>
  <si>
    <t>ART-1007</t>
  </si>
  <si>
    <t>Saisonartikel</t>
  </si>
  <si>
    <t>ART-1008</t>
  </si>
  <si>
    <t>Aktionsware</t>
  </si>
  <si>
    <t>ART-1009</t>
  </si>
  <si>
    <t>Großauftrag-Bundle</t>
  </si>
  <si>
    <t>ART-1010</t>
  </si>
  <si>
    <t>Kleinmenge-Spezial</t>
  </si>
  <si>
    <t>DURCHSCHNITT</t>
  </si>
  <si>
    <t>Bezugspreis-Formel:  Listen-EK × (1 − Lief.-Rabatt) × (1 − Lief.-Skonto) + Bezugskosten.    Listen-VK netto-Formel:  Selbstkostenpreis × (1 + Gewinn) ÷ (1 − Kd.-Skonto) ÷ (1 − Kd.-Rabatt).    Brutto-VK = Listen-VK netto × (1 + USt).</t>
  </si>
  <si>
    <t>RÜCKWÄRTSKALKULATION</t>
  </si>
  <si>
    <t>Vom marktüblichen Verkaufspreis zum maximal zulässigen Einkaufspreis · Stand 2026</t>
  </si>
  <si>
    <t>Wenn der Marktpreis (Bruttoverkaufspreis) vorgegeben ist, rechnen Sie rückwärts zum Bezugspreis und ermitteln, welchen maximalen Listeneinkaufspreis Sie dem Lieferanten noch zahlen dürfen, um Ihre Zielmarge zu erreichen.</t>
  </si>
  <si>
    <t>Beispielartikel Rückwärts</t>
  </si>
  <si>
    <t>ART-2001</t>
  </si>
  <si>
    <t>Marktbeobachter:in</t>
  </si>
  <si>
    <t>L. Hoffmann</t>
  </si>
  <si>
    <t xml:space="preserve">  AUSGANGSWERT: MARKTPREIS</t>
  </si>
  <si>
    <t>Bruttoverkaufspreis am Markt (Vorgabe)</t>
  </si>
  <si>
    <t>Umsatzsteuer</t>
  </si>
  <si>
    <t>Kundenrabatt</t>
  </si>
  <si>
    <t>Kundenskonto</t>
  </si>
  <si>
    <t>Gewinnzuschlag</t>
  </si>
  <si>
    <t>Handlungskosten (Gemeinkostenzuschlag)</t>
  </si>
  <si>
    <t>Bezugspreis (Einstandspreis)</t>
  </si>
  <si>
    <t>Bezugskosten (Fracht, Verpackung)</t>
  </si>
  <si>
    <t>Lieferantenskonto (im Hundert)</t>
  </si>
  <si>
    <t>Lieferantenrabatt (im Hundert)</t>
  </si>
  <si>
    <t>MAX. LISTENEINKAUFSPREIS (Verhandlungsobergrenze)</t>
  </si>
  <si>
    <t xml:space="preserve">  KENNZAHLEN ZUR RÜCKWÄRTSRECHNUNG</t>
  </si>
  <si>
    <t>Erlaubte Marge pro Stück (LVP netto − Bezugspreis)</t>
  </si>
  <si>
    <t>Handelsspanne (Marge in % vom LVP netto)</t>
  </si>
  <si>
    <t>Kalkulationszuschlag erlaubt</t>
  </si>
  <si>
    <t>Kalkulationsfaktor erlaubt</t>
  </si>
  <si>
    <t>Maximale Einkaufsspanne im Vergleich zum Marktpreis</t>
  </si>
  <si>
    <t>Reingewinn bei Maximalpreis (LVP netto − SKP)</t>
  </si>
  <si>
    <t>Logik der Rückwärtskalkulation: Bei Kundenrabatt und Kundenskonto wird vom Hundert gerechnet (direkter Abzug). Bei Gewinnzuschlag, Handlungskosten und Lagerzins wird hingegen durch den Zuschlagsfaktor dividiert. Lieferantenskonto und Lieferantenrabatt werden im Hundert hochgerechnet, also durch (1 − Satz) dividiert.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</si>
</sst>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   €&quot;"/>
    <numFmt numFmtId="165" formatCode="0.0%"/>
  </numFmts>
  <fonts count="22" x14ac:knownFonts="1">
    <font>
      <sz val="11"/>
      <color theme="1"/>
      <name val="Calibri"/>
      <family val="2"/>
      <charset val="1"/>
    </font>
    <font>
      <b/>
      <sz val="20"/>
      <color rgb="FFFFFFFF"/>
      <name val="Arial"/>
      <charset val="1"/>
    </font>
    <font>
      <i/>
      <sz val="10"/>
      <color rgb="FFFFFFFF"/>
      <name val="Arial"/>
      <charset val="1"/>
    </font>
    <font>
      <i/>
      <sz val="9"/>
      <color rgb="FF000000"/>
      <name val="Arial"/>
      <charset val="1"/>
    </font>
    <font>
      <b/>
      <sz val="11"/>
      <color rgb="FFFFFFFF"/>
      <name val="Arial"/>
      <charset val="1"/>
    </font>
    <font>
      <b/>
      <sz val="9"/>
      <color rgb="FF000000"/>
      <name val="Arial"/>
      <charset val="1"/>
    </font>
    <font>
      <sz val="10"/>
      <color rgb="FF0000FF"/>
      <name val="Arial"/>
      <charset val="1"/>
    </font>
    <font>
      <b/>
      <sz val="9"/>
      <color rgb="FFFFFFFF"/>
      <name val="Arial"/>
      <charset val="1"/>
    </font>
    <font>
      <b/>
      <sz val="12"/>
      <color rgb="FF3F3F3F"/>
      <name val="Arial"/>
      <charset val="1"/>
    </font>
    <font>
      <sz val="10"/>
      <color rgb="FF000000"/>
      <name val="Arial"/>
      <charset val="1"/>
    </font>
    <font>
      <b/>
      <sz val="10"/>
      <color rgb="FF0000FF"/>
      <name val="Arial"/>
      <charset val="1"/>
    </font>
    <font>
      <b/>
      <sz val="11"/>
      <color rgb="FF000000"/>
      <name val="Arial"/>
      <charset val="1"/>
    </font>
    <font>
      <b/>
      <sz val="10"/>
      <color rgb="FF000000"/>
      <name val="Arial"/>
      <charset val="1"/>
    </font>
    <font>
      <b/>
      <sz val="11"/>
      <color rgb="FF3F3F3F"/>
      <name val="Arial"/>
      <charset val="1"/>
    </font>
    <font>
      <b/>
      <sz val="14"/>
      <color rgb="FFFFFFFF"/>
      <name val="Arial"/>
      <charset val="1"/>
    </font>
    <font>
      <b/>
      <sz val="12"/>
      <color rgb="FFFFFFFF"/>
      <name val="Arial"/>
      <charset val="1"/>
    </font>
    <font>
      <b/>
      <sz val="13"/>
      <color rgb="FFFFFFFF"/>
      <name val="Arial"/>
      <charset val="1"/>
    </font>
    <font>
      <i/>
      <sz val="9"/>
      <color rgb="FF595959"/>
      <name val="Arial"/>
      <charset val="1"/>
    </font>
    <font>
      <b/>
      <sz val="16"/>
      <color rgb="FFFFFFFF"/>
      <name val="Arial"/>
      <charset val="1"/>
    </font>
    <font>
      <b/>
      <sz val="10"/>
      <color rgb="FFFFFFFF"/>
      <name val="Arial"/>
      <charset val="1"/>
    </font>
    <font>
      <b/>
      <sz val="10"/>
      <color rgb="FF3F3F3F"/>
      <name val="Arial"/>
      <charset val="1"/>
    </font>
    <font>
      <i/>
      <sz val="10"/>
      <color rgb="FF404040"/>
      <name val="Arial"/>
      <charset val="1"/>
    </font>
  </fonts>
  <fills count="10">
    <fill>
      <patternFill patternType="none"/>
    </fill>
    <fill>
      <patternFill patternType="gray125"/>
    </fill>
    <fill>
      <patternFill patternType="solid">
        <fgColor rgb="FF7F7F7F"/>
        <bgColor rgb="FF969696"/>
      </patternFill>
    </fill>
    <fill>
      <patternFill patternType="solid">
        <fgColor rgb="FFFFF2CC"/>
        <bgColor rgb="FFF2F2F2"/>
      </patternFill>
    </fill>
    <fill>
      <patternFill patternType="solid">
        <fgColor rgb="FFC6E0B4"/>
        <bgColor rgb="FFE7E6E6"/>
      </patternFill>
    </fill>
    <fill>
      <patternFill patternType="solid">
        <fgColor rgb="FFE7E6E6"/>
        <bgColor rgb="FFF2F2F2"/>
      </patternFill>
    </fill>
    <fill>
      <patternFill patternType="solid">
        <fgColor rgb="FF548235"/>
        <bgColor rgb="FF339966"/>
      </patternFill>
    </fill>
    <fill>
      <patternFill patternType="solid">
        <fgColor rgb="FFF2F2F2"/>
        <bgColor rgb="FFE7E6E6"/>
      </patternFill>
    </fill>
    <fill>
      <patternFill patternType="solid">
        <fgColor rgb="FFFFFFFF"/>
        <bgColor rgb="FFF2F2F2"/>
      </patternFill>
    </fill>
    <fill>
      <patternFill patternType="solid">
        <fgColor rgb="FF006699"/>
        <bgColor rgb="FF404040"/>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1">
    <xf numFmtId="0" fontId="0" fillId="0" borderId="0"/>
  </cellStyleXfs>
  <cellXfs count="52">
    <xf numFmtId="0" fontId="0" fillId="0" borderId="0" xfId="0"/>
    <xf numFmtId="0" fontId="21" fillId="7" borderId="0" xfId="0" applyFont="1" applyFill="1" applyAlignment="1">
      <alignment horizontal="left" vertical="top" wrapText="1" indent="1"/>
    </xf>
    <xf numFmtId="0" fontId="17" fillId="7" borderId="0" xfId="0" applyFont="1" applyFill="1" applyAlignment="1">
      <alignment horizontal="left" vertical="top" wrapText="1" indent="1"/>
    </xf>
    <xf numFmtId="0" fontId="17" fillId="7" borderId="0" xfId="0" applyFont="1" applyFill="1" applyAlignment="1">
      <alignment horizontal="left" vertical="top" wrapText="1"/>
    </xf>
    <xf numFmtId="0" fontId="9" fillId="8" borderId="2" xfId="0" applyFont="1" applyFill="1" applyBorder="1" applyAlignment="1">
      <alignment horizontal="left" vertical="center" indent="1"/>
    </xf>
    <xf numFmtId="0" fontId="9" fillId="7" borderId="2" xfId="0" applyFont="1" applyFill="1" applyBorder="1" applyAlignment="1">
      <alignment horizontal="left" vertical="center" indent="1"/>
    </xf>
    <xf numFmtId="0" fontId="2" fillId="2" borderId="0" xfId="0" applyFont="1" applyFill="1" applyAlignment="1">
      <alignment horizontal="center" vertical="center"/>
    </xf>
    <xf numFmtId="0" fontId="0" fillId="3" borderId="1" xfId="0" applyFill="1" applyBorder="1"/>
    <xf numFmtId="0" fontId="3" fillId="0" borderId="0" xfId="0" applyFont="1"/>
    <xf numFmtId="0" fontId="0" fillId="4" borderId="1" xfId="0" applyFill="1" applyBorder="1"/>
    <xf numFmtId="0" fontId="5" fillId="0" borderId="0" xfId="0" applyFont="1" applyAlignment="1">
      <alignment horizontal="right" vertical="center"/>
    </xf>
    <xf numFmtId="0" fontId="6" fillId="3" borderId="1" xfId="0" applyFont="1" applyFill="1" applyBorder="1" applyAlignment="1">
      <alignment horizontal="left" vertical="center" indent="1"/>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0" fillId="0" borderId="1" xfId="0" applyBorder="1"/>
    <xf numFmtId="0" fontId="9" fillId="0" borderId="1" xfId="0" applyFont="1" applyBorder="1" applyAlignment="1">
      <alignment horizontal="left" vertical="center" indent="1"/>
    </xf>
    <xf numFmtId="164" fontId="10" fillId="3" borderId="1" xfId="0" applyNumberFormat="1" applyFont="1" applyFill="1" applyBorder="1" applyAlignment="1">
      <alignment horizontal="right" vertical="center" indent="1"/>
    </xf>
    <xf numFmtId="164" fontId="11" fillId="5" borderId="1" xfId="0" applyNumberFormat="1" applyFont="1" applyFill="1" applyBorder="1" applyAlignment="1">
      <alignment horizontal="right" vertical="center" indent="1"/>
    </xf>
    <xf numFmtId="165" fontId="10" fillId="3" borderId="1" xfId="0" applyNumberFormat="1" applyFont="1" applyFill="1" applyBorder="1" applyAlignment="1">
      <alignment horizontal="center" vertical="center"/>
    </xf>
    <xf numFmtId="164" fontId="9" fillId="0" borderId="1" xfId="0" applyNumberFormat="1" applyFont="1" applyBorder="1" applyAlignment="1">
      <alignment horizontal="right" vertical="center" indent="1"/>
    </xf>
    <xf numFmtId="0" fontId="12" fillId="5" borderId="1" xfId="0" applyFont="1" applyFill="1" applyBorder="1" applyAlignment="1">
      <alignment horizontal="left" vertical="center" indent="1"/>
    </xf>
    <xf numFmtId="164" fontId="13" fillId="4" borderId="1" xfId="0" applyNumberFormat="1" applyFont="1" applyFill="1" applyBorder="1" applyAlignment="1">
      <alignment horizontal="right" vertical="center" indent="1"/>
    </xf>
    <xf numFmtId="0" fontId="14" fillId="6" borderId="1" xfId="0" applyFont="1" applyFill="1" applyBorder="1" applyAlignment="1">
      <alignment horizontal="center" vertical="center"/>
    </xf>
    <xf numFmtId="0" fontId="0" fillId="6" borderId="1" xfId="0" applyFill="1" applyBorder="1"/>
    <xf numFmtId="0" fontId="15" fillId="6" borderId="1" xfId="0" applyFont="1" applyFill="1" applyBorder="1" applyAlignment="1">
      <alignment horizontal="left" vertical="center" indent="1"/>
    </xf>
    <xf numFmtId="164" fontId="16" fillId="6" borderId="1" xfId="0" applyNumberFormat="1" applyFont="1" applyFill="1" applyBorder="1" applyAlignment="1">
      <alignment horizontal="right" vertical="center" indent="1"/>
    </xf>
    <xf numFmtId="165" fontId="13" fillId="7" borderId="1" xfId="0" applyNumberFormat="1" applyFont="1" applyFill="1" applyBorder="1" applyAlignment="1">
      <alignment horizontal="right" vertical="center" indent="1"/>
    </xf>
    <xf numFmtId="0" fontId="9" fillId="7" borderId="1" xfId="0" applyFont="1" applyFill="1" applyBorder="1" applyAlignment="1">
      <alignment horizontal="left" vertical="center" indent="1"/>
    </xf>
    <xf numFmtId="164" fontId="13" fillId="7" borderId="1" xfId="0" applyNumberFormat="1" applyFont="1" applyFill="1" applyBorder="1" applyAlignment="1">
      <alignment horizontal="right" vertical="center" indent="1"/>
    </xf>
    <xf numFmtId="2" fontId="13" fillId="8" borderId="1" xfId="0" applyNumberFormat="1" applyFont="1" applyFill="1" applyBorder="1" applyAlignment="1">
      <alignment horizontal="right" vertical="center" indent="1"/>
    </xf>
    <xf numFmtId="0" fontId="9" fillId="8" borderId="1" xfId="0" applyFont="1" applyFill="1" applyBorder="1" applyAlignment="1">
      <alignment horizontal="left" vertical="center" indent="1"/>
    </xf>
    <xf numFmtId="165" fontId="13" fillId="8" borderId="1" xfId="0" applyNumberFormat="1" applyFont="1" applyFill="1" applyBorder="1" applyAlignment="1">
      <alignment horizontal="right" vertical="center" indent="1"/>
    </xf>
    <xf numFmtId="164" fontId="13" fillId="8" borderId="1" xfId="0" applyNumberFormat="1" applyFont="1" applyFill="1" applyBorder="1" applyAlignment="1">
      <alignment horizontal="right" vertical="center" indent="1"/>
    </xf>
    <xf numFmtId="0" fontId="7"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164" fontId="6" fillId="3" borderId="1" xfId="0" applyNumberFormat="1" applyFont="1" applyFill="1" applyBorder="1" applyAlignment="1">
      <alignment horizontal="right" vertical="center" indent="1"/>
    </xf>
    <xf numFmtId="165" fontId="6" fillId="3" borderId="1" xfId="0" applyNumberFormat="1" applyFont="1" applyFill="1" applyBorder="1" applyAlignment="1">
      <alignment horizontal="center" vertical="center"/>
    </xf>
    <xf numFmtId="164" fontId="12" fillId="5" borderId="1" xfId="0" applyNumberFormat="1" applyFont="1" applyFill="1" applyBorder="1" applyAlignment="1">
      <alignment horizontal="right" vertical="center" indent="1"/>
    </xf>
    <xf numFmtId="164" fontId="12" fillId="4" borderId="1" xfId="0" applyNumberFormat="1" applyFont="1" applyFill="1" applyBorder="1" applyAlignment="1">
      <alignment horizontal="right" vertical="center" indent="1"/>
    </xf>
    <xf numFmtId="165" fontId="12" fillId="5" borderId="1" xfId="0" applyNumberFormat="1" applyFont="1" applyFill="1" applyBorder="1" applyAlignment="1">
      <alignment horizontal="center" vertical="center"/>
    </xf>
    <xf numFmtId="2" fontId="12" fillId="5" borderId="1" xfId="0" applyNumberFormat="1" applyFont="1" applyFill="1" applyBorder="1" applyAlignment="1">
      <alignment horizontal="center" vertical="center"/>
    </xf>
    <xf numFmtId="0" fontId="0" fillId="5" borderId="1" xfId="0" applyFill="1" applyBorder="1"/>
    <xf numFmtId="164" fontId="20" fillId="5" borderId="1" xfId="0" applyNumberFormat="1" applyFont="1" applyFill="1" applyBorder="1" applyAlignment="1">
      <alignment horizontal="right" vertical="center" indent="1"/>
    </xf>
    <xf numFmtId="165" fontId="20" fillId="5" borderId="1" xfId="0" applyNumberFormat="1" applyFont="1" applyFill="1" applyBorder="1" applyAlignment="1">
      <alignment horizontal="center" vertical="center" indent="1"/>
    </xf>
    <xf numFmtId="2" fontId="20" fillId="5" borderId="1" xfId="0" applyNumberFormat="1" applyFont="1" applyFill="1" applyBorder="1" applyAlignment="1">
      <alignment horizontal="center" vertical="center" indent="1"/>
    </xf>
    <xf numFmtId="0" fontId="8" fillId="0" borderId="1" xfId="0" applyFont="1" applyBorder="1" applyAlignment="1">
      <alignment horizontal="center" vertical="center"/>
    </xf>
    <xf numFmtId="0" fontId="15" fillId="6" borderId="1" xfId="0" applyFont="1" applyFill="1" applyBorder="1" applyAlignment="1">
      <alignment horizontal="center" vertical="center"/>
    </xf>
    <xf numFmtId="2" fontId="13" fillId="7" borderId="1" xfId="0" applyNumberFormat="1" applyFont="1" applyFill="1" applyBorder="1" applyAlignment="1">
      <alignment horizontal="right" vertical="center" indent="1"/>
    </xf>
    <xf numFmtId="0" fontId="1" fillId="9" borderId="0" xfId="0" applyFont="1" applyFill="1" applyAlignment="1">
      <alignment horizontal="center" vertical="center"/>
    </xf>
    <xf numFmtId="0" fontId="4" fillId="9" borderId="0" xfId="0" applyFont="1" applyFill="1" applyAlignment="1">
      <alignment horizontal="left" vertical="center"/>
    </xf>
    <xf numFmtId="0" fontId="18" fillId="9" borderId="0" xfId="0" applyFont="1" applyFill="1" applyAlignment="1">
      <alignment horizontal="center" vertical="center"/>
    </xf>
    <xf numFmtId="0" fontId="19" fillId="9" borderId="2"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7F7F7F"/>
      <rgbColor rgb="FF9999FF"/>
      <rgbColor rgb="FF993366"/>
      <rgbColor rgb="FFFFF2C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7E6E6"/>
      <rgbColor rgb="FFC6E0B4"/>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404040"/>
      <rgbColor rgb="FF993300"/>
      <rgbColor rgb="FF993366"/>
      <rgbColor rgb="FF333399"/>
      <rgbColor rgb="FF3F3F3F"/>
      <rgbColor rgb="00003366"/>
      <rgbColor rgb="00339966"/>
      <rgbColor rgb="00003300"/>
      <rgbColor rgb="00333300"/>
      <rgbColor rgb="00993300"/>
      <rgbColor rgb="00993366"/>
      <rgbColor rgb="00333399"/>
      <rgbColor rgb="00333333"/>
    </indexed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48"/>
  <sheetViews>
    <sheetView showGridLines="0" tabSelected="1" zoomScaleNormal="100" workbookViewId="0">
      <selection activeCell="H7" sqref="H7"/>
    </sheetView>
  </sheetViews>
  <sheetFormatPr baseColWidth="10" defaultColWidth="8.7109375" defaultRowHeight="15" x14ac:dyDescent="0.25"/>
  <cols>
    <col min="1" max="1" width="2" customWidth="1"/>
    <col min="2" max="2" width="4" customWidth="1"/>
    <col min="3" max="3" width="16.7109375" bestFit="1" customWidth="1"/>
    <col min="4" max="4" width="42" customWidth="1"/>
    <col min="5" max="5" width="17" customWidth="1"/>
    <col min="6" max="6" width="22.42578125" bestFit="1" customWidth="1"/>
    <col min="7" max="7" width="2" customWidth="1"/>
  </cols>
  <sheetData>
    <row r="2" spans="2:6" ht="31.5" customHeight="1" x14ac:dyDescent="0.25">
      <c r="B2" s="48" t="s">
        <v>0</v>
      </c>
      <c r="C2" s="48"/>
      <c r="D2" s="48"/>
      <c r="E2" s="48"/>
      <c r="F2" s="48"/>
    </row>
    <row r="3" spans="2:6" ht="21.75" customHeight="1" x14ac:dyDescent="0.25">
      <c r="B3" s="6" t="s">
        <v>1</v>
      </c>
      <c r="C3" s="6"/>
      <c r="D3" s="6"/>
      <c r="E3" s="6"/>
      <c r="F3" s="6"/>
    </row>
    <row r="5" spans="2:6" ht="18" customHeight="1" x14ac:dyDescent="0.25">
      <c r="C5" s="7"/>
      <c r="D5" s="8" t="s">
        <v>2</v>
      </c>
      <c r="E5" s="9"/>
      <c r="F5" s="8" t="s">
        <v>3</v>
      </c>
    </row>
    <row r="7" spans="2:6" ht="21.75" customHeight="1" x14ac:dyDescent="0.25">
      <c r="B7" s="49" t="s">
        <v>4</v>
      </c>
      <c r="C7" s="49"/>
      <c r="D7" s="49"/>
      <c r="E7" s="49"/>
      <c r="F7" s="49"/>
    </row>
    <row r="8" spans="2:6" x14ac:dyDescent="0.25">
      <c r="C8" s="10" t="s">
        <v>5</v>
      </c>
      <c r="D8" s="11" t="s">
        <v>6</v>
      </c>
      <c r="E8" s="10" t="s">
        <v>7</v>
      </c>
      <c r="F8" s="11" t="s">
        <v>8</v>
      </c>
    </row>
    <row r="9" spans="2:6" x14ac:dyDescent="0.25">
      <c r="C9" s="10" t="s">
        <v>9</v>
      </c>
      <c r="D9" s="11" t="s">
        <v>10</v>
      </c>
      <c r="E9" s="10" t="s">
        <v>11</v>
      </c>
      <c r="F9" s="11" t="s">
        <v>12</v>
      </c>
    </row>
    <row r="10" spans="2:6" x14ac:dyDescent="0.25">
      <c r="C10" s="10" t="s">
        <v>13</v>
      </c>
      <c r="D10" s="11" t="s">
        <v>14</v>
      </c>
      <c r="E10" s="10" t="s">
        <v>15</v>
      </c>
      <c r="F10" s="11" t="s">
        <v>16</v>
      </c>
    </row>
    <row r="12" spans="2:6" ht="21.75" customHeight="1" x14ac:dyDescent="0.25">
      <c r="B12" s="49" t="s">
        <v>17</v>
      </c>
      <c r="C12" s="49"/>
      <c r="D12" s="49"/>
      <c r="E12" s="49"/>
      <c r="F12" s="49"/>
    </row>
    <row r="13" spans="2:6" ht="19.5" customHeight="1" x14ac:dyDescent="0.25">
      <c r="B13" s="12"/>
      <c r="C13" s="12" t="s">
        <v>18</v>
      </c>
      <c r="D13" s="12" t="s">
        <v>19</v>
      </c>
      <c r="E13" s="12" t="s">
        <v>20</v>
      </c>
      <c r="F13" s="12" t="s">
        <v>21</v>
      </c>
    </row>
    <row r="14" spans="2:6" ht="18" customHeight="1" x14ac:dyDescent="0.25">
      <c r="B14" s="13"/>
      <c r="C14" s="14"/>
      <c r="D14" s="15" t="s">
        <v>22</v>
      </c>
      <c r="E14" s="16">
        <v>420</v>
      </c>
      <c r="F14" s="17">
        <f>E14</f>
        <v>420</v>
      </c>
    </row>
    <row r="15" spans="2:6" ht="18" customHeight="1" x14ac:dyDescent="0.25">
      <c r="B15" s="13" t="s">
        <v>23</v>
      </c>
      <c r="C15" s="18">
        <v>0.12</v>
      </c>
      <c r="D15" s="15" t="s">
        <v>24</v>
      </c>
      <c r="E15" s="19">
        <f>F14*C15</f>
        <v>50.4</v>
      </c>
      <c r="F15" s="14"/>
    </row>
    <row r="16" spans="2:6" ht="18" customHeight="1" x14ac:dyDescent="0.25">
      <c r="B16" s="13" t="s">
        <v>25</v>
      </c>
      <c r="C16" s="14"/>
      <c r="D16" s="20" t="s">
        <v>26</v>
      </c>
      <c r="E16" s="14"/>
      <c r="F16" s="21">
        <f>F14-E15</f>
        <v>369.6</v>
      </c>
    </row>
    <row r="17" spans="2:6" ht="18" customHeight="1" x14ac:dyDescent="0.25">
      <c r="B17" s="13" t="s">
        <v>23</v>
      </c>
      <c r="C17" s="18">
        <v>0.02</v>
      </c>
      <c r="D17" s="15" t="s">
        <v>27</v>
      </c>
      <c r="E17" s="19">
        <f>F16*C17</f>
        <v>7.3920000000000003</v>
      </c>
      <c r="F17" s="14"/>
    </row>
    <row r="18" spans="2:6" ht="18" customHeight="1" x14ac:dyDescent="0.25">
      <c r="B18" s="13" t="s">
        <v>25</v>
      </c>
      <c r="C18" s="14"/>
      <c r="D18" s="20" t="s">
        <v>28</v>
      </c>
      <c r="E18" s="14"/>
      <c r="F18" s="21">
        <f>F16-E17</f>
        <v>362.20800000000003</v>
      </c>
    </row>
    <row r="19" spans="2:6" ht="18" customHeight="1" x14ac:dyDescent="0.25">
      <c r="B19" s="13" t="s">
        <v>29</v>
      </c>
      <c r="C19" s="14"/>
      <c r="D19" s="15" t="s">
        <v>30</v>
      </c>
      <c r="E19" s="16">
        <v>24.5</v>
      </c>
      <c r="F19" s="14"/>
    </row>
    <row r="20" spans="2:6" ht="18" customHeight="1" x14ac:dyDescent="0.25">
      <c r="B20" s="13" t="s">
        <v>25</v>
      </c>
      <c r="C20" s="14"/>
      <c r="D20" s="20" t="s">
        <v>31</v>
      </c>
      <c r="E20" s="14"/>
      <c r="F20" s="21">
        <f>F18+E19</f>
        <v>386.70800000000003</v>
      </c>
    </row>
    <row r="22" spans="2:6" ht="21.75" customHeight="1" x14ac:dyDescent="0.25">
      <c r="B22" s="49" t="s">
        <v>32</v>
      </c>
      <c r="C22" s="49"/>
      <c r="D22" s="49"/>
      <c r="E22" s="49"/>
      <c r="F22" s="49"/>
    </row>
    <row r="23" spans="2:6" ht="19.5" customHeight="1" x14ac:dyDescent="0.25">
      <c r="B23" s="12"/>
      <c r="C23" s="12" t="s">
        <v>18</v>
      </c>
      <c r="D23" s="12" t="s">
        <v>19</v>
      </c>
      <c r="E23" s="12" t="s">
        <v>20</v>
      </c>
      <c r="F23" s="12" t="s">
        <v>21</v>
      </c>
    </row>
    <row r="24" spans="2:6" ht="18" customHeight="1" x14ac:dyDescent="0.25">
      <c r="B24" s="13"/>
      <c r="C24" s="14"/>
      <c r="D24" s="15" t="s">
        <v>33</v>
      </c>
      <c r="E24" s="14"/>
      <c r="F24" s="17">
        <f>F20</f>
        <v>386.70800000000003</v>
      </c>
    </row>
    <row r="25" spans="2:6" ht="18" customHeight="1" x14ac:dyDescent="0.25">
      <c r="B25" s="13" t="s">
        <v>29</v>
      </c>
      <c r="C25" s="18">
        <v>0.28000000000000003</v>
      </c>
      <c r="D25" s="15" t="s">
        <v>34</v>
      </c>
      <c r="E25" s="19">
        <f>F24*C25</f>
        <v>108.27824000000001</v>
      </c>
      <c r="F25" s="14"/>
    </row>
    <row r="26" spans="2:6" ht="18" customHeight="1" x14ac:dyDescent="0.25">
      <c r="B26" s="13" t="s">
        <v>29</v>
      </c>
      <c r="C26" s="18">
        <v>0.04</v>
      </c>
      <c r="D26" s="15" t="s">
        <v>35</v>
      </c>
      <c r="E26" s="19">
        <f>F24*C26</f>
        <v>15.468320000000002</v>
      </c>
      <c r="F26" s="14"/>
    </row>
    <row r="27" spans="2:6" ht="18" customHeight="1" x14ac:dyDescent="0.25">
      <c r="B27" s="13" t="s">
        <v>25</v>
      </c>
      <c r="C27" s="14"/>
      <c r="D27" s="20" t="s">
        <v>36</v>
      </c>
      <c r="E27" s="14"/>
      <c r="F27" s="21">
        <f>F24+E25+E26</f>
        <v>510.45456000000007</v>
      </c>
    </row>
    <row r="29" spans="2:6" ht="21.75" customHeight="1" x14ac:dyDescent="0.25">
      <c r="B29" s="49" t="s">
        <v>37</v>
      </c>
      <c r="C29" s="49"/>
      <c r="D29" s="49"/>
      <c r="E29" s="49"/>
      <c r="F29" s="49"/>
    </row>
    <row r="30" spans="2:6" ht="19.5" customHeight="1" x14ac:dyDescent="0.25">
      <c r="B30" s="12"/>
      <c r="C30" s="12" t="s">
        <v>18</v>
      </c>
      <c r="D30" s="12" t="s">
        <v>19</v>
      </c>
      <c r="E30" s="12" t="s">
        <v>20</v>
      </c>
      <c r="F30" s="12" t="s">
        <v>21</v>
      </c>
    </row>
    <row r="31" spans="2:6" ht="18" customHeight="1" x14ac:dyDescent="0.25">
      <c r="B31" s="13"/>
      <c r="C31" s="14"/>
      <c r="D31" s="15" t="s">
        <v>38</v>
      </c>
      <c r="E31" s="14"/>
      <c r="F31" s="17">
        <f>F27</f>
        <v>510.45456000000007</v>
      </c>
    </row>
    <row r="32" spans="2:6" ht="18" customHeight="1" x14ac:dyDescent="0.25">
      <c r="B32" s="13" t="s">
        <v>29</v>
      </c>
      <c r="C32" s="18">
        <v>0.18</v>
      </c>
      <c r="D32" s="15" t="s">
        <v>39</v>
      </c>
      <c r="E32" s="19">
        <f>F31*C32</f>
        <v>91.881820800000014</v>
      </c>
      <c r="F32" s="14"/>
    </row>
    <row r="33" spans="2:6" ht="18" customHeight="1" x14ac:dyDescent="0.25">
      <c r="B33" s="13" t="s">
        <v>25</v>
      </c>
      <c r="C33" s="14"/>
      <c r="D33" s="20" t="s">
        <v>40</v>
      </c>
      <c r="E33" s="14"/>
      <c r="F33" s="21">
        <f>F31+E32</f>
        <v>602.33638080000014</v>
      </c>
    </row>
    <row r="34" spans="2:6" ht="18" customHeight="1" x14ac:dyDescent="0.25">
      <c r="B34" s="13" t="s">
        <v>29</v>
      </c>
      <c r="C34" s="18">
        <v>0.03</v>
      </c>
      <c r="D34" s="15" t="s">
        <v>41</v>
      </c>
      <c r="E34" s="19">
        <f>F35*C34</f>
        <v>18.628960230927841</v>
      </c>
      <c r="F34" s="14"/>
    </row>
    <row r="35" spans="2:6" ht="18" customHeight="1" x14ac:dyDescent="0.25">
      <c r="B35" s="13" t="s">
        <v>25</v>
      </c>
      <c r="C35" s="14"/>
      <c r="D35" s="20" t="s">
        <v>42</v>
      </c>
      <c r="E35" s="14"/>
      <c r="F35" s="21">
        <f>F33/(1-C34)</f>
        <v>620.96534103092802</v>
      </c>
    </row>
    <row r="36" spans="2:6" ht="18" customHeight="1" x14ac:dyDescent="0.25">
      <c r="B36" s="13" t="s">
        <v>29</v>
      </c>
      <c r="C36" s="18">
        <v>0.1</v>
      </c>
      <c r="D36" s="15" t="s">
        <v>43</v>
      </c>
      <c r="E36" s="19">
        <f>F37*C36</f>
        <v>68.996149003436457</v>
      </c>
      <c r="F36" s="14"/>
    </row>
    <row r="37" spans="2:6" ht="18" customHeight="1" x14ac:dyDescent="0.25">
      <c r="B37" s="13" t="s">
        <v>25</v>
      </c>
      <c r="C37" s="14"/>
      <c r="D37" s="20" t="s">
        <v>44</v>
      </c>
      <c r="E37" s="14"/>
      <c r="F37" s="21">
        <f>F35/(1-C36)</f>
        <v>689.96149003436449</v>
      </c>
    </row>
    <row r="38" spans="2:6" ht="18" customHeight="1" x14ac:dyDescent="0.25">
      <c r="B38" s="13" t="s">
        <v>29</v>
      </c>
      <c r="C38" s="18">
        <v>0.19</v>
      </c>
      <c r="D38" s="15" t="s">
        <v>45</v>
      </c>
      <c r="E38" s="19">
        <f>F37*C38</f>
        <v>131.09268310652925</v>
      </c>
      <c r="F38" s="14"/>
    </row>
    <row r="39" spans="2:6" ht="25.5" customHeight="1" x14ac:dyDescent="0.25">
      <c r="B39" s="22" t="s">
        <v>25</v>
      </c>
      <c r="C39" s="23"/>
      <c r="D39" s="24" t="s">
        <v>46</v>
      </c>
      <c r="E39" s="23"/>
      <c r="F39" s="25">
        <f>F37+E38</f>
        <v>821.05417314089368</v>
      </c>
    </row>
    <row r="41" spans="2:6" ht="21.75" customHeight="1" x14ac:dyDescent="0.25">
      <c r="B41" s="49" t="s">
        <v>47</v>
      </c>
      <c r="C41" s="49"/>
      <c r="D41" s="49"/>
      <c r="E41" s="49"/>
      <c r="F41" s="49"/>
    </row>
    <row r="42" spans="2:6" ht="18.75" customHeight="1" x14ac:dyDescent="0.25">
      <c r="B42" s="5" t="s">
        <v>48</v>
      </c>
      <c r="C42" s="5"/>
      <c r="D42" s="26">
        <f>(F37-F20)/F20</f>
        <v>0.78419243986254339</v>
      </c>
      <c r="E42" s="27" t="s">
        <v>49</v>
      </c>
      <c r="F42" s="28">
        <f>F37-F20</f>
        <v>303.25349003436446</v>
      </c>
    </row>
    <row r="43" spans="2:6" ht="18.75" customHeight="1" x14ac:dyDescent="0.25">
      <c r="B43" s="4" t="s">
        <v>50</v>
      </c>
      <c r="C43" s="4"/>
      <c r="D43" s="29">
        <f>F37/F20</f>
        <v>1.7841924398625435</v>
      </c>
      <c r="E43" s="30" t="s">
        <v>51</v>
      </c>
      <c r="F43" s="31">
        <f>(F37-F20)/F37</f>
        <v>0.43952234206471508</v>
      </c>
    </row>
    <row r="44" spans="2:6" ht="18.75" customHeight="1" x14ac:dyDescent="0.25">
      <c r="B44" s="5" t="s">
        <v>52</v>
      </c>
      <c r="C44" s="5"/>
      <c r="D44" s="26">
        <f>E32/F27</f>
        <v>0.18</v>
      </c>
      <c r="E44" s="27" t="s">
        <v>53</v>
      </c>
      <c r="F44" s="28">
        <f>F37-F27</f>
        <v>179.50693003436442</v>
      </c>
    </row>
    <row r="45" spans="2:6" ht="18.75" customHeight="1" x14ac:dyDescent="0.25">
      <c r="B45" s="4" t="s">
        <v>54</v>
      </c>
      <c r="C45" s="4"/>
      <c r="D45" s="32">
        <f>F27</f>
        <v>510.45456000000007</v>
      </c>
      <c r="E45" s="30" t="s">
        <v>55</v>
      </c>
      <c r="F45" s="32">
        <f>E38</f>
        <v>131.09268310652925</v>
      </c>
    </row>
    <row r="47" spans="2:6" ht="13.5" customHeight="1" x14ac:dyDescent="0.25"/>
    <row r="48" spans="2:6" ht="31.5" customHeight="1" x14ac:dyDescent="0.25">
      <c r="B48" s="3" t="s">
        <v>56</v>
      </c>
      <c r="C48" s="3"/>
      <c r="D48" s="3"/>
      <c r="E48" s="3"/>
      <c r="F48" s="3"/>
    </row>
  </sheetData>
  <mergeCells count="12">
    <mergeCell ref="B45:C45"/>
    <mergeCell ref="B48:F48"/>
    <mergeCell ref="B29:F29"/>
    <mergeCell ref="B41:F41"/>
    <mergeCell ref="B42:C42"/>
    <mergeCell ref="B43:C43"/>
    <mergeCell ref="B44:C44"/>
    <mergeCell ref="B2:F2"/>
    <mergeCell ref="B3:F3"/>
    <mergeCell ref="B7:F7"/>
    <mergeCell ref="B12:F12"/>
    <mergeCell ref="B22:F22"/>
  </mergeCells>
  <pageMargins left="0.75" right="0.75" top="1" bottom="1"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20"/>
  <sheetViews>
    <sheetView showGridLines="0" zoomScaleNormal="100" workbookViewId="0">
      <pane xSplit="3" ySplit="6" topLeftCell="D7" activePane="bottomRight" state="frozen"/>
      <selection pane="topRight" activeCell="D1" sqref="D1"/>
      <selection pane="bottomLeft" activeCell="A7" sqref="A7"/>
      <selection pane="bottomRight" activeCell="Q5" activeCellId="2" sqref="B2:S2 B18:C18 B5:S5"/>
    </sheetView>
  </sheetViews>
  <sheetFormatPr baseColWidth="10" defaultColWidth="8.7109375" defaultRowHeight="15" x14ac:dyDescent="0.25"/>
  <cols>
    <col min="1" max="1" width="2" customWidth="1"/>
    <col min="2" max="2" width="12" customWidth="1"/>
    <col min="3" max="3" width="26" customWidth="1"/>
    <col min="4" max="4" width="13" customWidth="1"/>
    <col min="5" max="6" width="11" customWidth="1"/>
    <col min="7" max="7" width="12" customWidth="1"/>
    <col min="8" max="8" width="13" customWidth="1"/>
    <col min="9" max="9" width="12" customWidth="1"/>
    <col min="10" max="10" width="13" customWidth="1"/>
    <col min="11" max="11" width="12" customWidth="1"/>
    <col min="12" max="13" width="11" customWidth="1"/>
    <col min="14" max="14" width="9" customWidth="1"/>
    <col min="15" max="16" width="14" customWidth="1"/>
    <col min="17" max="17" width="12" customWidth="1"/>
    <col min="18" max="19" width="11" customWidth="1"/>
  </cols>
  <sheetData>
    <row r="2" spans="2:19" ht="27.75" customHeight="1" x14ac:dyDescent="0.25">
      <c r="B2" s="50" t="s">
        <v>57</v>
      </c>
      <c r="C2" s="50"/>
      <c r="D2" s="50"/>
      <c r="E2" s="50"/>
      <c r="F2" s="50"/>
      <c r="G2" s="50"/>
      <c r="H2" s="50"/>
      <c r="I2" s="50"/>
      <c r="J2" s="50"/>
      <c r="K2" s="50"/>
      <c r="L2" s="50"/>
      <c r="M2" s="50"/>
      <c r="N2" s="50"/>
      <c r="O2" s="50"/>
      <c r="P2" s="50"/>
      <c r="Q2" s="50"/>
      <c r="R2" s="50"/>
      <c r="S2" s="50"/>
    </row>
    <row r="3" spans="2:19" ht="19.5" customHeight="1" x14ac:dyDescent="0.25">
      <c r="B3" s="6" t="s">
        <v>58</v>
      </c>
      <c r="C3" s="6"/>
      <c r="D3" s="6"/>
      <c r="E3" s="6"/>
      <c r="F3" s="6"/>
      <c r="G3" s="6"/>
      <c r="H3" s="6"/>
      <c r="I3" s="6"/>
      <c r="J3" s="6"/>
      <c r="K3" s="6"/>
      <c r="L3" s="6"/>
      <c r="M3" s="6"/>
      <c r="N3" s="6"/>
      <c r="O3" s="6"/>
      <c r="P3" s="6"/>
      <c r="Q3" s="6"/>
      <c r="R3" s="6"/>
      <c r="S3" s="6"/>
    </row>
    <row r="5" spans="2:19" ht="19.5" customHeight="1" x14ac:dyDescent="0.25">
      <c r="B5" s="51" t="s">
        <v>59</v>
      </c>
      <c r="C5" s="51"/>
      <c r="D5" s="51" t="s">
        <v>60</v>
      </c>
      <c r="E5" s="51"/>
      <c r="F5" s="51"/>
      <c r="G5" s="51"/>
      <c r="H5" s="51"/>
      <c r="I5" s="51" t="s">
        <v>61</v>
      </c>
      <c r="J5" s="51"/>
      <c r="K5" s="51" t="s">
        <v>62</v>
      </c>
      <c r="L5" s="51"/>
      <c r="M5" s="51"/>
      <c r="N5" s="51"/>
      <c r="O5" s="51" t="s">
        <v>63</v>
      </c>
      <c r="P5" s="51"/>
      <c r="Q5" s="51" t="s">
        <v>64</v>
      </c>
      <c r="R5" s="51"/>
      <c r="S5" s="51"/>
    </row>
    <row r="6" spans="2:19" ht="36" customHeight="1" x14ac:dyDescent="0.25">
      <c r="B6" s="33" t="s">
        <v>65</v>
      </c>
      <c r="C6" s="33" t="s">
        <v>66</v>
      </c>
      <c r="D6" s="33" t="s">
        <v>67</v>
      </c>
      <c r="E6" s="33" t="s">
        <v>68</v>
      </c>
      <c r="F6" s="33" t="s">
        <v>69</v>
      </c>
      <c r="G6" s="33" t="s">
        <v>70</v>
      </c>
      <c r="H6" s="33" t="s">
        <v>71</v>
      </c>
      <c r="I6" s="33" t="s">
        <v>72</v>
      </c>
      <c r="J6" s="33" t="s">
        <v>73</v>
      </c>
      <c r="K6" s="33" t="s">
        <v>74</v>
      </c>
      <c r="L6" s="33" t="s">
        <v>75</v>
      </c>
      <c r="M6" s="33" t="s">
        <v>76</v>
      </c>
      <c r="N6" s="33" t="s">
        <v>77</v>
      </c>
      <c r="O6" s="33" t="s">
        <v>78</v>
      </c>
      <c r="P6" s="33" t="s">
        <v>79</v>
      </c>
      <c r="Q6" s="33" t="s">
        <v>80</v>
      </c>
      <c r="R6" s="33" t="s">
        <v>81</v>
      </c>
      <c r="S6" s="33" t="s">
        <v>82</v>
      </c>
    </row>
    <row r="7" spans="2:19" ht="21.75" customHeight="1" x14ac:dyDescent="0.25">
      <c r="B7" s="34" t="s">
        <v>10</v>
      </c>
      <c r="C7" s="11" t="s">
        <v>83</v>
      </c>
      <c r="D7" s="35">
        <v>48</v>
      </c>
      <c r="E7" s="36">
        <v>0.05</v>
      </c>
      <c r="F7" s="36">
        <v>0.02</v>
      </c>
      <c r="G7" s="35">
        <v>3.2</v>
      </c>
      <c r="H7" s="37">
        <f t="shared" ref="H7:H16" si="0">D7*(1-E7)*(1-F7)+G7</f>
        <v>47.887999999999998</v>
      </c>
      <c r="I7" s="36">
        <v>0.3</v>
      </c>
      <c r="J7" s="37">
        <f t="shared" ref="J7:J16" si="1">H7*(1+I7)</f>
        <v>62.254399999999997</v>
      </c>
      <c r="K7" s="36">
        <v>0.15</v>
      </c>
      <c r="L7" s="36">
        <v>0.02</v>
      </c>
      <c r="M7" s="36">
        <v>0.05</v>
      </c>
      <c r="N7" s="36">
        <v>0.19</v>
      </c>
      <c r="O7" s="38">
        <f t="shared" ref="O7:O16" si="2">J7*(1+K7)/(1-L7)/(1-M7)</f>
        <v>76.898560687432862</v>
      </c>
      <c r="P7" s="21">
        <f t="shared" ref="P7:P16" si="3">O7*(1+N7)</f>
        <v>91.509287218045102</v>
      </c>
      <c r="Q7" s="37">
        <f t="shared" ref="Q7:Q16" si="4">O7-H7</f>
        <v>29.010560687432864</v>
      </c>
      <c r="R7" s="39">
        <f t="shared" ref="R7:R16" si="5">(O7-H7)/O7</f>
        <v>0.37725752508361204</v>
      </c>
      <c r="S7" s="40">
        <f t="shared" ref="S7:S16" si="6">O7/H7</f>
        <v>1.6058002148227712</v>
      </c>
    </row>
    <row r="8" spans="2:19" ht="21.75" customHeight="1" x14ac:dyDescent="0.25">
      <c r="B8" s="34" t="s">
        <v>84</v>
      </c>
      <c r="C8" s="11" t="s">
        <v>85</v>
      </c>
      <c r="D8" s="35">
        <v>120</v>
      </c>
      <c r="E8" s="36">
        <v>0.08</v>
      </c>
      <c r="F8" s="36">
        <v>0.02</v>
      </c>
      <c r="G8" s="35">
        <v>6.5</v>
      </c>
      <c r="H8" s="37">
        <f t="shared" si="0"/>
        <v>114.69200000000001</v>
      </c>
      <c r="I8" s="36">
        <v>0.28000000000000003</v>
      </c>
      <c r="J8" s="37">
        <f t="shared" si="1"/>
        <v>146.80576000000002</v>
      </c>
      <c r="K8" s="36">
        <v>0.18</v>
      </c>
      <c r="L8" s="36">
        <v>0.03</v>
      </c>
      <c r="M8" s="36">
        <v>0.08</v>
      </c>
      <c r="N8" s="36">
        <v>0.19</v>
      </c>
      <c r="O8" s="38">
        <f t="shared" si="2"/>
        <v>194.11788077095474</v>
      </c>
      <c r="P8" s="21">
        <f t="shared" si="3"/>
        <v>231.00027811743612</v>
      </c>
      <c r="Q8" s="37">
        <f t="shared" si="4"/>
        <v>79.425880770954734</v>
      </c>
      <c r="R8" s="39">
        <f t="shared" si="5"/>
        <v>0.40916313559322032</v>
      </c>
      <c r="S8" s="40">
        <f t="shared" si="6"/>
        <v>1.6925145674585387</v>
      </c>
    </row>
    <row r="9" spans="2:19" ht="21.75" customHeight="1" x14ac:dyDescent="0.25">
      <c r="B9" s="34" t="s">
        <v>86</v>
      </c>
      <c r="C9" s="11" t="s">
        <v>87</v>
      </c>
      <c r="D9" s="35">
        <v>210</v>
      </c>
      <c r="E9" s="36">
        <v>0.1</v>
      </c>
      <c r="F9" s="36">
        <v>0.02</v>
      </c>
      <c r="G9" s="35">
        <v>12.4</v>
      </c>
      <c r="H9" s="37">
        <f t="shared" si="0"/>
        <v>197.62</v>
      </c>
      <c r="I9" s="36">
        <v>0.28000000000000003</v>
      </c>
      <c r="J9" s="37">
        <f t="shared" si="1"/>
        <v>252.95360000000002</v>
      </c>
      <c r="K9" s="36">
        <v>0.2</v>
      </c>
      <c r="L9" s="36">
        <v>0.03</v>
      </c>
      <c r="M9" s="36">
        <v>0.1</v>
      </c>
      <c r="N9" s="36">
        <v>0.19</v>
      </c>
      <c r="O9" s="38">
        <f t="shared" si="2"/>
        <v>347.70254295532652</v>
      </c>
      <c r="P9" s="21">
        <f t="shared" si="3"/>
        <v>413.76602611683853</v>
      </c>
      <c r="Q9" s="37">
        <f t="shared" si="4"/>
        <v>150.08254295532652</v>
      </c>
      <c r="R9" s="39">
        <f t="shared" si="5"/>
        <v>0.43164062500000011</v>
      </c>
      <c r="S9" s="40">
        <f t="shared" si="6"/>
        <v>1.759450171821306</v>
      </c>
    </row>
    <row r="10" spans="2:19" ht="21.75" customHeight="1" x14ac:dyDescent="0.25">
      <c r="B10" s="34" t="s">
        <v>88</v>
      </c>
      <c r="C10" s="11" t="s">
        <v>89</v>
      </c>
      <c r="D10" s="35">
        <v>385</v>
      </c>
      <c r="E10" s="36">
        <v>0.12</v>
      </c>
      <c r="F10" s="36">
        <v>0.03</v>
      </c>
      <c r="G10" s="35">
        <v>18.899999999999999</v>
      </c>
      <c r="H10" s="37">
        <f t="shared" si="0"/>
        <v>347.536</v>
      </c>
      <c r="I10" s="36">
        <v>0.32</v>
      </c>
      <c r="J10" s="37">
        <f t="shared" si="1"/>
        <v>458.74752000000001</v>
      </c>
      <c r="K10" s="36">
        <v>0.25</v>
      </c>
      <c r="L10" s="36">
        <v>0.03</v>
      </c>
      <c r="M10" s="36">
        <v>0.12</v>
      </c>
      <c r="N10" s="36">
        <v>0.19</v>
      </c>
      <c r="O10" s="38">
        <f t="shared" si="2"/>
        <v>671.7835051546391</v>
      </c>
      <c r="P10" s="21">
        <f t="shared" si="3"/>
        <v>799.42237113402052</v>
      </c>
      <c r="Q10" s="37">
        <f t="shared" si="4"/>
        <v>324.2475051546391</v>
      </c>
      <c r="R10" s="39">
        <f t="shared" si="5"/>
        <v>0.48266666666666663</v>
      </c>
      <c r="S10" s="40">
        <f t="shared" si="6"/>
        <v>1.9329896907216493</v>
      </c>
    </row>
    <row r="11" spans="2:19" ht="21.75" customHeight="1" x14ac:dyDescent="0.25">
      <c r="B11" s="34" t="s">
        <v>90</v>
      </c>
      <c r="C11" s="11" t="s">
        <v>91</v>
      </c>
      <c r="D11" s="35">
        <v>640</v>
      </c>
      <c r="E11" s="36">
        <v>0.15</v>
      </c>
      <c r="F11" s="36">
        <v>0.03</v>
      </c>
      <c r="G11" s="35">
        <v>28.5</v>
      </c>
      <c r="H11" s="37">
        <f t="shared" si="0"/>
        <v>556.17999999999995</v>
      </c>
      <c r="I11" s="36">
        <v>0.32</v>
      </c>
      <c r="J11" s="37">
        <f t="shared" si="1"/>
        <v>734.1576</v>
      </c>
      <c r="K11" s="36">
        <v>0.28000000000000003</v>
      </c>
      <c r="L11" s="36">
        <v>0.02</v>
      </c>
      <c r="M11" s="36">
        <v>0.15</v>
      </c>
      <c r="N11" s="36">
        <v>0.19</v>
      </c>
      <c r="O11" s="38">
        <f t="shared" si="2"/>
        <v>1128.1173205282112</v>
      </c>
      <c r="P11" s="21">
        <f t="shared" si="3"/>
        <v>1342.4596114285712</v>
      </c>
      <c r="Q11" s="37">
        <f t="shared" si="4"/>
        <v>571.93732052821122</v>
      </c>
      <c r="R11" s="39">
        <f t="shared" si="5"/>
        <v>0.50698390151515149</v>
      </c>
      <c r="S11" s="40">
        <f t="shared" si="6"/>
        <v>2.0283313325330132</v>
      </c>
    </row>
    <row r="12" spans="2:19" ht="21.75" customHeight="1" x14ac:dyDescent="0.25">
      <c r="B12" s="34" t="s">
        <v>92</v>
      </c>
      <c r="C12" s="11" t="s">
        <v>93</v>
      </c>
      <c r="D12" s="35">
        <v>78</v>
      </c>
      <c r="E12" s="36">
        <v>7.0000000000000007E-2</v>
      </c>
      <c r="F12" s="36">
        <v>0.02</v>
      </c>
      <c r="G12" s="35">
        <v>4.8</v>
      </c>
      <c r="H12" s="37">
        <f t="shared" si="0"/>
        <v>75.889199999999988</v>
      </c>
      <c r="I12" s="36">
        <v>0.3</v>
      </c>
      <c r="J12" s="37">
        <f t="shared" si="1"/>
        <v>98.655959999999993</v>
      </c>
      <c r="K12" s="36">
        <v>0.22</v>
      </c>
      <c r="L12" s="36">
        <v>0.03</v>
      </c>
      <c r="M12" s="36">
        <v>0.1</v>
      </c>
      <c r="N12" s="36">
        <v>0.19</v>
      </c>
      <c r="O12" s="38">
        <f t="shared" si="2"/>
        <v>137.86972646048108</v>
      </c>
      <c r="P12" s="21">
        <f t="shared" si="3"/>
        <v>164.06497448797248</v>
      </c>
      <c r="Q12" s="37">
        <f t="shared" si="4"/>
        <v>61.980526460481087</v>
      </c>
      <c r="R12" s="39">
        <f t="shared" si="5"/>
        <v>0.44955863808322821</v>
      </c>
      <c r="S12" s="40">
        <f t="shared" si="6"/>
        <v>1.8167239404352806</v>
      </c>
    </row>
    <row r="13" spans="2:19" ht="21.75" customHeight="1" x14ac:dyDescent="0.25">
      <c r="B13" s="34" t="s">
        <v>94</v>
      </c>
      <c r="C13" s="11" t="s">
        <v>95</v>
      </c>
      <c r="D13" s="35">
        <v>95</v>
      </c>
      <c r="E13" s="36">
        <v>0.1</v>
      </c>
      <c r="F13" s="36">
        <v>0.02</v>
      </c>
      <c r="G13" s="35">
        <v>5.6</v>
      </c>
      <c r="H13" s="37">
        <f t="shared" si="0"/>
        <v>89.389999999999986</v>
      </c>
      <c r="I13" s="36">
        <v>0.28000000000000003</v>
      </c>
      <c r="J13" s="37">
        <f t="shared" si="1"/>
        <v>114.41919999999999</v>
      </c>
      <c r="K13" s="36">
        <v>0.3</v>
      </c>
      <c r="L13" s="36">
        <v>0.02</v>
      </c>
      <c r="M13" s="36">
        <v>0.15</v>
      </c>
      <c r="N13" s="36">
        <v>0.19</v>
      </c>
      <c r="O13" s="38">
        <f t="shared" si="2"/>
        <v>178.56537815126049</v>
      </c>
      <c r="P13" s="21">
        <f t="shared" si="3"/>
        <v>212.49279999999996</v>
      </c>
      <c r="Q13" s="37">
        <f t="shared" si="4"/>
        <v>89.175378151260503</v>
      </c>
      <c r="R13" s="39">
        <f t="shared" si="5"/>
        <v>0.49939903846153849</v>
      </c>
      <c r="S13" s="40">
        <f t="shared" si="6"/>
        <v>1.9975990396158465</v>
      </c>
    </row>
    <row r="14" spans="2:19" ht="21.75" customHeight="1" x14ac:dyDescent="0.25">
      <c r="B14" s="34" t="s">
        <v>96</v>
      </c>
      <c r="C14" s="11" t="s">
        <v>97</v>
      </c>
      <c r="D14" s="35">
        <v>55</v>
      </c>
      <c r="E14" s="36">
        <v>0.2</v>
      </c>
      <c r="F14" s="36">
        <v>0.03</v>
      </c>
      <c r="G14" s="35">
        <v>3.9</v>
      </c>
      <c r="H14" s="37">
        <f t="shared" si="0"/>
        <v>46.58</v>
      </c>
      <c r="I14" s="36">
        <v>0.25</v>
      </c>
      <c r="J14" s="37">
        <f t="shared" si="1"/>
        <v>58.224999999999994</v>
      </c>
      <c r="K14" s="36">
        <v>0.12</v>
      </c>
      <c r="L14" s="36">
        <v>0.03</v>
      </c>
      <c r="M14" s="36">
        <v>0.2</v>
      </c>
      <c r="N14" s="36">
        <v>7.0000000000000007E-2</v>
      </c>
      <c r="O14" s="38">
        <f t="shared" si="2"/>
        <v>84.036082474226816</v>
      </c>
      <c r="P14" s="21">
        <f t="shared" si="3"/>
        <v>89.918608247422696</v>
      </c>
      <c r="Q14" s="37">
        <f t="shared" si="4"/>
        <v>37.456082474226818</v>
      </c>
      <c r="R14" s="39">
        <f t="shared" si="5"/>
        <v>0.44571428571428584</v>
      </c>
      <c r="S14" s="40">
        <f t="shared" si="6"/>
        <v>1.8041237113402064</v>
      </c>
    </row>
    <row r="15" spans="2:19" ht="21.75" customHeight="1" x14ac:dyDescent="0.25">
      <c r="B15" s="34" t="s">
        <v>98</v>
      </c>
      <c r="C15" s="11" t="s">
        <v>99</v>
      </c>
      <c r="D15" s="35">
        <v>950</v>
      </c>
      <c r="E15" s="36">
        <v>0.18</v>
      </c>
      <c r="F15" s="36">
        <v>0.03</v>
      </c>
      <c r="G15" s="35">
        <v>42</v>
      </c>
      <c r="H15" s="37">
        <f t="shared" si="0"/>
        <v>797.63000000000011</v>
      </c>
      <c r="I15" s="36">
        <v>0.3</v>
      </c>
      <c r="J15" s="37">
        <f t="shared" si="1"/>
        <v>1036.9190000000001</v>
      </c>
      <c r="K15" s="36">
        <v>0.18</v>
      </c>
      <c r="L15" s="36">
        <v>0.03</v>
      </c>
      <c r="M15" s="36">
        <v>0.05</v>
      </c>
      <c r="N15" s="36">
        <v>0.19</v>
      </c>
      <c r="O15" s="38">
        <f t="shared" si="2"/>
        <v>1327.7964405860014</v>
      </c>
      <c r="P15" s="21">
        <f t="shared" si="3"/>
        <v>1580.0777642973417</v>
      </c>
      <c r="Q15" s="37">
        <f t="shared" si="4"/>
        <v>530.16644058600127</v>
      </c>
      <c r="R15" s="39">
        <f t="shared" si="5"/>
        <v>0.3992829204693612</v>
      </c>
      <c r="S15" s="40">
        <f t="shared" si="6"/>
        <v>1.6646771568095498</v>
      </c>
    </row>
    <row r="16" spans="2:19" ht="21.75" customHeight="1" x14ac:dyDescent="0.25">
      <c r="B16" s="34" t="s">
        <v>100</v>
      </c>
      <c r="C16" s="11" t="s">
        <v>101</v>
      </c>
      <c r="D16" s="35">
        <v>165</v>
      </c>
      <c r="E16" s="36">
        <v>0.05</v>
      </c>
      <c r="F16" s="36">
        <v>0.02</v>
      </c>
      <c r="G16" s="35">
        <v>9.4</v>
      </c>
      <c r="H16" s="37">
        <f t="shared" si="0"/>
        <v>163.01500000000001</v>
      </c>
      <c r="I16" s="36">
        <v>0.35</v>
      </c>
      <c r="J16" s="37">
        <f t="shared" si="1"/>
        <v>220.07025000000004</v>
      </c>
      <c r="K16" s="36">
        <v>0.3</v>
      </c>
      <c r="L16" s="36">
        <v>0.02</v>
      </c>
      <c r="M16" s="36">
        <v>0.1</v>
      </c>
      <c r="N16" s="36">
        <v>0.19</v>
      </c>
      <c r="O16" s="38">
        <f t="shared" si="2"/>
        <v>324.36658163265309</v>
      </c>
      <c r="P16" s="21">
        <f t="shared" si="3"/>
        <v>385.99623214285714</v>
      </c>
      <c r="Q16" s="37">
        <f t="shared" si="4"/>
        <v>161.35158163265308</v>
      </c>
      <c r="R16" s="39">
        <f t="shared" si="5"/>
        <v>0.49743589743589745</v>
      </c>
      <c r="S16" s="40">
        <f t="shared" si="6"/>
        <v>1.989795918367347</v>
      </c>
    </row>
    <row r="18" spans="2:19" ht="24" customHeight="1" x14ac:dyDescent="0.25">
      <c r="B18" s="51" t="s">
        <v>102</v>
      </c>
      <c r="C18" s="51"/>
      <c r="D18" s="41"/>
      <c r="E18" s="41"/>
      <c r="F18" s="41"/>
      <c r="G18" s="41"/>
      <c r="H18" s="42">
        <f>AVERAGE(H7:H16)</f>
        <v>243.64202</v>
      </c>
      <c r="I18" s="41"/>
      <c r="J18" s="42">
        <f>AVERAGE(J7:J16)</f>
        <v>318.32082900000006</v>
      </c>
      <c r="K18" s="41"/>
      <c r="L18" s="41"/>
      <c r="M18" s="41"/>
      <c r="N18" s="41"/>
      <c r="O18" s="42">
        <f>AVERAGE(O7:O16)</f>
        <v>447.12540194011871</v>
      </c>
      <c r="P18" s="42">
        <f>AVERAGE(P7:P16)</f>
        <v>531.0707953190506</v>
      </c>
      <c r="Q18" s="42">
        <f>AVERAGE(Q7:Q16)</f>
        <v>203.4833819401187</v>
      </c>
      <c r="R18" s="43">
        <f>AVERAGE(R7:R16)</f>
        <v>0.44991026340229617</v>
      </c>
      <c r="S18" s="44">
        <f>AVERAGE(S7:S16)</f>
        <v>1.8292005743925508</v>
      </c>
    </row>
    <row r="20" spans="2:19" ht="49.5" customHeight="1" x14ac:dyDescent="0.25">
      <c r="B20" s="2" t="s">
        <v>103</v>
      </c>
      <c r="C20" s="2"/>
      <c r="D20" s="2"/>
      <c r="E20" s="2"/>
      <c r="F20" s="2"/>
      <c r="G20" s="2"/>
      <c r="H20" s="2"/>
      <c r="I20" s="2"/>
      <c r="J20" s="2"/>
    </row>
  </sheetData>
  <mergeCells count="10">
    <mergeCell ref="B18:C18"/>
    <mergeCell ref="B20:J20"/>
    <mergeCell ref="B2:S2"/>
    <mergeCell ref="B3:S3"/>
    <mergeCell ref="B5:C5"/>
    <mergeCell ref="D5:H5"/>
    <mergeCell ref="I5:J5"/>
    <mergeCell ref="K5:N5"/>
    <mergeCell ref="O5:P5"/>
    <mergeCell ref="Q5:S5"/>
  </mergeCells>
  <pageMargins left="0.75" right="0.75" top="1" bottom="1"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37"/>
  <sheetViews>
    <sheetView showGridLines="0" topLeftCell="A14" zoomScaleNormal="100" workbookViewId="0">
      <selection activeCell="B32" activeCellId="3" sqref="B2:F2 B7:F7 B11:F11 B32:F32"/>
    </sheetView>
  </sheetViews>
  <sheetFormatPr baseColWidth="10" defaultColWidth="8.7109375" defaultRowHeight="15" x14ac:dyDescent="0.25"/>
  <cols>
    <col min="1" max="1" width="2" customWidth="1"/>
    <col min="2" max="2" width="4" customWidth="1"/>
    <col min="3" max="3" width="11" customWidth="1"/>
    <col min="4" max="4" width="42" customWidth="1"/>
    <col min="5" max="6" width="17" customWidth="1"/>
    <col min="7" max="7" width="2" customWidth="1"/>
  </cols>
  <sheetData>
    <row r="2" spans="2:6" ht="31.5" customHeight="1" x14ac:dyDescent="0.25">
      <c r="B2" s="48" t="s">
        <v>104</v>
      </c>
      <c r="C2" s="48"/>
      <c r="D2" s="48"/>
      <c r="E2" s="48"/>
      <c r="F2" s="48"/>
    </row>
    <row r="3" spans="2:6" ht="21.75" customHeight="1" x14ac:dyDescent="0.25">
      <c r="B3" s="6" t="s">
        <v>105</v>
      </c>
      <c r="C3" s="6"/>
      <c r="D3" s="6"/>
      <c r="E3" s="6"/>
      <c r="F3" s="6"/>
    </row>
    <row r="5" spans="2:6" ht="42" customHeight="1" x14ac:dyDescent="0.25">
      <c r="B5" s="1" t="s">
        <v>106</v>
      </c>
      <c r="C5" s="1"/>
      <c r="D5" s="1"/>
      <c r="E5" s="1"/>
      <c r="F5" s="1"/>
    </row>
    <row r="7" spans="2:6" ht="21.75" customHeight="1" x14ac:dyDescent="0.25">
      <c r="B7" s="49" t="s">
        <v>4</v>
      </c>
      <c r="C7" s="49"/>
      <c r="D7" s="49"/>
      <c r="E7" s="49"/>
      <c r="F7" s="49"/>
    </row>
    <row r="8" spans="2:6" x14ac:dyDescent="0.25">
      <c r="C8" s="10" t="s">
        <v>5</v>
      </c>
      <c r="D8" s="11" t="s">
        <v>107</v>
      </c>
      <c r="E8" s="10" t="s">
        <v>7</v>
      </c>
      <c r="F8" s="11" t="s">
        <v>8</v>
      </c>
    </row>
    <row r="9" spans="2:6" x14ac:dyDescent="0.25">
      <c r="C9" s="10" t="s">
        <v>9</v>
      </c>
      <c r="D9" s="11" t="s">
        <v>108</v>
      </c>
      <c r="E9" s="10" t="s">
        <v>109</v>
      </c>
      <c r="F9" s="11" t="s">
        <v>110</v>
      </c>
    </row>
    <row r="11" spans="2:6" ht="21.75" customHeight="1" x14ac:dyDescent="0.25">
      <c r="B11" s="49" t="s">
        <v>111</v>
      </c>
      <c r="C11" s="49"/>
      <c r="D11" s="49"/>
      <c r="E11" s="49"/>
      <c r="F11" s="49"/>
    </row>
    <row r="12" spans="2:6" ht="19.5" customHeight="1" x14ac:dyDescent="0.25">
      <c r="B12" s="12"/>
      <c r="C12" s="12" t="s">
        <v>18</v>
      </c>
      <c r="D12" s="12" t="s">
        <v>19</v>
      </c>
      <c r="E12" s="12" t="s">
        <v>20</v>
      </c>
      <c r="F12" s="12" t="s">
        <v>21</v>
      </c>
    </row>
    <row r="13" spans="2:6" ht="18" customHeight="1" x14ac:dyDescent="0.25">
      <c r="B13" s="45"/>
      <c r="C13" s="14"/>
      <c r="D13" s="20" t="s">
        <v>112</v>
      </c>
      <c r="E13" s="16">
        <v>899</v>
      </c>
      <c r="F13" s="21">
        <f>E13</f>
        <v>899</v>
      </c>
    </row>
    <row r="14" spans="2:6" ht="18" customHeight="1" x14ac:dyDescent="0.25">
      <c r="B14" s="45" t="s">
        <v>23</v>
      </c>
      <c r="C14" s="18">
        <v>0.19</v>
      </c>
      <c r="D14" s="15" t="s">
        <v>113</v>
      </c>
      <c r="E14" s="19">
        <f>F13*C14/(1+C14)</f>
        <v>143.53781512605042</v>
      </c>
      <c r="F14" s="14"/>
    </row>
    <row r="15" spans="2:6" ht="18" customHeight="1" x14ac:dyDescent="0.25">
      <c r="B15" s="45" t="s">
        <v>25</v>
      </c>
      <c r="C15" s="14"/>
      <c r="D15" s="20" t="s">
        <v>44</v>
      </c>
      <c r="E15" s="14"/>
      <c r="F15" s="21">
        <f>F13/(1+C14)</f>
        <v>755.46218487394958</v>
      </c>
    </row>
    <row r="16" spans="2:6" ht="18" customHeight="1" x14ac:dyDescent="0.25">
      <c r="B16" s="45" t="s">
        <v>23</v>
      </c>
      <c r="C16" s="18">
        <v>0.1</v>
      </c>
      <c r="D16" s="15" t="s">
        <v>114</v>
      </c>
      <c r="E16" s="19">
        <f>F15*C16</f>
        <v>75.546218487394967</v>
      </c>
      <c r="F16" s="14"/>
    </row>
    <row r="17" spans="2:6" ht="18" customHeight="1" x14ac:dyDescent="0.25">
      <c r="B17" s="45" t="s">
        <v>25</v>
      </c>
      <c r="C17" s="14"/>
      <c r="D17" s="20" t="s">
        <v>42</v>
      </c>
      <c r="E17" s="14"/>
      <c r="F17" s="21">
        <f>F15*(1-C16)</f>
        <v>679.9159663865546</v>
      </c>
    </row>
    <row r="18" spans="2:6" ht="18" customHeight="1" x14ac:dyDescent="0.25">
      <c r="B18" s="45" t="s">
        <v>23</v>
      </c>
      <c r="C18" s="18">
        <v>0.03</v>
      </c>
      <c r="D18" s="15" t="s">
        <v>115</v>
      </c>
      <c r="E18" s="19">
        <f>F17*C18</f>
        <v>20.397478991596639</v>
      </c>
      <c r="F18" s="14"/>
    </row>
    <row r="19" spans="2:6" ht="18" customHeight="1" x14ac:dyDescent="0.25">
      <c r="B19" s="45" t="s">
        <v>25</v>
      </c>
      <c r="C19" s="14"/>
      <c r="D19" s="20" t="s">
        <v>40</v>
      </c>
      <c r="E19" s="14"/>
      <c r="F19" s="21">
        <f>F17*(1-C18)</f>
        <v>659.5184873949579</v>
      </c>
    </row>
    <row r="20" spans="2:6" ht="18" customHeight="1" x14ac:dyDescent="0.25">
      <c r="B20" s="45" t="s">
        <v>23</v>
      </c>
      <c r="C20" s="18">
        <v>0.18</v>
      </c>
      <c r="D20" s="15" t="s">
        <v>116</v>
      </c>
      <c r="E20" s="19">
        <f>F19*C20/(1+C20)</f>
        <v>100.60451502634952</v>
      </c>
      <c r="F20" s="14"/>
    </row>
    <row r="21" spans="2:6" ht="18" customHeight="1" x14ac:dyDescent="0.25">
      <c r="B21" s="45" t="s">
        <v>25</v>
      </c>
      <c r="C21" s="14"/>
      <c r="D21" s="20" t="s">
        <v>36</v>
      </c>
      <c r="E21" s="14"/>
      <c r="F21" s="21">
        <f>F19/(1+C20)</f>
        <v>558.91397236860837</v>
      </c>
    </row>
    <row r="22" spans="2:6" ht="18" customHeight="1" x14ac:dyDescent="0.25">
      <c r="B22" s="45" t="s">
        <v>23</v>
      </c>
      <c r="C22" s="18">
        <v>0.28000000000000003</v>
      </c>
      <c r="D22" s="15" t="s">
        <v>117</v>
      </c>
      <c r="E22" s="19">
        <f>F21*C22/(1+C22+C23)</f>
        <v>118.55750929031088</v>
      </c>
      <c r="F22" s="14"/>
    </row>
    <row r="23" spans="2:6" ht="18" customHeight="1" x14ac:dyDescent="0.25">
      <c r="B23" s="45" t="s">
        <v>23</v>
      </c>
      <c r="C23" s="18">
        <v>0.04</v>
      </c>
      <c r="D23" s="15" t="s">
        <v>35</v>
      </c>
      <c r="E23" s="19">
        <f>F21*C23/(1+C22+C23)</f>
        <v>16.936787041472982</v>
      </c>
      <c r="F23" s="14"/>
    </row>
    <row r="24" spans="2:6" ht="18" customHeight="1" x14ac:dyDescent="0.25">
      <c r="B24" s="45" t="s">
        <v>25</v>
      </c>
      <c r="C24" s="14"/>
      <c r="D24" s="20" t="s">
        <v>118</v>
      </c>
      <c r="E24" s="14"/>
      <c r="F24" s="21">
        <f>F21/(1+C22+C23)</f>
        <v>423.41967603682451</v>
      </c>
    </row>
    <row r="25" spans="2:6" ht="18" customHeight="1" x14ac:dyDescent="0.25">
      <c r="B25" s="45" t="s">
        <v>23</v>
      </c>
      <c r="C25" s="14"/>
      <c r="D25" s="15" t="s">
        <v>119</v>
      </c>
      <c r="E25" s="16">
        <v>24.5</v>
      </c>
      <c r="F25" s="14"/>
    </row>
    <row r="26" spans="2:6" ht="18" customHeight="1" x14ac:dyDescent="0.25">
      <c r="B26" s="45" t="s">
        <v>25</v>
      </c>
      <c r="C26" s="14"/>
      <c r="D26" s="20" t="s">
        <v>28</v>
      </c>
      <c r="E26" s="14"/>
      <c r="F26" s="21">
        <f>F24-E25</f>
        <v>398.91967603682451</v>
      </c>
    </row>
    <row r="27" spans="2:6" ht="18" customHeight="1" x14ac:dyDescent="0.25">
      <c r="B27" s="45" t="s">
        <v>29</v>
      </c>
      <c r="C27" s="18">
        <v>0.02</v>
      </c>
      <c r="D27" s="15" t="s">
        <v>120</v>
      </c>
      <c r="E27" s="19">
        <f>F28*C27</f>
        <v>8.1412178783025411</v>
      </c>
      <c r="F27" s="14"/>
    </row>
    <row r="28" spans="2:6" ht="18" customHeight="1" x14ac:dyDescent="0.25">
      <c r="B28" s="45" t="s">
        <v>25</v>
      </c>
      <c r="C28" s="14"/>
      <c r="D28" s="20" t="s">
        <v>26</v>
      </c>
      <c r="E28" s="14"/>
      <c r="F28" s="21">
        <f>F26/(1-C27)</f>
        <v>407.06089391512705</v>
      </c>
    </row>
    <row r="29" spans="2:6" ht="18" customHeight="1" x14ac:dyDescent="0.25">
      <c r="B29" s="45" t="s">
        <v>29</v>
      </c>
      <c r="C29" s="18">
        <v>0.12</v>
      </c>
      <c r="D29" s="15" t="s">
        <v>121</v>
      </c>
      <c r="E29" s="19">
        <f>F30*C29</f>
        <v>55.508303715699142</v>
      </c>
      <c r="F29" s="14"/>
    </row>
    <row r="30" spans="2:6" ht="25.5" customHeight="1" x14ac:dyDescent="0.25">
      <c r="B30" s="46" t="s">
        <v>25</v>
      </c>
      <c r="C30" s="23"/>
      <c r="D30" s="24" t="s">
        <v>122</v>
      </c>
      <c r="E30" s="23"/>
      <c r="F30" s="25">
        <f>F28/(1-C29)</f>
        <v>462.56919763082618</v>
      </c>
    </row>
    <row r="32" spans="2:6" ht="21.75" customHeight="1" x14ac:dyDescent="0.25">
      <c r="B32" s="49" t="s">
        <v>123</v>
      </c>
      <c r="C32" s="49"/>
      <c r="D32" s="49"/>
      <c r="E32" s="49"/>
      <c r="F32" s="49"/>
    </row>
    <row r="33" spans="2:6" ht="18.75" customHeight="1" x14ac:dyDescent="0.25">
      <c r="B33" s="4" t="s">
        <v>124</v>
      </c>
      <c r="C33" s="4"/>
      <c r="D33" s="32">
        <f>F15-F24</f>
        <v>332.04250883712507</v>
      </c>
      <c r="E33" s="30" t="s">
        <v>125</v>
      </c>
      <c r="F33" s="31">
        <f>(F15-F24)/F15</f>
        <v>0.43952234206471508</v>
      </c>
    </row>
    <row r="34" spans="2:6" ht="18.75" customHeight="1" x14ac:dyDescent="0.25">
      <c r="B34" s="5" t="s">
        <v>126</v>
      </c>
      <c r="C34" s="5"/>
      <c r="D34" s="26">
        <f>(F15-F24)/F24</f>
        <v>0.78419243986254328</v>
      </c>
      <c r="E34" s="27" t="s">
        <v>127</v>
      </c>
      <c r="F34" s="47">
        <f>F15/F24</f>
        <v>1.7841924398625433</v>
      </c>
    </row>
    <row r="35" spans="2:6" ht="18.75" customHeight="1" x14ac:dyDescent="0.25">
      <c r="B35" s="4" t="s">
        <v>128</v>
      </c>
      <c r="C35" s="4"/>
      <c r="D35" s="31">
        <f>F30/F13</f>
        <v>0.51453748346031836</v>
      </c>
      <c r="E35" s="30" t="s">
        <v>129</v>
      </c>
      <c r="F35" s="32">
        <f>F15-F21</f>
        <v>196.54821250534121</v>
      </c>
    </row>
    <row r="37" spans="2:6" ht="43.5" customHeight="1" x14ac:dyDescent="0.25">
      <c r="B37" s="2" t="s">
        <v>130</v>
      </c>
      <c r="C37" s="2"/>
      <c r="D37" s="2"/>
      <c r="E37" s="2"/>
      <c r="F37" s="2"/>
    </row>
  </sheetData>
  <mergeCells count="10">
    <mergeCell ref="B32:F32"/>
    <mergeCell ref="B33:C33"/>
    <mergeCell ref="B34:C34"/>
    <mergeCell ref="B35:C35"/>
    <mergeCell ref="B37:F37"/>
    <mergeCell ref="B2:F2"/>
    <mergeCell ref="B3:F3"/>
    <mergeCell ref="B5:F5"/>
    <mergeCell ref="B7:F7"/>
    <mergeCell ref="B11:F11"/>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Kalkulation</vt:lpstr>
      <vt:lpstr>Produktvergleich</vt:lpstr>
      <vt:lpstr>Rückwärtskalkulation</vt:lpstr>
      <vt:lpstr>Kalkulation!Druckbereich</vt:lpstr>
      <vt:lpstr>Produktvergleich!Druckbereich</vt:lpstr>
      <vt:lpstr>Rückwärtskalkulation!Druckbereich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2026-06-10T10:56:39Z</dcterms:created>
  <dcterms:modified xsi:type="dcterms:W3CDTF">2026-06-10T11:01:19Z</dcterms:modified>
  <dc:language>en-US</dc:language>
</cp:coreProperties>
</file>