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D8F04FC-F42E-49FA-BDE5-B9C6059A2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ion 2026" sheetId="1" r:id="rId1"/>
    <sheet name="Stundensatz 2026" sheetId="2" r:id="rId2"/>
    <sheet name="Nachkalkulation 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D18" i="3" s="1"/>
  <c r="E12" i="2"/>
  <c r="B10" i="2"/>
  <c r="B11" i="2" s="1"/>
  <c r="G58" i="1"/>
  <c r="G57" i="1"/>
  <c r="G56" i="1"/>
  <c r="G55" i="1"/>
  <c r="G54" i="1"/>
  <c r="G53" i="1"/>
  <c r="G52" i="1"/>
  <c r="F48" i="1"/>
  <c r="E48" i="1"/>
  <c r="H48" i="1" s="1"/>
  <c r="F47" i="1"/>
  <c r="E47" i="1"/>
  <c r="H47" i="1" s="1"/>
  <c r="F46" i="1"/>
  <c r="E46" i="1"/>
  <c r="F45" i="1"/>
  <c r="E45" i="1"/>
  <c r="H45" i="1" s="1"/>
  <c r="F44" i="1"/>
  <c r="E44" i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G6" i="1" s="1"/>
  <c r="B6" i="3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I20" i="1"/>
  <c r="H20" i="1"/>
  <c r="J20" i="1" s="1"/>
  <c r="J19" i="1"/>
  <c r="I19" i="1"/>
  <c r="H19" i="1"/>
  <c r="H18" i="1"/>
  <c r="H17" i="1"/>
  <c r="H16" i="1"/>
  <c r="B17" i="3" s="1"/>
  <c r="D17" i="3" s="1"/>
  <c r="H15" i="1"/>
  <c r="B16" i="3" s="1"/>
  <c r="D16" i="3" s="1"/>
  <c r="H14" i="1"/>
  <c r="H46" i="1" l="1"/>
  <c r="H44" i="1"/>
  <c r="G8" i="1"/>
  <c r="B8" i="3" s="1"/>
  <c r="G4" i="1"/>
  <c r="J21" i="1"/>
  <c r="B15" i="3"/>
  <c r="D15" i="3" s="1"/>
  <c r="D8" i="3"/>
  <c r="F8" i="3" s="1"/>
  <c r="D6" i="3"/>
  <c r="F6" i="3" s="1"/>
  <c r="G7" i="1"/>
  <c r="B7" i="3" s="1"/>
  <c r="F22" i="2"/>
  <c r="F21" i="2"/>
  <c r="F20" i="2"/>
  <c r="F19" i="2"/>
  <c r="G19" i="2" l="1"/>
  <c r="H19" i="2" s="1"/>
  <c r="E13" i="2"/>
  <c r="E14" i="2" s="1"/>
  <c r="G21" i="2"/>
  <c r="H21" i="2" s="1"/>
  <c r="E8" i="3"/>
  <c r="G20" i="2"/>
  <c r="H20" i="2" s="1"/>
  <c r="H22" i="2"/>
  <c r="E18" i="3" s="1"/>
  <c r="F18" i="3" s="1"/>
  <c r="G22" i="2"/>
  <c r="D7" i="3"/>
  <c r="F7" i="3" s="1"/>
  <c r="E6" i="3"/>
  <c r="I17" i="1" l="1"/>
  <c r="J17" i="1" s="1"/>
  <c r="E16" i="3"/>
  <c r="F16" i="3" s="1"/>
  <c r="I15" i="1"/>
  <c r="J15" i="1" s="1"/>
  <c r="E17" i="3"/>
  <c r="F17" i="3" s="1"/>
  <c r="I16" i="1"/>
  <c r="J16" i="1" s="1"/>
  <c r="I18" i="1"/>
  <c r="J18" i="1" s="1"/>
  <c r="E15" i="3"/>
  <c r="F15" i="3" s="1"/>
  <c r="C5" i="3" s="1"/>
  <c r="I14" i="1"/>
  <c r="J14" i="1" s="1"/>
  <c r="E7" i="3"/>
  <c r="G5" i="1" l="1"/>
  <c r="B5" i="3" l="1"/>
  <c r="G9" i="1"/>
  <c r="G10" i="1" l="1"/>
  <c r="D5" i="3"/>
  <c r="F5" i="3" s="1"/>
  <c r="G11" i="1" l="1"/>
  <c r="J4" i="1" s="1"/>
  <c r="J5" i="1" s="1"/>
  <c r="J6" i="1" s="1"/>
  <c r="E5" i="3"/>
  <c r="B9" i="3" l="1"/>
  <c r="C9" i="3" s="1"/>
  <c r="J7" i="1"/>
  <c r="J8" i="1" s="1"/>
  <c r="J11" i="1"/>
  <c r="B10" i="3" l="1"/>
  <c r="D9" i="3"/>
  <c r="C10" i="3"/>
  <c r="J9" i="1"/>
  <c r="J10" i="1" s="1"/>
  <c r="D10" i="3" l="1"/>
  <c r="F10" i="3" s="1"/>
  <c r="F9" i="3"/>
  <c r="E9" i="3"/>
  <c r="E10" i="3"/>
</calcChain>
</file>

<file path=xl/sharedStrings.xml><?xml version="1.0" encoding="utf-8"?>
<sst xmlns="http://schemas.openxmlformats.org/spreadsheetml/2006/main" count="203" uniqueCount="165">
  <si>
    <t>Projektangaben</t>
  </si>
  <si>
    <t>Parameter</t>
  </si>
  <si>
    <t>Wert</t>
  </si>
  <si>
    <t>Ergebnisübersicht</t>
  </si>
  <si>
    <t>Angebotsnummer</t>
  </si>
  <si>
    <t>ANG-2026-001</t>
  </si>
  <si>
    <t>Umsatzsteuer</t>
  </si>
  <si>
    <t>Gesamte Stunden</t>
  </si>
  <si>
    <t>Netto vor Rabatt</t>
  </si>
  <si>
    <t>Datum</t>
  </si>
  <si>
    <t>02.06.2026</t>
  </si>
  <si>
    <t>Materialaufschlag Standard</t>
  </si>
  <si>
    <t>Arbeitsleistung netto</t>
  </si>
  <si>
    <t>Rabatt</t>
  </si>
  <si>
    <t>Kunde</t>
  </si>
  <si>
    <t>Musterkunde GmbH</t>
  </si>
  <si>
    <t>Rabatt auf Angebot</t>
  </si>
  <si>
    <t>Material netto</t>
  </si>
  <si>
    <t>Netto-Angebot</t>
  </si>
  <si>
    <t>Projekt</t>
  </si>
  <si>
    <t>Allgemeiner Handwerksauftrag</t>
  </si>
  <si>
    <t>Skonto</t>
  </si>
  <si>
    <t>Fahrt &amp; Logistik netto</t>
  </si>
  <si>
    <t>Leistungsort</t>
  </si>
  <si>
    <t>Musterstraße 12, 26122 Oldenburg</t>
  </si>
  <si>
    <t>Wagnis</t>
  </si>
  <si>
    <t>Fremdleistungen netto</t>
  </si>
  <si>
    <t>Brutto-Angebot</t>
  </si>
  <si>
    <t>Bearbeiter</t>
  </si>
  <si>
    <t>Max Mustermann</t>
  </si>
  <si>
    <t>Gewinnaufschlag</t>
  </si>
  <si>
    <t>Zwischensumme</t>
  </si>
  <si>
    <t>Skonto-Betrag</t>
  </si>
  <si>
    <t>Hinweis</t>
  </si>
  <si>
    <t>Gelbe Felder sind Eingabefelder</t>
  </si>
  <si>
    <t>Kilometersatz</t>
  </si>
  <si>
    <t>Zahlbetrag bei Skonto</t>
  </si>
  <si>
    <t>Gewinn</t>
  </si>
  <si>
    <t>Ergebnismarge</t>
  </si>
  <si>
    <t>1. Arbeitsleistung</t>
  </si>
  <si>
    <t>Pos.</t>
  </si>
  <si>
    <t>Leistungsbereich</t>
  </si>
  <si>
    <t>Beschreibung</t>
  </si>
  <si>
    <t>Rolle</t>
  </si>
  <si>
    <t>Einheit</t>
  </si>
  <si>
    <t>Menge</t>
  </si>
  <si>
    <t>Std./Einheit</t>
  </si>
  <si>
    <t>Gesamtstunden</t>
  </si>
  <si>
    <t>Satz €/Std.</t>
  </si>
  <si>
    <t>Betrag netto</t>
  </si>
  <si>
    <t>Vorbereitung</t>
  </si>
  <si>
    <t>Aufmaß, Abstimmung und Projektplanung</t>
  </si>
  <si>
    <t>Meister</t>
  </si>
  <si>
    <t>pauschal</t>
  </si>
  <si>
    <t>Ausführung</t>
  </si>
  <si>
    <t>Facharbeiten nach vereinbartem Leistungsumfang</t>
  </si>
  <si>
    <t>Fachkraft</t>
  </si>
  <si>
    <t>Std.</t>
  </si>
  <si>
    <t>Unterstützende Tätigkeiten und Zuarbeit</t>
  </si>
  <si>
    <t>Helfer</t>
  </si>
  <si>
    <t>Montage</t>
  </si>
  <si>
    <t>Abschlussarbeiten, Funktionsprüfung und Reinigung</t>
  </si>
  <si>
    <t>Dokumentation</t>
  </si>
  <si>
    <t>Übergabe, Fotodokumentation und kurze Einweisung</t>
  </si>
  <si>
    <t>2. Material, Verbrauch und Kleinpositionen</t>
  </si>
  <si>
    <t>Material/Verbrauch</t>
  </si>
  <si>
    <t>Kategorie</t>
  </si>
  <si>
    <t>EK €/Einheit</t>
  </si>
  <si>
    <t>Aufschlag</t>
  </si>
  <si>
    <t>VK €/Einheit</t>
  </si>
  <si>
    <t>Standardmaterial</t>
  </si>
  <si>
    <t>Material</t>
  </si>
  <si>
    <t>Stück</t>
  </si>
  <si>
    <t>Befestigung und Kleinteile</t>
  </si>
  <si>
    <t>Set</t>
  </si>
  <si>
    <t>Verbrauchsmaterial</t>
  </si>
  <si>
    <t>Verbrauch</t>
  </si>
  <si>
    <t>Kartusche</t>
  </si>
  <si>
    <t>Schutzabdeckung</t>
  </si>
  <si>
    <t>m²</t>
  </si>
  <si>
    <t>Werkzeugverschleiß-Pauschale</t>
  </si>
  <si>
    <t>Werkzeug</t>
  </si>
  <si>
    <t>Entsorgung und Verpackung</t>
  </si>
  <si>
    <t>Sonstiges</t>
  </si>
  <si>
    <t>3. Fahrt, Logistik und Nebenkosten</t>
  </si>
  <si>
    <t>Strecke einfach km</t>
  </si>
  <si>
    <t>Fahrten</t>
  </si>
  <si>
    <t>Gesamt-km</t>
  </si>
  <si>
    <t>Satz €/km</t>
  </si>
  <si>
    <t>Zeitkosten €</t>
  </si>
  <si>
    <t>Anfahrt Team</t>
  </si>
  <si>
    <t>Materialabholung</t>
  </si>
  <si>
    <t>Zusätzliche Logistikpauschale</t>
  </si>
  <si>
    <t>4. Fremdleistungen und sonstige direkte Kosten</t>
  </si>
  <si>
    <t>Anbieterart</t>
  </si>
  <si>
    <t>EK €</t>
  </si>
  <si>
    <t>Spezialprüfung</t>
  </si>
  <si>
    <t>externe Fachstelle</t>
  </si>
  <si>
    <t>Mietgerät</t>
  </si>
  <si>
    <t>Verleih</t>
  </si>
  <si>
    <t>Zusätzliche Entsorgung</t>
  </si>
  <si>
    <t>Dienstleister</t>
  </si>
  <si>
    <t>Nutzung: Ändern Sie die gelben Eingabefelder, ergänzen Sie Positionen und passen Sie die Stundensätze im Blatt „Stundensatz 2026“ an. Die Ergebnisübersicht berechnet Netto, Umsatzsteuer, Brutto, Skonto und Marge automatisch.</t>
  </si>
  <si>
    <t>Stundensatzermittlung 2026</t>
  </si>
  <si>
    <t>Grundparameter 2026</t>
  </si>
  <si>
    <t>Gemeinkosten/Jahr</t>
  </si>
  <si>
    <t>Betrag</t>
  </si>
  <si>
    <t>Arbeitstage/Jahr</t>
  </si>
  <si>
    <t>Miete/Werkstatt</t>
  </si>
  <si>
    <t>Urlaubstage</t>
  </si>
  <si>
    <t>Fahrzeuge</t>
  </si>
  <si>
    <t>Feiertage</t>
  </si>
  <si>
    <t>Versicherungen</t>
  </si>
  <si>
    <t>Krankheit/Weiterbildung/Intern</t>
  </si>
  <si>
    <t>Energie, Telefon, Internet</t>
  </si>
  <si>
    <t>Produktiver Anteil</t>
  </si>
  <si>
    <t>Software und Buchhaltung</t>
  </si>
  <si>
    <t>Stunden pro Arbeitstag</t>
  </si>
  <si>
    <t>Verwaltung und Marketing</t>
  </si>
  <si>
    <t>Produktive Tage/Jahr</t>
  </si>
  <si>
    <t>Werkzeug, Wartung, Prüfungen</t>
  </si>
  <si>
    <t>Produktive Stunden je Person</t>
  </si>
  <si>
    <t>Sonstige Gemeinkosten</t>
  </si>
  <si>
    <t>Ziel-Wagnis</t>
  </si>
  <si>
    <t>Summe Gemeinkosten</t>
  </si>
  <si>
    <t>Ziel-Gewinn</t>
  </si>
  <si>
    <t>Produktive Gesamtstunden</t>
  </si>
  <si>
    <t>Gemeinkosten €/Std.</t>
  </si>
  <si>
    <t>Rollen, produktive Stunden und Verrechnungssatz</t>
  </si>
  <si>
    <t>Anzahl</t>
  </si>
  <si>
    <t>Bruttolohn/Jahr</t>
  </si>
  <si>
    <t>Lohnnebenkosten</t>
  </si>
  <si>
    <t>Sonstige Lohnkosten/Jahr</t>
  </si>
  <si>
    <t>Produktive Stunden/Jahr</t>
  </si>
  <si>
    <t>Direkte Kosten €/Std.</t>
  </si>
  <si>
    <t>Verrechnungssatz €/Std.</t>
  </si>
  <si>
    <t>Azubi</t>
  </si>
  <si>
    <t>Nutzung: Pflegen Sie die betrieblichen Jahreswerte, Rollen und Lohnkosten. Der kalkulierte Verrechnungssatz wird automatisch in die Angebotskalkulation übernommen.</t>
  </si>
  <si>
    <t>Nachkalkulation 2026: Soll/Ist-Vergleich</t>
  </si>
  <si>
    <t>Soll/Ist-Überblick</t>
  </si>
  <si>
    <t>Kostenbereich</t>
  </si>
  <si>
    <t>Soll netto</t>
  </si>
  <si>
    <t>Ist netto</t>
  </si>
  <si>
    <t>Differenz</t>
  </si>
  <si>
    <t>Abweichung</t>
  </si>
  <si>
    <t>Bewertung</t>
  </si>
  <si>
    <t>Arbeitsleistung</t>
  </si>
  <si>
    <t>Ist aus Zeiterfassung</t>
  </si>
  <si>
    <t>Ist-Wert eingeben</t>
  </si>
  <si>
    <t>Fahrt &amp; Logistik</t>
  </si>
  <si>
    <t>Fremdleistungen</t>
  </si>
  <si>
    <t>Wagnis, Gewinn &amp; Rabatt</t>
  </si>
  <si>
    <t>automatisch aus Zuschlägen</t>
  </si>
  <si>
    <t>Gesamt</t>
  </si>
  <si>
    <t>automatisch</t>
  </si>
  <si>
    <t>Ist-Zeiterfassung nach Rolle</t>
  </si>
  <si>
    <t>Planstunden</t>
  </si>
  <si>
    <t>Iststunden</t>
  </si>
  <si>
    <t>Abweichung Std.</t>
  </si>
  <si>
    <t>Ist-Lohnkosten</t>
  </si>
  <si>
    <t>Kommentar</t>
  </si>
  <si>
    <t>leichter Mehraufwand bei Abstimmung</t>
  </si>
  <si>
    <t>im Rahmen</t>
  </si>
  <si>
    <t>unter Plan</t>
  </si>
  <si>
    <t>Kalkulation Handwerk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</si>
</sst>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\€"/>
    <numFmt numFmtId="166" formatCode="#,##0.00\ &quot;Std.&quot;"/>
    <numFmt numFmtId="167" formatCode="#,##0.00\ &quot;km&quot;"/>
  </numFmts>
  <fonts count="10" x14ac:knownFonts="1">
    <font>
      <sz val="11"/>
      <name val="Carlito"/>
    </font>
    <font>
      <sz val="11"/>
      <name val="Carlito"/>
    </font>
    <font>
      <b/>
      <sz val="16"/>
      <color rgb="FFFFFFFF"/>
      <name val="Calibri"/>
      <family val="2"/>
      <scheme val="major"/>
    </font>
    <font>
      <sz val="11"/>
      <name val="Calibri"/>
      <family val="2"/>
      <scheme val="major"/>
    </font>
    <font>
      <b/>
      <sz val="11"/>
      <color rgb="FFFFFFFF"/>
      <name val="Calibri"/>
      <family val="2"/>
      <scheme val="major"/>
    </font>
    <font>
      <b/>
      <sz val="11"/>
      <name val="Calibri"/>
      <family val="2"/>
      <scheme val="major"/>
    </font>
    <font>
      <b/>
      <sz val="11"/>
      <color rgb="FF000000"/>
      <name val="Calibri"/>
      <family val="2"/>
      <scheme val="major"/>
    </font>
    <font>
      <i/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20"/>
      <color rgb="FFFFFFFF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8FAFC"/>
      </patternFill>
    </fill>
    <fill>
      <patternFill patternType="solid">
        <fgColor rgb="FFE2F0D9"/>
      </patternFill>
    </fill>
    <fill>
      <patternFill patternType="solid">
        <fgColor rgb="FFE7E6E6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0" applyFont="1"/>
    <xf numFmtId="0" fontId="3" fillId="0" borderId="0" xfId="1" applyFont="1" applyAlignment="1">
      <alignment wrapText="1"/>
    </xf>
    <xf numFmtId="0" fontId="4" fillId="2" borderId="0" xfId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5" fillId="3" borderId="0" xfId="1" applyFont="1" applyFill="1"/>
    <xf numFmtId="0" fontId="3" fillId="4" borderId="0" xfId="1" applyFont="1" applyFill="1"/>
    <xf numFmtId="10" fontId="3" fillId="4" borderId="0" xfId="1" applyNumberFormat="1" applyFont="1" applyFill="1"/>
    <xf numFmtId="0" fontId="5" fillId="3" borderId="0" xfId="1" applyFont="1" applyFill="1" applyAlignment="1">
      <alignment horizontal="left"/>
    </xf>
    <xf numFmtId="166" fontId="5" fillId="5" borderId="0" xfId="1" applyNumberFormat="1" applyFont="1" applyFill="1"/>
    <xf numFmtId="165" fontId="5" fillId="5" borderId="0" xfId="1" applyNumberFormat="1" applyFont="1" applyFill="1"/>
    <xf numFmtId="164" fontId="3" fillId="4" borderId="0" xfId="1" applyNumberFormat="1" applyFont="1" applyFill="1"/>
    <xf numFmtId="0" fontId="5" fillId="6" borderId="0" xfId="1" applyFont="1" applyFill="1" applyAlignment="1">
      <alignment horizontal="left"/>
    </xf>
    <xf numFmtId="165" fontId="5" fillId="6" borderId="0" xfId="1" applyNumberFormat="1" applyFont="1" applyFill="1"/>
    <xf numFmtId="165" fontId="3" fillId="4" borderId="0" xfId="1" applyNumberFormat="1" applyFont="1" applyFill="1"/>
    <xf numFmtId="10" fontId="6" fillId="5" borderId="0" xfId="1" applyNumberFormat="1" applyFont="1" applyFill="1"/>
    <xf numFmtId="0" fontId="4" fillId="2" borderId="0" xfId="1" applyFont="1" applyFill="1" applyAlignment="1">
      <alignment wrapText="1"/>
    </xf>
    <xf numFmtId="0" fontId="4" fillId="8" borderId="0" xfId="1" applyFont="1" applyFill="1" applyAlignment="1">
      <alignment horizontal="center" wrapText="1"/>
    </xf>
    <xf numFmtId="0" fontId="3" fillId="4" borderId="0" xfId="1" applyFont="1" applyFill="1" applyAlignment="1">
      <alignment wrapText="1"/>
    </xf>
    <xf numFmtId="4" fontId="3" fillId="4" borderId="0" xfId="1" applyNumberFormat="1" applyFont="1" applyFill="1" applyAlignment="1">
      <alignment wrapText="1"/>
    </xf>
    <xf numFmtId="166" fontId="3" fillId="5" borderId="0" xfId="1" applyNumberFormat="1" applyFont="1" applyFill="1" applyAlignment="1">
      <alignment wrapText="1"/>
    </xf>
    <xf numFmtId="165" fontId="3" fillId="5" borderId="0" xfId="1" applyNumberFormat="1" applyFont="1" applyFill="1" applyAlignment="1">
      <alignment wrapText="1"/>
    </xf>
    <xf numFmtId="165" fontId="3" fillId="4" borderId="0" xfId="1" applyNumberFormat="1" applyFont="1" applyFill="1" applyAlignment="1">
      <alignment wrapText="1"/>
    </xf>
    <xf numFmtId="10" fontId="3" fillId="4" borderId="0" xfId="1" applyNumberFormat="1" applyFont="1" applyFill="1" applyAlignment="1">
      <alignment wrapText="1"/>
    </xf>
    <xf numFmtId="167" fontId="3" fillId="4" borderId="0" xfId="1" applyNumberFormat="1" applyFont="1" applyFill="1" applyAlignment="1">
      <alignment wrapText="1"/>
    </xf>
    <xf numFmtId="167" fontId="3" fillId="5" borderId="0" xfId="1" applyNumberFormat="1" applyFont="1" applyFill="1" applyAlignment="1">
      <alignment wrapText="1"/>
    </xf>
    <xf numFmtId="0" fontId="7" fillId="7" borderId="0" xfId="1" applyFont="1" applyFill="1" applyAlignment="1">
      <alignment vertical="top" wrapText="1"/>
    </xf>
    <xf numFmtId="0" fontId="5" fillId="3" borderId="0" xfId="1" applyFont="1" applyFill="1" applyAlignment="1">
      <alignment wrapText="1"/>
    </xf>
    <xf numFmtId="4" fontId="5" fillId="5" borderId="0" xfId="1" applyNumberFormat="1" applyFont="1" applyFill="1" applyAlignment="1">
      <alignment wrapText="1"/>
    </xf>
    <xf numFmtId="165" fontId="5" fillId="5" borderId="0" xfId="1" applyNumberFormat="1" applyFont="1" applyFill="1" applyAlignment="1">
      <alignment wrapText="1"/>
    </xf>
    <xf numFmtId="166" fontId="5" fillId="5" borderId="0" xfId="1" applyNumberFormat="1" applyFont="1" applyFill="1" applyAlignment="1">
      <alignment wrapText="1"/>
    </xf>
    <xf numFmtId="1" fontId="3" fillId="4" borderId="0" xfId="1" applyNumberFormat="1" applyFont="1" applyFill="1" applyAlignment="1">
      <alignment wrapText="1"/>
    </xf>
    <xf numFmtId="165" fontId="8" fillId="5" borderId="0" xfId="1" applyNumberFormat="1" applyFont="1" applyFill="1" applyAlignment="1">
      <alignment wrapText="1"/>
    </xf>
    <xf numFmtId="10" fontId="3" fillId="5" borderId="0" xfId="1" applyNumberFormat="1" applyFont="1" applyFill="1" applyAlignment="1">
      <alignment wrapText="1"/>
    </xf>
    <xf numFmtId="0" fontId="6" fillId="6" borderId="0" xfId="1" applyFont="1" applyFill="1" applyAlignment="1">
      <alignment wrapText="1"/>
    </xf>
    <xf numFmtId="166" fontId="3" fillId="4" borderId="0" xfId="1" applyNumberFormat="1" applyFont="1" applyFill="1" applyAlignment="1">
      <alignment wrapText="1"/>
    </xf>
    <xf numFmtId="0" fontId="9" fillId="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79"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b/>
      </font>
      <fill>
        <patternFill patternType="solid">
          <bgColor rgb="FFC6E0B4"/>
        </patternFill>
      </fill>
    </dxf>
    <dxf>
      <font>
        <b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Soll netto</c:v>
          </c:tx>
          <c:invertIfNegative val="1"/>
          <c:cat>
            <c:strRef>
              <c:f>'Nachkalkulation 2026'!$A$5:$A$9</c:f>
              <c:strCache>
                <c:ptCount val="5"/>
                <c:pt idx="0">
                  <c:v>Arbeitsleistung</c:v>
                </c:pt>
                <c:pt idx="1">
                  <c:v>Material</c:v>
                </c:pt>
                <c:pt idx="2">
                  <c:v>Fahrt &amp; Logistik</c:v>
                </c:pt>
                <c:pt idx="3">
                  <c:v>Fremdleistungen</c:v>
                </c:pt>
                <c:pt idx="4">
                  <c:v>Wagnis, Gewinn &amp; Rabatt</c:v>
                </c:pt>
              </c:strCache>
            </c:strRef>
          </c:cat>
          <c:val>
            <c:numRef>
              <c:f>'Nachkalkulation 2026'!$B$5:$B$9</c:f>
              <c:numCache>
                <c:formatCode>#,##0.00\ \€</c:formatCode>
                <c:ptCount val="5"/>
                <c:pt idx="0">
                  <c:v>2521.5328124999996</c:v>
                </c:pt>
                <c:pt idx="1">
                  <c:v>209.15</c:v>
                </c:pt>
                <c:pt idx="2">
                  <c:v>271.96000000000004</c:v>
                </c:pt>
                <c:pt idx="3">
                  <c:v>289.75</c:v>
                </c:pt>
                <c:pt idx="4">
                  <c:v>463.30551657500001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6-4CB9-B6D3-6E810EC162A0}"/>
            </c:ext>
          </c:extLst>
        </c:ser>
        <c:ser>
          <c:idx val="1"/>
          <c:order val="1"/>
          <c:tx>
            <c:v>Ist netto</c:v>
          </c:tx>
          <c:invertIfNegative val="1"/>
          <c:cat>
            <c:strRef>
              <c:f>'Nachkalkulation 2026'!$A$5:$A$9</c:f>
              <c:strCache>
                <c:ptCount val="5"/>
                <c:pt idx="0">
                  <c:v>Arbeitsleistung</c:v>
                </c:pt>
                <c:pt idx="1">
                  <c:v>Material</c:v>
                </c:pt>
                <c:pt idx="2">
                  <c:v>Fahrt &amp; Logistik</c:v>
                </c:pt>
                <c:pt idx="3">
                  <c:v>Fremdleistungen</c:v>
                </c:pt>
                <c:pt idx="4">
                  <c:v>Wagnis, Gewinn &amp; Rabatt</c:v>
                </c:pt>
              </c:strCache>
            </c:strRef>
          </c:cat>
          <c:val>
            <c:numRef>
              <c:f>'Nachkalkulation 2026'!$C$5:$C$9</c:f>
              <c:numCache>
                <c:formatCode>#,##0.00\ \€</c:formatCode>
                <c:ptCount val="5"/>
                <c:pt idx="0">
                  <c:v>2479.1030194256755</c:v>
                </c:pt>
                <c:pt idx="1">
                  <c:v>112.5</c:v>
                </c:pt>
                <c:pt idx="2">
                  <c:v>180</c:v>
                </c:pt>
                <c:pt idx="3">
                  <c:v>284</c:v>
                </c:pt>
                <c:pt idx="4">
                  <c:v>463.30551657500001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6-4CB9-B6D3-6E810EC16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rbeitsleistung" displayName="tblArbeitsleistung" ref="A13:J25" headerRowDxfId="66" dataDxfId="64" totalsRowDxfId="65">
  <tableColumns count="10">
    <tableColumn id="1" xr3:uid="{00000000-0010-0000-0000-000001000000}" name="Pos." dataDxfId="76"/>
    <tableColumn id="2" xr3:uid="{00000000-0010-0000-0000-000002000000}" name="Leistungsbereich" dataDxfId="75"/>
    <tableColumn id="3" xr3:uid="{00000000-0010-0000-0000-000003000000}" name="Beschreibung" dataDxfId="74"/>
    <tableColumn id="4" xr3:uid="{00000000-0010-0000-0000-000004000000}" name="Rolle" dataDxfId="73"/>
    <tableColumn id="5" xr3:uid="{00000000-0010-0000-0000-000005000000}" name="Einheit" dataDxfId="72"/>
    <tableColumn id="6" xr3:uid="{00000000-0010-0000-0000-000006000000}" name="Menge" dataDxfId="71"/>
    <tableColumn id="7" xr3:uid="{00000000-0010-0000-0000-000007000000}" name="Std./Einheit" dataDxfId="70"/>
    <tableColumn id="8" xr3:uid="{00000000-0010-0000-0000-000008000000}" name="Gesamtstunden" dataDxfId="69"/>
    <tableColumn id="9" xr3:uid="{00000000-0010-0000-0000-000009000000}" name="Satz €/Std." dataDxfId="68"/>
    <tableColumn id="10" xr3:uid="{00000000-0010-0000-0000-00000A000000}" name="Betrag netto" dataDxfId="6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Material" displayName="tblMaterial" ref="A29:I39" headerRowDxfId="54" dataDxfId="52" totalsRowDxfId="53">
  <tableColumns count="9">
    <tableColumn id="1" xr3:uid="{00000000-0010-0000-0100-000001000000}" name="Pos." dataDxfId="63"/>
    <tableColumn id="2" xr3:uid="{00000000-0010-0000-0100-000002000000}" name="Material/Verbrauch" dataDxfId="62"/>
    <tableColumn id="3" xr3:uid="{00000000-0010-0000-0100-000003000000}" name="Kategorie" dataDxfId="61"/>
    <tableColumn id="4" xr3:uid="{00000000-0010-0000-0100-000004000000}" name="Einheit" dataDxfId="60"/>
    <tableColumn id="5" xr3:uid="{00000000-0010-0000-0100-000005000000}" name="Menge" dataDxfId="59"/>
    <tableColumn id="6" xr3:uid="{00000000-0010-0000-0100-000006000000}" name="EK €/Einheit" dataDxfId="58"/>
    <tableColumn id="7" xr3:uid="{00000000-0010-0000-0100-000007000000}" name="Aufschlag" dataDxfId="57"/>
    <tableColumn id="8" xr3:uid="{00000000-0010-0000-0100-000008000000}" name="VK €/Einheit" dataDxfId="56"/>
    <tableColumn id="9" xr3:uid="{00000000-0010-0000-0100-000009000000}" name="Betrag netto" dataDxfId="5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Fahrt" displayName="tblFahrt" ref="A43:H48" headerRowDxfId="43" dataDxfId="41" totalsRowDxfId="42">
  <tableColumns count="8">
    <tableColumn id="1" xr3:uid="{00000000-0010-0000-0200-000001000000}" name="Pos." dataDxfId="51"/>
    <tableColumn id="2" xr3:uid="{00000000-0010-0000-0200-000002000000}" name="Beschreibung" dataDxfId="50"/>
    <tableColumn id="3" xr3:uid="{00000000-0010-0000-0200-000003000000}" name="Strecke einfach km" dataDxfId="49"/>
    <tableColumn id="4" xr3:uid="{00000000-0010-0000-0200-000004000000}" name="Fahrten" dataDxfId="48"/>
    <tableColumn id="5" xr3:uid="{00000000-0010-0000-0200-000005000000}" name="Gesamt-km" dataDxfId="47"/>
    <tableColumn id="6" xr3:uid="{00000000-0010-0000-0200-000006000000}" name="Satz €/km" dataDxfId="46"/>
    <tableColumn id="7" xr3:uid="{00000000-0010-0000-0200-000007000000}" name="Zeitkosten €" dataDxfId="45"/>
    <tableColumn id="8" xr3:uid="{00000000-0010-0000-0200-000008000000}" name="Betrag netto" dataDxfId="4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Fremdleistungen" displayName="tblFremdleistungen" ref="A51:G58" headerRowDxfId="33" dataDxfId="31" totalsRowDxfId="32">
  <tableColumns count="7">
    <tableColumn id="1" xr3:uid="{00000000-0010-0000-0300-000001000000}" name="Pos." dataDxfId="40"/>
    <tableColumn id="2" xr3:uid="{00000000-0010-0000-0300-000002000000}" name="Beschreibung" dataDxfId="39"/>
    <tableColumn id="3" xr3:uid="{00000000-0010-0000-0300-000003000000}" name="Anbieterart" dataDxfId="38"/>
    <tableColumn id="4" xr3:uid="{00000000-0010-0000-0300-000004000000}" name="Menge" dataDxfId="37"/>
    <tableColumn id="5" xr3:uid="{00000000-0010-0000-0300-000005000000}" name="EK €" dataDxfId="36"/>
    <tableColumn id="6" xr3:uid="{00000000-0010-0000-0300-000006000000}" name="Aufschlag" dataDxfId="35"/>
    <tableColumn id="7" xr3:uid="{00000000-0010-0000-0300-000007000000}" name="Betrag netto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Stundensaetze" displayName="tblStundensaetze" ref="A18:H22" headerRowDxfId="22" dataDxfId="20" totalsRowDxfId="21">
  <tableColumns count="8">
    <tableColumn id="1" xr3:uid="{00000000-0010-0000-0400-000001000000}" name="Rolle" dataDxfId="30"/>
    <tableColumn id="2" xr3:uid="{00000000-0010-0000-0400-000002000000}" name="Anzahl" dataDxfId="29"/>
    <tableColumn id="3" xr3:uid="{00000000-0010-0000-0400-000003000000}" name="Bruttolohn/Jahr" dataDxfId="28"/>
    <tableColumn id="4" xr3:uid="{00000000-0010-0000-0400-000004000000}" name="Lohnnebenkosten" dataDxfId="27"/>
    <tableColumn id="5" xr3:uid="{00000000-0010-0000-0400-000005000000}" name="Sonstige Lohnkosten/Jahr" dataDxfId="26"/>
    <tableColumn id="6" xr3:uid="{00000000-0010-0000-0400-000006000000}" name="Produktive Stunden/Jahr" dataDxfId="25"/>
    <tableColumn id="7" xr3:uid="{00000000-0010-0000-0400-000007000000}" name="Direkte Kosten €/Std." dataDxfId="24"/>
    <tableColumn id="8" xr3:uid="{00000000-0010-0000-0400-000008000000}" name="Verrechnungssatz €/Std." dataDxfId="2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Nachkalkulation" displayName="tblNachkalkulation" ref="A4:G10" headerRowDxfId="12" dataDxfId="10" totalsRowDxfId="11">
  <tableColumns count="7">
    <tableColumn id="1" xr3:uid="{00000000-0010-0000-0500-000001000000}" name="Kostenbereich" dataDxfId="19"/>
    <tableColumn id="2" xr3:uid="{00000000-0010-0000-0500-000002000000}" name="Soll netto" dataDxfId="18"/>
    <tableColumn id="3" xr3:uid="{00000000-0010-0000-0500-000003000000}" name="Ist netto" dataDxfId="17"/>
    <tableColumn id="4" xr3:uid="{00000000-0010-0000-0500-000004000000}" name="Differenz" dataDxfId="16"/>
    <tableColumn id="5" xr3:uid="{00000000-0010-0000-0500-000005000000}" name="Abweichung" dataDxfId="15"/>
    <tableColumn id="6" xr3:uid="{00000000-0010-0000-0500-000006000000}" name="Bewertung" dataDxfId="14"/>
    <tableColumn id="7" xr3:uid="{00000000-0010-0000-0500-000007000000}" name="Hinweis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IstZeiterfassung" displayName="tblIstZeiterfassung" ref="A14:G18" headerRowDxfId="2" dataDxfId="0" totalsRowDxfId="1">
  <tableColumns count="7">
    <tableColumn id="1" xr3:uid="{00000000-0010-0000-0600-000001000000}" name="Rolle" dataDxfId="9"/>
    <tableColumn id="2" xr3:uid="{00000000-0010-0000-0600-000002000000}" name="Planstunden" dataDxfId="8"/>
    <tableColumn id="3" xr3:uid="{00000000-0010-0000-0600-000003000000}" name="Iststunden" dataDxfId="7"/>
    <tableColumn id="4" xr3:uid="{00000000-0010-0000-0600-000004000000}" name="Abweichung Std." dataDxfId="6"/>
    <tableColumn id="5" xr3:uid="{00000000-0010-0000-0600-000005000000}" name="Satz €/Std." dataDxfId="5"/>
    <tableColumn id="6" xr3:uid="{00000000-0010-0000-0600-000006000000}" name="Ist-Lohnkosten" dataDxfId="4"/>
    <tableColumn id="7" xr3:uid="{00000000-0010-0000-0600-000007000000}" name="Kommentar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workbookViewId="0">
      <selection sqref="A1:J1"/>
    </sheetView>
  </sheetViews>
  <sheetFormatPr baseColWidth="10" defaultColWidth="9" defaultRowHeight="15" x14ac:dyDescent="0.25"/>
  <cols>
    <col min="1" max="1" width="14.875" style="3" bestFit="1" customWidth="1"/>
    <col min="2" max="2" width="27.625" style="3" bestFit="1" customWidth="1"/>
    <col min="3" max="3" width="42.75" style="3" bestFit="1" customWidth="1"/>
    <col min="4" max="4" width="8.5" style="3" bestFit="1" customWidth="1"/>
    <col min="5" max="5" width="9.875" style="3" bestFit="1" customWidth="1"/>
    <col min="6" max="6" width="10.25" style="3" bestFit="1" customWidth="1"/>
    <col min="7" max="7" width="10.5" style="3" bestFit="1" customWidth="1"/>
    <col min="8" max="8" width="13.25" style="3" bestFit="1" customWidth="1"/>
    <col min="9" max="10" width="10.5" style="3" bestFit="1" customWidth="1"/>
    <col min="11" max="11" width="9.25" style="3" bestFit="1" customWidth="1"/>
    <col min="12" max="12" width="12" style="3" customWidth="1"/>
    <col min="13" max="16384" width="9" style="3"/>
  </cols>
  <sheetData>
    <row r="1" spans="1:12" ht="27.95" customHeight="1" x14ac:dyDescent="0.25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4"/>
      <c r="L1" s="4"/>
    </row>
    <row r="2" spans="1:12" ht="8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.95" customHeight="1" x14ac:dyDescent="0.25">
      <c r="A3" s="5" t="s">
        <v>0</v>
      </c>
      <c r="B3" s="5"/>
      <c r="C3" s="5" t="s">
        <v>1</v>
      </c>
      <c r="D3" s="5" t="s">
        <v>2</v>
      </c>
      <c r="E3" s="6" t="s">
        <v>3</v>
      </c>
      <c r="F3" s="6"/>
      <c r="G3" s="6"/>
      <c r="H3" s="6"/>
      <c r="I3" s="6"/>
      <c r="J3" s="6"/>
    </row>
    <row r="4" spans="1:12" ht="26.45" customHeight="1" x14ac:dyDescent="0.25">
      <c r="A4" s="7" t="s">
        <v>4</v>
      </c>
      <c r="B4" s="8" t="s">
        <v>5</v>
      </c>
      <c r="C4" s="7" t="s">
        <v>6</v>
      </c>
      <c r="D4" s="9">
        <v>0.19</v>
      </c>
      <c r="E4" s="10" t="s">
        <v>7</v>
      </c>
      <c r="F4" s="10"/>
      <c r="G4" s="11">
        <f>SUM(H14:H25)</f>
        <v>35</v>
      </c>
      <c r="H4" s="10" t="s">
        <v>8</v>
      </c>
      <c r="I4" s="10"/>
      <c r="J4" s="12">
        <f>G9+G10+G11</f>
        <v>3871.8539474999998</v>
      </c>
      <c r="L4" s="4"/>
    </row>
    <row r="5" spans="1:12" ht="26.45" customHeight="1" x14ac:dyDescent="0.25">
      <c r="A5" s="7" t="s">
        <v>9</v>
      </c>
      <c r="B5" s="13" t="s">
        <v>10</v>
      </c>
      <c r="C5" s="7" t="s">
        <v>11</v>
      </c>
      <c r="D5" s="9">
        <v>0.25</v>
      </c>
      <c r="E5" s="10" t="s">
        <v>12</v>
      </c>
      <c r="F5" s="10"/>
      <c r="G5" s="12">
        <f>SUM(J14:J25)</f>
        <v>2521.5328124999996</v>
      </c>
      <c r="H5" s="10" t="s">
        <v>13</v>
      </c>
      <c r="I5" s="10"/>
      <c r="J5" s="12">
        <f>-J4*$D$6</f>
        <v>-116.15561842499999</v>
      </c>
      <c r="L5" s="4"/>
    </row>
    <row r="6" spans="1:12" ht="15" customHeight="1" x14ac:dyDescent="0.25">
      <c r="A6" s="7" t="s">
        <v>14</v>
      </c>
      <c r="B6" s="8" t="s">
        <v>15</v>
      </c>
      <c r="C6" s="7" t="s">
        <v>16</v>
      </c>
      <c r="D6" s="9">
        <v>0.03</v>
      </c>
      <c r="E6" s="10" t="s">
        <v>17</v>
      </c>
      <c r="F6" s="10"/>
      <c r="G6" s="12">
        <f>SUM(I30:I39)</f>
        <v>209.15</v>
      </c>
      <c r="H6" s="14" t="s">
        <v>18</v>
      </c>
      <c r="I6" s="14"/>
      <c r="J6" s="15">
        <f>J4+J5</f>
        <v>3755.6983290749999</v>
      </c>
      <c r="L6" s="4"/>
    </row>
    <row r="7" spans="1:12" ht="26.45" customHeight="1" x14ac:dyDescent="0.25">
      <c r="A7" s="7" t="s">
        <v>19</v>
      </c>
      <c r="B7" s="8" t="s">
        <v>20</v>
      </c>
      <c r="C7" s="7" t="s">
        <v>21</v>
      </c>
      <c r="D7" s="9">
        <v>0.02</v>
      </c>
      <c r="E7" s="10" t="s">
        <v>22</v>
      </c>
      <c r="F7" s="10"/>
      <c r="G7" s="12">
        <f>SUM(H44:H48)</f>
        <v>271.96000000000004</v>
      </c>
      <c r="H7" s="14" t="s">
        <v>6</v>
      </c>
      <c r="I7" s="14"/>
      <c r="J7" s="15">
        <f>J6*$D$4</f>
        <v>713.58268252425</v>
      </c>
      <c r="L7" s="4"/>
    </row>
    <row r="8" spans="1:12" ht="26.45" customHeight="1" x14ac:dyDescent="0.25">
      <c r="A8" s="7" t="s">
        <v>23</v>
      </c>
      <c r="B8" s="8" t="s">
        <v>24</v>
      </c>
      <c r="C8" s="7" t="s">
        <v>25</v>
      </c>
      <c r="D8" s="9">
        <v>0.05</v>
      </c>
      <c r="E8" s="10" t="s">
        <v>26</v>
      </c>
      <c r="F8" s="10"/>
      <c r="G8" s="12">
        <f>SUM(G52:G58)</f>
        <v>289.75</v>
      </c>
      <c r="H8" s="14" t="s">
        <v>27</v>
      </c>
      <c r="I8" s="14"/>
      <c r="J8" s="15">
        <f>J6+J7</f>
        <v>4469.2810115992497</v>
      </c>
      <c r="L8" s="4"/>
    </row>
    <row r="9" spans="1:12" ht="26.45" customHeight="1" x14ac:dyDescent="0.25">
      <c r="A9" s="7" t="s">
        <v>28</v>
      </c>
      <c r="B9" s="8" t="s">
        <v>29</v>
      </c>
      <c r="C9" s="7" t="s">
        <v>30</v>
      </c>
      <c r="D9" s="9">
        <v>0.12</v>
      </c>
      <c r="E9" s="10" t="s">
        <v>31</v>
      </c>
      <c r="F9" s="10"/>
      <c r="G9" s="12">
        <f>SUM(G5:G8)</f>
        <v>3292.3928124999998</v>
      </c>
      <c r="H9" s="10" t="s">
        <v>32</v>
      </c>
      <c r="I9" s="10"/>
      <c r="J9" s="12">
        <f>-J8*$D$7</f>
        <v>-89.385620231985001</v>
      </c>
      <c r="L9" s="4"/>
    </row>
    <row r="10" spans="1:12" ht="26.45" customHeight="1" x14ac:dyDescent="0.25">
      <c r="A10" s="7" t="s">
        <v>33</v>
      </c>
      <c r="B10" s="8" t="s">
        <v>34</v>
      </c>
      <c r="C10" s="7" t="s">
        <v>35</v>
      </c>
      <c r="D10" s="16">
        <v>0.72</v>
      </c>
      <c r="E10" s="10" t="s">
        <v>25</v>
      </c>
      <c r="F10" s="10"/>
      <c r="G10" s="12">
        <f>G9*$D$8</f>
        <v>164.61964062499999</v>
      </c>
      <c r="H10" s="10" t="s">
        <v>36</v>
      </c>
      <c r="I10" s="10"/>
      <c r="J10" s="12">
        <f>J8+J9</f>
        <v>4379.8953913672649</v>
      </c>
      <c r="L10" s="4"/>
    </row>
    <row r="11" spans="1:12" ht="15" customHeight="1" x14ac:dyDescent="0.25">
      <c r="A11" s="4"/>
      <c r="B11" s="4"/>
      <c r="C11" s="4"/>
      <c r="D11" s="4"/>
      <c r="E11" s="10" t="s">
        <v>37</v>
      </c>
      <c r="F11" s="10"/>
      <c r="G11" s="12">
        <f>(G9+G10)*$D$9</f>
        <v>414.84149437499997</v>
      </c>
      <c r="H11" s="10" t="s">
        <v>38</v>
      </c>
      <c r="I11" s="10"/>
      <c r="J11" s="17">
        <f>IF(J6=0,0,(G10+G11+J5)/J6)</f>
        <v>0.12336068447997757</v>
      </c>
      <c r="L11" s="4"/>
    </row>
    <row r="12" spans="1:12" ht="21.95" customHeight="1" x14ac:dyDescent="0.25">
      <c r="A12" s="18" t="s">
        <v>39</v>
      </c>
      <c r="B12" s="2"/>
      <c r="C12" s="2"/>
      <c r="D12" s="2"/>
      <c r="E12" s="2"/>
      <c r="F12" s="2"/>
      <c r="G12" s="2"/>
      <c r="H12" s="2"/>
      <c r="I12" s="2"/>
      <c r="J12" s="2"/>
      <c r="K12" s="4"/>
      <c r="L12" s="4"/>
    </row>
    <row r="13" spans="1:12" ht="18" customHeight="1" x14ac:dyDescent="0.25">
      <c r="A13" s="19" t="s">
        <v>40</v>
      </c>
      <c r="B13" s="19" t="s">
        <v>41</v>
      </c>
      <c r="C13" s="19" t="s">
        <v>42</v>
      </c>
      <c r="D13" s="19" t="s">
        <v>43</v>
      </c>
      <c r="E13" s="19" t="s">
        <v>44</v>
      </c>
      <c r="F13" s="19" t="s">
        <v>45</v>
      </c>
      <c r="G13" s="19" t="s">
        <v>46</v>
      </c>
      <c r="H13" s="19" t="s">
        <v>47</v>
      </c>
      <c r="I13" s="19" t="s">
        <v>48</v>
      </c>
      <c r="J13" s="19" t="s">
        <v>49</v>
      </c>
      <c r="K13" s="4"/>
      <c r="L13" s="4"/>
    </row>
    <row r="14" spans="1:12" ht="24" customHeight="1" x14ac:dyDescent="0.25">
      <c r="A14" s="20">
        <v>1</v>
      </c>
      <c r="B14" s="20" t="s">
        <v>50</v>
      </c>
      <c r="C14" s="20" t="s">
        <v>51</v>
      </c>
      <c r="D14" s="20" t="s">
        <v>52</v>
      </c>
      <c r="E14" s="20" t="s">
        <v>53</v>
      </c>
      <c r="F14" s="21">
        <v>1</v>
      </c>
      <c r="G14" s="21">
        <v>2.5</v>
      </c>
      <c r="H14" s="22">
        <f t="shared" ref="H14:H25" si="0">IF(OR(F14="",G14=""),"",F14*G14)</f>
        <v>2.5</v>
      </c>
      <c r="I14" s="23">
        <f>IF(D14="","",IFERROR(VLOOKUP(D14,'Stundensatz 2026'!$A$19:$H$22,8,FALSE),0))</f>
        <v>95.220608108108109</v>
      </c>
      <c r="J14" s="23">
        <f t="shared" ref="J14:J25" si="1">IF(OR(H14="",I14=""),"",H14*I14)</f>
        <v>238.05152027027026</v>
      </c>
      <c r="K14" s="4"/>
      <c r="L14" s="4"/>
    </row>
    <row r="15" spans="1:12" ht="24" customHeight="1" x14ac:dyDescent="0.25">
      <c r="A15" s="20">
        <v>2</v>
      </c>
      <c r="B15" s="20" t="s">
        <v>54</v>
      </c>
      <c r="C15" s="20" t="s">
        <v>55</v>
      </c>
      <c r="D15" s="20" t="s">
        <v>56</v>
      </c>
      <c r="E15" s="20" t="s">
        <v>57</v>
      </c>
      <c r="F15" s="21">
        <v>18</v>
      </c>
      <c r="G15" s="21">
        <v>1</v>
      </c>
      <c r="H15" s="22">
        <f t="shared" si="0"/>
        <v>18</v>
      </c>
      <c r="I15" s="23">
        <f>IF(D15="","",IFERROR(VLOOKUP(D15,'Stundensatz 2026'!$A$19:$H$22,8,FALSE),0))</f>
        <v>74.177407094594585</v>
      </c>
      <c r="J15" s="23">
        <f t="shared" si="1"/>
        <v>1335.1933277027026</v>
      </c>
      <c r="K15" s="4"/>
      <c r="L15" s="4"/>
    </row>
    <row r="16" spans="1:12" ht="24" customHeight="1" x14ac:dyDescent="0.25">
      <c r="A16" s="20">
        <v>3</v>
      </c>
      <c r="B16" s="20" t="s">
        <v>54</v>
      </c>
      <c r="C16" s="20" t="s">
        <v>58</v>
      </c>
      <c r="D16" s="20" t="s">
        <v>59</v>
      </c>
      <c r="E16" s="20" t="s">
        <v>57</v>
      </c>
      <c r="F16" s="21">
        <v>10</v>
      </c>
      <c r="G16" s="21">
        <v>1</v>
      </c>
      <c r="H16" s="22">
        <f t="shared" si="0"/>
        <v>10</v>
      </c>
      <c r="I16" s="23">
        <f>IF(D16="","",IFERROR(VLOOKUP(D16,'Stundensatz 2026'!$A$19:$H$22,8,FALSE),0))</f>
        <v>58.292483108108101</v>
      </c>
      <c r="J16" s="23">
        <f t="shared" si="1"/>
        <v>582.92483108108104</v>
      </c>
      <c r="K16" s="4"/>
      <c r="L16" s="4"/>
    </row>
    <row r="17" spans="1:12" ht="24" customHeight="1" x14ac:dyDescent="0.25">
      <c r="A17" s="20">
        <v>4</v>
      </c>
      <c r="B17" s="20" t="s">
        <v>60</v>
      </c>
      <c r="C17" s="20" t="s">
        <v>61</v>
      </c>
      <c r="D17" s="20" t="s">
        <v>56</v>
      </c>
      <c r="E17" s="20" t="s">
        <v>53</v>
      </c>
      <c r="F17" s="21">
        <v>1</v>
      </c>
      <c r="G17" s="21">
        <v>3</v>
      </c>
      <c r="H17" s="22">
        <f t="shared" si="0"/>
        <v>3</v>
      </c>
      <c r="I17" s="23">
        <f>IF(D17="","",IFERROR(VLOOKUP(D17,'Stundensatz 2026'!$A$19:$H$22,8,FALSE),0))</f>
        <v>74.177407094594585</v>
      </c>
      <c r="J17" s="23">
        <f t="shared" si="1"/>
        <v>222.53222128378377</v>
      </c>
      <c r="K17" s="4"/>
      <c r="L17" s="4"/>
    </row>
    <row r="18" spans="1:12" ht="24" customHeight="1" x14ac:dyDescent="0.25">
      <c r="A18" s="20">
        <v>5</v>
      </c>
      <c r="B18" s="20" t="s">
        <v>62</v>
      </c>
      <c r="C18" s="20" t="s">
        <v>63</v>
      </c>
      <c r="D18" s="20" t="s">
        <v>52</v>
      </c>
      <c r="E18" s="20" t="s">
        <v>53</v>
      </c>
      <c r="F18" s="21">
        <v>1</v>
      </c>
      <c r="G18" s="21">
        <v>1.5</v>
      </c>
      <c r="H18" s="22">
        <f t="shared" si="0"/>
        <v>1.5</v>
      </c>
      <c r="I18" s="23">
        <f>IF(D18="","",IFERROR(VLOOKUP(D18,'Stundensatz 2026'!$A$19:$H$22,8,FALSE),0))</f>
        <v>95.220608108108109</v>
      </c>
      <c r="J18" s="23">
        <f t="shared" si="1"/>
        <v>142.83091216216218</v>
      </c>
      <c r="K18" s="4"/>
      <c r="L18" s="4"/>
    </row>
    <row r="19" spans="1:12" ht="18" customHeight="1" x14ac:dyDescent="0.25">
      <c r="A19" s="20"/>
      <c r="B19" s="20"/>
      <c r="C19" s="20"/>
      <c r="D19" s="20"/>
      <c r="E19" s="20"/>
      <c r="F19" s="21"/>
      <c r="G19" s="21"/>
      <c r="H19" s="22" t="str">
        <f t="shared" si="0"/>
        <v/>
      </c>
      <c r="I19" s="23" t="str">
        <f>IF(D19="","",IFERROR(VLOOKUP(D19,'Stundensatz 2026'!$A$19:$H$22,8,FALSE),0))</f>
        <v/>
      </c>
      <c r="J19" s="23" t="str">
        <f t="shared" si="1"/>
        <v/>
      </c>
      <c r="K19" s="4"/>
      <c r="L19" s="4"/>
    </row>
    <row r="20" spans="1:12" ht="18" customHeight="1" x14ac:dyDescent="0.25">
      <c r="A20" s="20"/>
      <c r="B20" s="20"/>
      <c r="C20" s="20"/>
      <c r="D20" s="20"/>
      <c r="E20" s="20"/>
      <c r="F20" s="21"/>
      <c r="G20" s="21"/>
      <c r="H20" s="22" t="str">
        <f t="shared" si="0"/>
        <v/>
      </c>
      <c r="I20" s="23" t="str">
        <f>IF(D20="","",IFERROR(VLOOKUP(D20,'Stundensatz 2026'!$A$19:$H$22,8,FALSE),0))</f>
        <v/>
      </c>
      <c r="J20" s="23" t="str">
        <f t="shared" si="1"/>
        <v/>
      </c>
      <c r="K20" s="4"/>
      <c r="L20" s="4"/>
    </row>
    <row r="21" spans="1:12" ht="18" customHeight="1" x14ac:dyDescent="0.25">
      <c r="A21" s="20"/>
      <c r="B21" s="20"/>
      <c r="C21" s="20"/>
      <c r="D21" s="20"/>
      <c r="E21" s="20"/>
      <c r="F21" s="21"/>
      <c r="G21" s="21"/>
      <c r="H21" s="22" t="str">
        <f t="shared" si="0"/>
        <v/>
      </c>
      <c r="I21" s="23" t="str">
        <f>IF(D21="","",IFERROR(VLOOKUP(D21,'Stundensatz 2026'!$A$19:$H$22,8,FALSE),0))</f>
        <v/>
      </c>
      <c r="J21" s="23" t="str">
        <f t="shared" si="1"/>
        <v/>
      </c>
      <c r="K21" s="4"/>
      <c r="L21" s="4"/>
    </row>
    <row r="22" spans="1:12" ht="18" customHeight="1" x14ac:dyDescent="0.25">
      <c r="A22" s="20"/>
      <c r="B22" s="20"/>
      <c r="C22" s="20"/>
      <c r="D22" s="20"/>
      <c r="E22" s="20"/>
      <c r="F22" s="21"/>
      <c r="G22" s="21"/>
      <c r="H22" s="22" t="str">
        <f t="shared" si="0"/>
        <v/>
      </c>
      <c r="I22" s="23" t="str">
        <f>IF(D22="","",IFERROR(VLOOKUP(D22,'Stundensatz 2026'!$A$19:$H$22,8,FALSE),0))</f>
        <v/>
      </c>
      <c r="J22" s="23" t="str">
        <f t="shared" si="1"/>
        <v/>
      </c>
      <c r="K22" s="4"/>
      <c r="L22" s="4"/>
    </row>
    <row r="23" spans="1:12" ht="18" customHeight="1" x14ac:dyDescent="0.25">
      <c r="A23" s="20"/>
      <c r="B23" s="20"/>
      <c r="C23" s="20"/>
      <c r="D23" s="20"/>
      <c r="E23" s="20"/>
      <c r="F23" s="21"/>
      <c r="G23" s="21"/>
      <c r="H23" s="22" t="str">
        <f t="shared" si="0"/>
        <v/>
      </c>
      <c r="I23" s="23" t="str">
        <f>IF(D23="","",IFERROR(VLOOKUP(D23,'Stundensatz 2026'!$A$19:$H$22,8,FALSE),0))</f>
        <v/>
      </c>
      <c r="J23" s="23" t="str">
        <f t="shared" si="1"/>
        <v/>
      </c>
      <c r="K23" s="4"/>
      <c r="L23" s="4"/>
    </row>
    <row r="24" spans="1:12" ht="18" customHeight="1" x14ac:dyDescent="0.25">
      <c r="A24" s="20"/>
      <c r="B24" s="20"/>
      <c r="C24" s="20"/>
      <c r="D24" s="20"/>
      <c r="E24" s="20"/>
      <c r="F24" s="21"/>
      <c r="G24" s="21"/>
      <c r="H24" s="22" t="str">
        <f t="shared" si="0"/>
        <v/>
      </c>
      <c r="I24" s="23" t="str">
        <f>IF(D24="","",IFERROR(VLOOKUP(D24,'Stundensatz 2026'!$A$19:$H$22,8,FALSE),0))</f>
        <v/>
      </c>
      <c r="J24" s="23" t="str">
        <f t="shared" si="1"/>
        <v/>
      </c>
      <c r="K24" s="4"/>
      <c r="L24" s="4"/>
    </row>
    <row r="25" spans="1:12" ht="18" customHeight="1" x14ac:dyDescent="0.25">
      <c r="A25" s="20"/>
      <c r="B25" s="20"/>
      <c r="C25" s="20"/>
      <c r="D25" s="20"/>
      <c r="E25" s="20"/>
      <c r="F25" s="21"/>
      <c r="G25" s="21"/>
      <c r="H25" s="22" t="str">
        <f t="shared" si="0"/>
        <v/>
      </c>
      <c r="I25" s="23" t="str">
        <f>IF(D25="","",IFERROR(VLOOKUP(D25,'Stundensatz 2026'!$A$19:$H$22,8,FALSE),0))</f>
        <v/>
      </c>
      <c r="J25" s="23" t="str">
        <f t="shared" si="1"/>
        <v/>
      </c>
      <c r="K25" s="4"/>
      <c r="L25" s="4"/>
    </row>
    <row r="26" spans="1:12" ht="18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8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8" customHeight="1" x14ac:dyDescent="0.25">
      <c r="A28" s="18" t="s">
        <v>64</v>
      </c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</row>
    <row r="29" spans="1:12" ht="18" customHeight="1" x14ac:dyDescent="0.25">
      <c r="A29" s="19" t="s">
        <v>40</v>
      </c>
      <c r="B29" s="19" t="s">
        <v>65</v>
      </c>
      <c r="C29" s="19" t="s">
        <v>66</v>
      </c>
      <c r="D29" s="19" t="s">
        <v>44</v>
      </c>
      <c r="E29" s="19" t="s">
        <v>45</v>
      </c>
      <c r="F29" s="19" t="s">
        <v>67</v>
      </c>
      <c r="G29" s="19" t="s">
        <v>68</v>
      </c>
      <c r="H29" s="19" t="s">
        <v>69</v>
      </c>
      <c r="I29" s="19" t="s">
        <v>49</v>
      </c>
      <c r="J29" s="4"/>
      <c r="K29" s="4"/>
      <c r="L29" s="4"/>
    </row>
    <row r="30" spans="1:12" ht="20.100000000000001" customHeight="1" x14ac:dyDescent="0.25">
      <c r="A30" s="20">
        <v>1</v>
      </c>
      <c r="B30" s="20" t="s">
        <v>70</v>
      </c>
      <c r="C30" s="20" t="s">
        <v>71</v>
      </c>
      <c r="D30" s="20" t="s">
        <v>72</v>
      </c>
      <c r="E30" s="21">
        <v>35</v>
      </c>
      <c r="F30" s="24">
        <v>1.2</v>
      </c>
      <c r="G30" s="25">
        <v>0.25</v>
      </c>
      <c r="H30" s="23">
        <f t="shared" ref="H30:H39" si="2">IF(OR(E30="",F30=""),"",F30*(1+G30))</f>
        <v>1.5</v>
      </c>
      <c r="I30" s="23">
        <f t="shared" ref="I30:I39" si="3">IF(OR(E30="",H30=""),"",E30*H30)</f>
        <v>52.5</v>
      </c>
      <c r="J30" s="4"/>
      <c r="K30" s="4"/>
      <c r="L30" s="4"/>
    </row>
    <row r="31" spans="1:12" ht="20.100000000000001" customHeight="1" x14ac:dyDescent="0.25">
      <c r="A31" s="20">
        <v>2</v>
      </c>
      <c r="B31" s="20" t="s">
        <v>73</v>
      </c>
      <c r="C31" s="20" t="s">
        <v>71</v>
      </c>
      <c r="D31" s="20" t="s">
        <v>74</v>
      </c>
      <c r="E31" s="21">
        <v>2</v>
      </c>
      <c r="F31" s="24">
        <v>18</v>
      </c>
      <c r="G31" s="25">
        <v>0.25</v>
      </c>
      <c r="H31" s="23">
        <f t="shared" si="2"/>
        <v>22.5</v>
      </c>
      <c r="I31" s="23">
        <f t="shared" si="3"/>
        <v>45</v>
      </c>
      <c r="J31" s="4"/>
      <c r="K31" s="4"/>
      <c r="L31" s="4"/>
    </row>
    <row r="32" spans="1:12" ht="20.100000000000001" customHeight="1" x14ac:dyDescent="0.25">
      <c r="A32" s="20">
        <v>3</v>
      </c>
      <c r="B32" s="20" t="s">
        <v>75</v>
      </c>
      <c r="C32" s="20" t="s">
        <v>76</v>
      </c>
      <c r="D32" s="20" t="s">
        <v>77</v>
      </c>
      <c r="E32" s="21">
        <v>4</v>
      </c>
      <c r="F32" s="24">
        <v>8.5</v>
      </c>
      <c r="G32" s="25">
        <v>0.2</v>
      </c>
      <c r="H32" s="23">
        <f t="shared" si="2"/>
        <v>10.199999999999999</v>
      </c>
      <c r="I32" s="23">
        <f t="shared" si="3"/>
        <v>40.799999999999997</v>
      </c>
      <c r="J32" s="4"/>
      <c r="K32" s="4"/>
      <c r="L32" s="4"/>
    </row>
    <row r="33" spans="1:12" ht="20.100000000000001" customHeight="1" x14ac:dyDescent="0.25">
      <c r="A33" s="20">
        <v>4</v>
      </c>
      <c r="B33" s="20" t="s">
        <v>78</v>
      </c>
      <c r="C33" s="20" t="s">
        <v>76</v>
      </c>
      <c r="D33" s="20" t="s">
        <v>79</v>
      </c>
      <c r="E33" s="21">
        <v>20</v>
      </c>
      <c r="F33" s="24">
        <v>0.45</v>
      </c>
      <c r="G33" s="25">
        <v>0.15</v>
      </c>
      <c r="H33" s="23">
        <f t="shared" si="2"/>
        <v>0.51749999999999996</v>
      </c>
      <c r="I33" s="23">
        <f t="shared" si="3"/>
        <v>10.35</v>
      </c>
      <c r="J33" s="4"/>
      <c r="K33" s="4"/>
      <c r="L33" s="4"/>
    </row>
    <row r="34" spans="1:12" ht="20.100000000000001" customHeight="1" x14ac:dyDescent="0.25">
      <c r="A34" s="20">
        <v>5</v>
      </c>
      <c r="B34" s="20" t="s">
        <v>80</v>
      </c>
      <c r="C34" s="20" t="s">
        <v>81</v>
      </c>
      <c r="D34" s="20" t="s">
        <v>53</v>
      </c>
      <c r="E34" s="21">
        <v>1</v>
      </c>
      <c r="F34" s="24">
        <v>35</v>
      </c>
      <c r="G34" s="25">
        <v>0.1</v>
      </c>
      <c r="H34" s="23">
        <f t="shared" si="2"/>
        <v>38.5</v>
      </c>
      <c r="I34" s="23">
        <f t="shared" si="3"/>
        <v>38.5</v>
      </c>
      <c r="J34" s="4"/>
      <c r="K34" s="4"/>
      <c r="L34" s="4"/>
    </row>
    <row r="35" spans="1:12" ht="20.100000000000001" customHeight="1" x14ac:dyDescent="0.25">
      <c r="A35" s="20">
        <v>6</v>
      </c>
      <c r="B35" s="20" t="s">
        <v>82</v>
      </c>
      <c r="C35" s="20" t="s">
        <v>83</v>
      </c>
      <c r="D35" s="20" t="s">
        <v>53</v>
      </c>
      <c r="E35" s="21">
        <v>1</v>
      </c>
      <c r="F35" s="24">
        <v>22</v>
      </c>
      <c r="G35" s="25">
        <v>0</v>
      </c>
      <c r="H35" s="23">
        <f t="shared" si="2"/>
        <v>22</v>
      </c>
      <c r="I35" s="23">
        <f t="shared" si="3"/>
        <v>22</v>
      </c>
      <c r="J35" s="4"/>
      <c r="K35" s="4"/>
      <c r="L35" s="4"/>
    </row>
    <row r="36" spans="1:12" ht="18" customHeight="1" x14ac:dyDescent="0.25">
      <c r="A36" s="20"/>
      <c r="B36" s="20"/>
      <c r="C36" s="20"/>
      <c r="D36" s="20"/>
      <c r="E36" s="21"/>
      <c r="F36" s="24"/>
      <c r="G36" s="25"/>
      <c r="H36" s="23" t="str">
        <f t="shared" si="2"/>
        <v/>
      </c>
      <c r="I36" s="23" t="str">
        <f t="shared" si="3"/>
        <v/>
      </c>
      <c r="J36" s="4"/>
      <c r="K36" s="4"/>
      <c r="L36" s="4"/>
    </row>
    <row r="37" spans="1:12" ht="18" customHeight="1" x14ac:dyDescent="0.25">
      <c r="A37" s="20"/>
      <c r="B37" s="20"/>
      <c r="C37" s="20"/>
      <c r="D37" s="20"/>
      <c r="E37" s="21"/>
      <c r="F37" s="24"/>
      <c r="G37" s="25"/>
      <c r="H37" s="23" t="str">
        <f t="shared" si="2"/>
        <v/>
      </c>
      <c r="I37" s="23" t="str">
        <f t="shared" si="3"/>
        <v/>
      </c>
      <c r="J37" s="4"/>
      <c r="K37" s="4"/>
      <c r="L37" s="4"/>
    </row>
    <row r="38" spans="1:12" ht="18" customHeight="1" x14ac:dyDescent="0.25">
      <c r="A38" s="20"/>
      <c r="B38" s="20"/>
      <c r="C38" s="20"/>
      <c r="D38" s="20"/>
      <c r="E38" s="21"/>
      <c r="F38" s="24"/>
      <c r="G38" s="25"/>
      <c r="H38" s="23" t="str">
        <f t="shared" si="2"/>
        <v/>
      </c>
      <c r="I38" s="23" t="str">
        <f t="shared" si="3"/>
        <v/>
      </c>
      <c r="J38" s="4"/>
      <c r="K38" s="4"/>
      <c r="L38" s="4"/>
    </row>
    <row r="39" spans="1:12" ht="18" customHeight="1" x14ac:dyDescent="0.25">
      <c r="A39" s="20"/>
      <c r="B39" s="20"/>
      <c r="C39" s="20"/>
      <c r="D39" s="20"/>
      <c r="E39" s="21"/>
      <c r="F39" s="24"/>
      <c r="G39" s="25"/>
      <c r="H39" s="23" t="str">
        <f t="shared" si="2"/>
        <v/>
      </c>
      <c r="I39" s="23" t="str">
        <f t="shared" si="3"/>
        <v/>
      </c>
      <c r="J39" s="4"/>
      <c r="K39" s="4"/>
      <c r="L39" s="4"/>
    </row>
    <row r="40" spans="1:12" ht="18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8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8" customHeight="1" x14ac:dyDescent="0.25">
      <c r="A42" s="18" t="s">
        <v>84</v>
      </c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</row>
    <row r="43" spans="1:12" ht="18" customHeight="1" x14ac:dyDescent="0.25">
      <c r="A43" s="19" t="s">
        <v>40</v>
      </c>
      <c r="B43" s="19" t="s">
        <v>42</v>
      </c>
      <c r="C43" s="19" t="s">
        <v>85</v>
      </c>
      <c r="D43" s="19" t="s">
        <v>86</v>
      </c>
      <c r="E43" s="19" t="s">
        <v>87</v>
      </c>
      <c r="F43" s="19" t="s">
        <v>88</v>
      </c>
      <c r="G43" s="19" t="s">
        <v>89</v>
      </c>
      <c r="H43" s="19" t="s">
        <v>49</v>
      </c>
      <c r="I43" s="4"/>
      <c r="J43" s="4"/>
      <c r="K43" s="4"/>
      <c r="L43" s="4"/>
    </row>
    <row r="44" spans="1:12" ht="20.100000000000001" customHeight="1" x14ac:dyDescent="0.25">
      <c r="A44" s="20">
        <v>1</v>
      </c>
      <c r="B44" s="20" t="s">
        <v>90</v>
      </c>
      <c r="C44" s="26">
        <v>18</v>
      </c>
      <c r="D44" s="26">
        <v>4</v>
      </c>
      <c r="E44" s="27">
        <f>IF(OR(C44="",D44=""),"",C44*D44*2)</f>
        <v>144</v>
      </c>
      <c r="F44" s="23">
        <f>IF(A44="","",$D$10)</f>
        <v>0.72</v>
      </c>
      <c r="G44" s="24">
        <v>78</v>
      </c>
      <c r="H44" s="23">
        <f>IF(E44="","",E44*F44+G44)</f>
        <v>181.68</v>
      </c>
      <c r="I44" s="4"/>
      <c r="J44" s="4"/>
      <c r="K44" s="4"/>
      <c r="L44" s="4"/>
    </row>
    <row r="45" spans="1:12" ht="20.100000000000001" customHeight="1" x14ac:dyDescent="0.25">
      <c r="A45" s="20">
        <v>2</v>
      </c>
      <c r="B45" s="20" t="s">
        <v>91</v>
      </c>
      <c r="C45" s="26">
        <v>12</v>
      </c>
      <c r="D45" s="26">
        <v>1</v>
      </c>
      <c r="E45" s="27">
        <f>IF(OR(C45="",D45=""),"",C45*D45*2)</f>
        <v>24</v>
      </c>
      <c r="F45" s="23">
        <f>IF(A45="","",$D$10)</f>
        <v>0.72</v>
      </c>
      <c r="G45" s="24">
        <v>28</v>
      </c>
      <c r="H45" s="23">
        <f>IF(E45="","",E45*F45+G45)</f>
        <v>45.28</v>
      </c>
      <c r="I45" s="4"/>
      <c r="J45" s="4"/>
      <c r="K45" s="4"/>
      <c r="L45" s="4"/>
    </row>
    <row r="46" spans="1:12" ht="20.100000000000001" customHeight="1" x14ac:dyDescent="0.25">
      <c r="A46" s="20">
        <v>3</v>
      </c>
      <c r="B46" s="20" t="s">
        <v>92</v>
      </c>
      <c r="C46" s="26">
        <v>0</v>
      </c>
      <c r="D46" s="26">
        <v>1</v>
      </c>
      <c r="E46" s="27">
        <f>IF(OR(C46="",D46=""),"",C46*D46*2)</f>
        <v>0</v>
      </c>
      <c r="F46" s="23">
        <f>IF(A46="","",$D$10)</f>
        <v>0.72</v>
      </c>
      <c r="G46" s="24">
        <v>45</v>
      </c>
      <c r="H46" s="23">
        <f>IF(E46="","",E46*F46+G46)</f>
        <v>45</v>
      </c>
      <c r="I46" s="4"/>
      <c r="J46" s="4"/>
      <c r="K46" s="4"/>
      <c r="L46" s="4"/>
    </row>
    <row r="47" spans="1:12" ht="18" customHeight="1" x14ac:dyDescent="0.25">
      <c r="A47" s="20"/>
      <c r="B47" s="20"/>
      <c r="C47" s="26"/>
      <c r="D47" s="26"/>
      <c r="E47" s="27" t="str">
        <f>IF(OR(C47="",D47=""),"",C47*D47*2)</f>
        <v/>
      </c>
      <c r="F47" s="23" t="str">
        <f>IF(A47="","",$D$10)</f>
        <v/>
      </c>
      <c r="G47" s="24"/>
      <c r="H47" s="23" t="str">
        <f>IF(E47="","",E47*F47+G47)</f>
        <v/>
      </c>
      <c r="I47" s="4"/>
      <c r="J47" s="4"/>
      <c r="K47" s="4"/>
      <c r="L47" s="4"/>
    </row>
    <row r="48" spans="1:12" ht="18" customHeight="1" x14ac:dyDescent="0.25">
      <c r="A48" s="20"/>
      <c r="B48" s="20"/>
      <c r="C48" s="26"/>
      <c r="D48" s="26"/>
      <c r="E48" s="27" t="str">
        <f>IF(OR(C48="",D48=""),"",C48*D48*2)</f>
        <v/>
      </c>
      <c r="F48" s="23" t="str">
        <f>IF(A48="","",$D$10)</f>
        <v/>
      </c>
      <c r="G48" s="24"/>
      <c r="H48" s="23" t="str">
        <f>IF(E48="","",E48*F48+G48)</f>
        <v/>
      </c>
      <c r="I48" s="4"/>
      <c r="J48" s="4"/>
      <c r="K48" s="4"/>
      <c r="L48" s="4"/>
    </row>
    <row r="49" spans="1:12" ht="18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8" customHeight="1" x14ac:dyDescent="0.25">
      <c r="A50" s="18" t="s">
        <v>93</v>
      </c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</row>
    <row r="51" spans="1:12" ht="18" customHeight="1" x14ac:dyDescent="0.25">
      <c r="A51" s="19" t="s">
        <v>40</v>
      </c>
      <c r="B51" s="19" t="s">
        <v>42</v>
      </c>
      <c r="C51" s="19" t="s">
        <v>94</v>
      </c>
      <c r="D51" s="19" t="s">
        <v>45</v>
      </c>
      <c r="E51" s="19" t="s">
        <v>95</v>
      </c>
      <c r="F51" s="19" t="s">
        <v>68</v>
      </c>
      <c r="G51" s="19" t="s">
        <v>49</v>
      </c>
      <c r="H51" s="4"/>
      <c r="I51" s="4"/>
      <c r="J51" s="4"/>
      <c r="K51" s="4"/>
      <c r="L51" s="4"/>
    </row>
    <row r="52" spans="1:12" ht="18" customHeight="1" x14ac:dyDescent="0.25">
      <c r="A52" s="20">
        <v>1</v>
      </c>
      <c r="B52" s="20" t="s">
        <v>96</v>
      </c>
      <c r="C52" s="20" t="s">
        <v>97</v>
      </c>
      <c r="D52" s="21">
        <v>1</v>
      </c>
      <c r="E52" s="24">
        <v>120</v>
      </c>
      <c r="F52" s="25">
        <v>0.1</v>
      </c>
      <c r="G52" s="23">
        <f t="shared" ref="G52:G58" si="4">IF(OR(D52="",E52=""),"",D52*E52*(1+F52))</f>
        <v>132</v>
      </c>
      <c r="H52" s="4"/>
      <c r="I52" s="4"/>
      <c r="J52" s="4"/>
      <c r="K52" s="4"/>
      <c r="L52" s="4"/>
    </row>
    <row r="53" spans="1:12" ht="18" customHeight="1" x14ac:dyDescent="0.25">
      <c r="A53" s="20">
        <v>2</v>
      </c>
      <c r="B53" s="20" t="s">
        <v>98</v>
      </c>
      <c r="C53" s="20" t="s">
        <v>99</v>
      </c>
      <c r="D53" s="21">
        <v>1</v>
      </c>
      <c r="E53" s="24">
        <v>85</v>
      </c>
      <c r="F53" s="25">
        <v>0.15</v>
      </c>
      <c r="G53" s="23">
        <f t="shared" si="4"/>
        <v>97.749999999999986</v>
      </c>
      <c r="H53" s="4"/>
      <c r="I53" s="4"/>
      <c r="J53" s="4"/>
      <c r="K53" s="4"/>
      <c r="L53" s="4"/>
    </row>
    <row r="54" spans="1:12" ht="18" customHeight="1" x14ac:dyDescent="0.25">
      <c r="A54" s="20">
        <v>3</v>
      </c>
      <c r="B54" s="20" t="s">
        <v>100</v>
      </c>
      <c r="C54" s="20" t="s">
        <v>101</v>
      </c>
      <c r="D54" s="21">
        <v>1</v>
      </c>
      <c r="E54" s="24">
        <v>60</v>
      </c>
      <c r="F54" s="25">
        <v>0</v>
      </c>
      <c r="G54" s="23">
        <f t="shared" si="4"/>
        <v>60</v>
      </c>
      <c r="H54" s="4"/>
      <c r="I54" s="4"/>
      <c r="J54" s="4"/>
      <c r="K54" s="4"/>
      <c r="L54" s="4"/>
    </row>
    <row r="55" spans="1:12" ht="18" customHeight="1" x14ac:dyDescent="0.25">
      <c r="A55" s="20"/>
      <c r="B55" s="20"/>
      <c r="C55" s="20"/>
      <c r="D55" s="21"/>
      <c r="E55" s="24"/>
      <c r="F55" s="25"/>
      <c r="G55" s="23" t="str">
        <f t="shared" si="4"/>
        <v/>
      </c>
      <c r="H55" s="4"/>
      <c r="I55" s="4"/>
      <c r="J55" s="4"/>
      <c r="K55" s="4"/>
      <c r="L55" s="4"/>
    </row>
    <row r="56" spans="1:12" ht="18" customHeight="1" x14ac:dyDescent="0.25">
      <c r="A56" s="20"/>
      <c r="B56" s="20"/>
      <c r="C56" s="20"/>
      <c r="D56" s="21"/>
      <c r="E56" s="24"/>
      <c r="F56" s="25"/>
      <c r="G56" s="23" t="str">
        <f t="shared" si="4"/>
        <v/>
      </c>
      <c r="H56" s="4"/>
      <c r="I56" s="4"/>
      <c r="J56" s="4"/>
      <c r="K56" s="4"/>
      <c r="L56" s="4"/>
    </row>
    <row r="57" spans="1:12" ht="18" customHeight="1" x14ac:dyDescent="0.25">
      <c r="A57" s="20"/>
      <c r="B57" s="20"/>
      <c r="C57" s="20"/>
      <c r="D57" s="21"/>
      <c r="E57" s="24"/>
      <c r="F57" s="25"/>
      <c r="G57" s="23" t="str">
        <f t="shared" si="4"/>
        <v/>
      </c>
      <c r="H57" s="4"/>
      <c r="I57" s="4"/>
      <c r="J57" s="4"/>
      <c r="K57" s="4"/>
      <c r="L57" s="4"/>
    </row>
    <row r="58" spans="1:12" ht="18" customHeight="1" x14ac:dyDescent="0.25">
      <c r="A58" s="20"/>
      <c r="B58" s="20"/>
      <c r="C58" s="20"/>
      <c r="D58" s="21"/>
      <c r="E58" s="24"/>
      <c r="F58" s="25"/>
      <c r="G58" s="23" t="str">
        <f t="shared" si="4"/>
        <v/>
      </c>
      <c r="H58" s="4"/>
      <c r="I58" s="4"/>
      <c r="J58" s="4"/>
      <c r="K58" s="4"/>
      <c r="L58" s="4"/>
    </row>
    <row r="59" spans="1:12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32.1" customHeight="1" x14ac:dyDescent="0.25">
      <c r="A61" s="28" t="s">
        <v>102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32.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32.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23">
    <mergeCell ref="A50:G50"/>
    <mergeCell ref="A61:L63"/>
    <mergeCell ref="E4:F4"/>
    <mergeCell ref="E5:F5"/>
    <mergeCell ref="E6:F6"/>
    <mergeCell ref="E7:F7"/>
    <mergeCell ref="E8:F8"/>
    <mergeCell ref="E9:F9"/>
    <mergeCell ref="E10:F10"/>
    <mergeCell ref="E11:F11"/>
    <mergeCell ref="H4:I4"/>
    <mergeCell ref="H5:I5"/>
    <mergeCell ref="H6:I6"/>
    <mergeCell ref="H7:I7"/>
    <mergeCell ref="H8:I8"/>
    <mergeCell ref="H9:I9"/>
    <mergeCell ref="A12:J12"/>
    <mergeCell ref="A28:I28"/>
    <mergeCell ref="A42:H42"/>
    <mergeCell ref="H10:I10"/>
    <mergeCell ref="H11:I11"/>
    <mergeCell ref="E3:J3"/>
    <mergeCell ref="A1:J1"/>
  </mergeCells>
  <dataValidations count="3">
    <dataValidation type="list" sqref="D14:D25" xr:uid="{00000000-0002-0000-0000-000000000000}">
      <formula1>"Meister,Fachkraft,Helfer,Azubi"</formula1>
    </dataValidation>
    <dataValidation type="list" sqref="D4" xr:uid="{00000000-0002-0000-0000-000001000000}">
      <formula1>"0,0.07,0.19"</formula1>
    </dataValidation>
    <dataValidation type="list" sqref="C30:C39" xr:uid="{00000000-0002-0000-0000-000002000000}">
      <formula1>"Material,Verbrauch,Werkzeug,Sonstiges"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workbookViewId="0">
      <selection sqref="A1:XFD1048576"/>
    </sheetView>
  </sheetViews>
  <sheetFormatPr baseColWidth="10" defaultColWidth="9" defaultRowHeight="15" x14ac:dyDescent="0.25"/>
  <cols>
    <col min="1" max="1" width="28" style="3" customWidth="1"/>
    <col min="2" max="2" width="14" style="3" customWidth="1"/>
    <col min="3" max="3" width="18" style="3" customWidth="1"/>
    <col min="4" max="4" width="17" style="3" customWidth="1"/>
    <col min="5" max="5" width="22" style="3" customWidth="1"/>
    <col min="6" max="7" width="20" style="3" customWidth="1"/>
    <col min="8" max="8" width="22" style="3" customWidth="1"/>
    <col min="9" max="16384" width="9" style="3"/>
  </cols>
  <sheetData>
    <row r="1" spans="1:12" ht="27.95" customHeight="1" x14ac:dyDescent="0.25">
      <c r="A1" s="1" t="s">
        <v>103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</row>
    <row r="2" spans="1:12" ht="8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.95" customHeight="1" x14ac:dyDescent="0.25">
      <c r="A3" s="5" t="s">
        <v>104</v>
      </c>
      <c r="B3" s="5"/>
      <c r="C3" s="4"/>
      <c r="D3" s="5" t="s">
        <v>105</v>
      </c>
      <c r="E3" s="5" t="s">
        <v>106</v>
      </c>
      <c r="F3" s="4"/>
      <c r="G3" s="4"/>
      <c r="H3" s="4"/>
      <c r="I3" s="4"/>
      <c r="J3" s="4"/>
      <c r="K3" s="4"/>
      <c r="L3" s="4"/>
    </row>
    <row r="4" spans="1:12" ht="18" customHeight="1" x14ac:dyDescent="0.25">
      <c r="A4" s="29" t="s">
        <v>107</v>
      </c>
      <c r="B4" s="20">
        <v>252</v>
      </c>
      <c r="C4" s="4"/>
      <c r="D4" s="29" t="s">
        <v>108</v>
      </c>
      <c r="E4" s="24">
        <v>18000</v>
      </c>
      <c r="F4" s="4"/>
      <c r="G4" s="4"/>
      <c r="H4" s="4"/>
      <c r="I4" s="4"/>
      <c r="J4" s="4"/>
      <c r="K4" s="4"/>
      <c r="L4" s="4"/>
    </row>
    <row r="5" spans="1:12" ht="18" customHeight="1" x14ac:dyDescent="0.25">
      <c r="A5" s="29" t="s">
        <v>109</v>
      </c>
      <c r="B5" s="20">
        <v>28</v>
      </c>
      <c r="C5" s="4"/>
      <c r="D5" s="29" t="s">
        <v>110</v>
      </c>
      <c r="E5" s="24">
        <v>11500</v>
      </c>
      <c r="F5" s="4"/>
      <c r="G5" s="4"/>
      <c r="H5" s="4"/>
      <c r="I5" s="4"/>
      <c r="J5" s="4"/>
      <c r="K5" s="4"/>
      <c r="L5" s="4"/>
    </row>
    <row r="6" spans="1:12" ht="18" customHeight="1" x14ac:dyDescent="0.25">
      <c r="A6" s="29" t="s">
        <v>111</v>
      </c>
      <c r="B6" s="20">
        <v>10</v>
      </c>
      <c r="C6" s="4"/>
      <c r="D6" s="29" t="s">
        <v>112</v>
      </c>
      <c r="E6" s="24">
        <v>5400</v>
      </c>
      <c r="F6" s="4"/>
      <c r="G6" s="4"/>
      <c r="H6" s="4"/>
      <c r="I6" s="4"/>
      <c r="J6" s="4"/>
      <c r="K6" s="4"/>
      <c r="L6" s="4"/>
    </row>
    <row r="7" spans="1:12" ht="18" customHeight="1" x14ac:dyDescent="0.25">
      <c r="A7" s="29" t="s">
        <v>113</v>
      </c>
      <c r="B7" s="20">
        <v>14</v>
      </c>
      <c r="C7" s="4"/>
      <c r="D7" s="29" t="s">
        <v>114</v>
      </c>
      <c r="E7" s="24">
        <v>4200</v>
      </c>
      <c r="F7" s="4"/>
      <c r="G7" s="4"/>
      <c r="H7" s="4"/>
      <c r="I7" s="4"/>
      <c r="J7" s="4"/>
      <c r="K7" s="4"/>
      <c r="L7" s="4"/>
    </row>
    <row r="8" spans="1:12" ht="18" customHeight="1" x14ac:dyDescent="0.25">
      <c r="A8" s="29" t="s">
        <v>115</v>
      </c>
      <c r="B8" s="25">
        <v>0.74</v>
      </c>
      <c r="C8" s="4"/>
      <c r="D8" s="29" t="s">
        <v>116</v>
      </c>
      <c r="E8" s="24">
        <v>6500</v>
      </c>
      <c r="F8" s="4"/>
      <c r="G8" s="4"/>
      <c r="H8" s="4"/>
      <c r="I8" s="4"/>
      <c r="J8" s="4"/>
      <c r="K8" s="4"/>
      <c r="L8" s="4"/>
    </row>
    <row r="9" spans="1:12" ht="18" customHeight="1" x14ac:dyDescent="0.25">
      <c r="A9" s="29" t="s">
        <v>117</v>
      </c>
      <c r="B9" s="20">
        <v>8</v>
      </c>
      <c r="C9" s="4"/>
      <c r="D9" s="29" t="s">
        <v>118</v>
      </c>
      <c r="E9" s="24">
        <v>9800</v>
      </c>
      <c r="F9" s="4"/>
      <c r="G9" s="4"/>
      <c r="H9" s="4"/>
      <c r="I9" s="4"/>
      <c r="J9" s="4"/>
      <c r="K9" s="4"/>
      <c r="L9" s="4"/>
    </row>
    <row r="10" spans="1:12" ht="18" customHeight="1" x14ac:dyDescent="0.25">
      <c r="A10" s="29" t="s">
        <v>119</v>
      </c>
      <c r="B10" s="30">
        <f>B4-B5-B6-B7</f>
        <v>200</v>
      </c>
      <c r="C10" s="4"/>
      <c r="D10" s="29" t="s">
        <v>120</v>
      </c>
      <c r="E10" s="24">
        <v>7400</v>
      </c>
      <c r="F10" s="4"/>
      <c r="G10" s="4"/>
      <c r="H10" s="4"/>
      <c r="I10" s="4"/>
      <c r="J10" s="4"/>
      <c r="K10" s="4"/>
      <c r="L10" s="4"/>
    </row>
    <row r="11" spans="1:12" ht="18" customHeight="1" x14ac:dyDescent="0.25">
      <c r="A11" s="29" t="s">
        <v>121</v>
      </c>
      <c r="B11" s="30">
        <f>B10*B9*B8</f>
        <v>1184</v>
      </c>
      <c r="C11" s="4"/>
      <c r="D11" s="29" t="s">
        <v>122</v>
      </c>
      <c r="E11" s="24">
        <v>3600</v>
      </c>
      <c r="F11" s="4"/>
      <c r="G11" s="4"/>
      <c r="H11" s="4"/>
      <c r="I11" s="4"/>
      <c r="J11" s="4"/>
      <c r="K11" s="4"/>
      <c r="L11" s="4"/>
    </row>
    <row r="12" spans="1:12" ht="18" customHeight="1" x14ac:dyDescent="0.25">
      <c r="A12" s="29" t="s">
        <v>123</v>
      </c>
      <c r="B12" s="25">
        <v>0.05</v>
      </c>
      <c r="C12" s="4"/>
      <c r="D12" s="29" t="s">
        <v>124</v>
      </c>
      <c r="E12" s="31">
        <f>SUM(E4:E11)</f>
        <v>66400</v>
      </c>
      <c r="F12" s="4"/>
      <c r="G12" s="4"/>
      <c r="H12" s="4"/>
      <c r="I12" s="4"/>
      <c r="J12" s="4"/>
      <c r="K12" s="4"/>
      <c r="L12" s="4"/>
    </row>
    <row r="13" spans="1:12" ht="18" customHeight="1" x14ac:dyDescent="0.25">
      <c r="A13" s="29" t="s">
        <v>125</v>
      </c>
      <c r="B13" s="25">
        <v>0.12</v>
      </c>
      <c r="C13" s="4"/>
      <c r="D13" s="29" t="s">
        <v>126</v>
      </c>
      <c r="E13" s="32">
        <f>SUM(F19:F22)</f>
        <v>4736</v>
      </c>
      <c r="F13" s="4"/>
      <c r="G13" s="4"/>
      <c r="H13" s="4"/>
      <c r="I13" s="4"/>
      <c r="J13" s="4"/>
      <c r="K13" s="4"/>
      <c r="L13" s="4"/>
    </row>
    <row r="14" spans="1:12" ht="18" customHeight="1" x14ac:dyDescent="0.25">
      <c r="A14" s="4"/>
      <c r="B14" s="4"/>
      <c r="C14" s="4"/>
      <c r="D14" s="29" t="s">
        <v>127</v>
      </c>
      <c r="E14" s="31">
        <f>IF(E13=0,0,E12/E13)</f>
        <v>14.02027027027027</v>
      </c>
      <c r="F14" s="4"/>
      <c r="G14" s="4"/>
      <c r="H14" s="4"/>
      <c r="I14" s="4"/>
      <c r="J14" s="4"/>
      <c r="K14" s="4"/>
      <c r="L14" s="4"/>
    </row>
    <row r="15" spans="1:12" ht="18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8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8" customHeight="1" x14ac:dyDescent="0.25">
      <c r="A17" s="18" t="s">
        <v>128</v>
      </c>
      <c r="B17" s="2"/>
      <c r="C17" s="2"/>
      <c r="D17" s="2"/>
      <c r="E17" s="2"/>
      <c r="F17" s="2"/>
      <c r="G17" s="2"/>
      <c r="H17" s="2"/>
      <c r="I17" s="4"/>
      <c r="J17" s="4"/>
      <c r="K17" s="4"/>
      <c r="L17" s="4"/>
    </row>
    <row r="18" spans="1:12" ht="18" customHeight="1" x14ac:dyDescent="0.25">
      <c r="A18" s="19" t="s">
        <v>43</v>
      </c>
      <c r="B18" s="19" t="s">
        <v>129</v>
      </c>
      <c r="C18" s="19" t="s">
        <v>130</v>
      </c>
      <c r="D18" s="19" t="s">
        <v>131</v>
      </c>
      <c r="E18" s="19" t="s">
        <v>132</v>
      </c>
      <c r="F18" s="19" t="s">
        <v>133</v>
      </c>
      <c r="G18" s="19" t="s">
        <v>134</v>
      </c>
      <c r="H18" s="19" t="s">
        <v>135</v>
      </c>
      <c r="I18" s="4"/>
      <c r="J18" s="4"/>
      <c r="K18" s="4"/>
      <c r="L18" s="4"/>
    </row>
    <row r="19" spans="1:12" ht="18" customHeight="1" x14ac:dyDescent="0.25">
      <c r="A19" s="20" t="s">
        <v>52</v>
      </c>
      <c r="B19" s="33">
        <v>1</v>
      </c>
      <c r="C19" s="24">
        <v>62000</v>
      </c>
      <c r="D19" s="25">
        <v>0.23</v>
      </c>
      <c r="E19" s="24">
        <v>3500</v>
      </c>
      <c r="F19" s="22">
        <f>B19*$B$11</f>
        <v>1184</v>
      </c>
      <c r="G19" s="23">
        <f>IF(F19=0,0,(B19*C19*(1+D19)+B19*E19)/F19)</f>
        <v>67.36486486486487</v>
      </c>
      <c r="H19" s="23">
        <f>IF(F19=0,0,(G19+$E$14)*(1+$B$12+$B$13))</f>
        <v>95.220608108108109</v>
      </c>
      <c r="I19" s="4"/>
      <c r="J19" s="4"/>
      <c r="K19" s="4"/>
      <c r="L19" s="4"/>
    </row>
    <row r="20" spans="1:12" ht="18" customHeight="1" x14ac:dyDescent="0.25">
      <c r="A20" s="20" t="s">
        <v>56</v>
      </c>
      <c r="B20" s="33">
        <v>2</v>
      </c>
      <c r="C20" s="24">
        <v>45500</v>
      </c>
      <c r="D20" s="25">
        <v>0.23</v>
      </c>
      <c r="E20" s="24">
        <v>2500</v>
      </c>
      <c r="F20" s="22">
        <f>B20*$B$11</f>
        <v>2368</v>
      </c>
      <c r="G20" s="23">
        <f>IF(F20=0,0,(B20*C20*(1+D20)+B20*E20)/F20)</f>
        <v>49.379222972972975</v>
      </c>
      <c r="H20" s="23">
        <f>IF(F20=0,0,(G20+$E$14)*(1+$B$12+$B$13))</f>
        <v>74.177407094594585</v>
      </c>
      <c r="I20" s="4"/>
      <c r="J20" s="4"/>
      <c r="K20" s="4"/>
      <c r="L20" s="4"/>
    </row>
    <row r="21" spans="1:12" ht="18" customHeight="1" x14ac:dyDescent="0.25">
      <c r="A21" s="20" t="s">
        <v>59</v>
      </c>
      <c r="B21" s="33">
        <v>1</v>
      </c>
      <c r="C21" s="24">
        <v>33000</v>
      </c>
      <c r="D21" s="25">
        <v>0.23</v>
      </c>
      <c r="E21" s="24">
        <v>1800</v>
      </c>
      <c r="F21" s="22">
        <f>B21*$B$11</f>
        <v>1184</v>
      </c>
      <c r="G21" s="23">
        <f>IF(F21=0,0,(B21*C21*(1+D21)+B21*E21)/F21)</f>
        <v>35.802364864864863</v>
      </c>
      <c r="H21" s="23">
        <f>IF(F21=0,0,(G21+$E$14)*(1+$B$12+$B$13))</f>
        <v>58.292483108108101</v>
      </c>
      <c r="I21" s="4"/>
      <c r="J21" s="4"/>
      <c r="K21" s="4"/>
      <c r="L21" s="4"/>
    </row>
    <row r="22" spans="1:12" ht="18" customHeight="1" x14ac:dyDescent="0.25">
      <c r="A22" s="20" t="s">
        <v>136</v>
      </c>
      <c r="B22" s="33">
        <v>0</v>
      </c>
      <c r="C22" s="24">
        <v>14000</v>
      </c>
      <c r="D22" s="25">
        <v>0.2</v>
      </c>
      <c r="E22" s="24">
        <v>800</v>
      </c>
      <c r="F22" s="22">
        <f>B22*$B$11</f>
        <v>0</v>
      </c>
      <c r="G22" s="23">
        <f>IF(F22=0,0,(B22*C22*(1+D22)+B22*E22)/F22)</f>
        <v>0</v>
      </c>
      <c r="H22" s="23">
        <f>IF(F22=0,0,(G22+$E$14)*(1+$B$12+$B$13))</f>
        <v>0</v>
      </c>
      <c r="I22" s="4"/>
      <c r="J22" s="4"/>
      <c r="K22" s="4"/>
      <c r="L22" s="4"/>
    </row>
    <row r="23" spans="1:12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2.1" customHeight="1" x14ac:dyDescent="0.25">
      <c r="A25" s="28" t="s">
        <v>137</v>
      </c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</row>
    <row r="26" spans="1:12" ht="32.1" customHeight="1" x14ac:dyDescent="0.25">
      <c r="A26" s="2"/>
      <c r="B26" s="2"/>
      <c r="C26" s="2"/>
      <c r="D26" s="2"/>
      <c r="E26" s="2"/>
      <c r="F26" s="2"/>
      <c r="G26" s="2"/>
      <c r="H26" s="2"/>
      <c r="I26" s="4"/>
      <c r="J26" s="4"/>
      <c r="K26" s="4"/>
      <c r="L26" s="4"/>
    </row>
    <row r="27" spans="1:12" ht="32.1" customHeight="1" x14ac:dyDescent="0.25">
      <c r="A27" s="2"/>
      <c r="B27" s="2"/>
      <c r="C27" s="2"/>
      <c r="D27" s="2"/>
      <c r="E27" s="2"/>
      <c r="F27" s="2"/>
      <c r="G27" s="2"/>
      <c r="H27" s="2"/>
      <c r="I27" s="4"/>
      <c r="J27" s="4"/>
      <c r="K27" s="4"/>
      <c r="L27" s="4"/>
    </row>
    <row r="28" spans="1:12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3">
    <mergeCell ref="A1:H1"/>
    <mergeCell ref="A17:H17"/>
    <mergeCell ref="A25:H2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0"/>
  <sheetViews>
    <sheetView workbookViewId="0">
      <selection sqref="A1:XFD1048576"/>
    </sheetView>
  </sheetViews>
  <sheetFormatPr baseColWidth="10" defaultColWidth="9" defaultRowHeight="15" x14ac:dyDescent="0.25"/>
  <cols>
    <col min="1" max="1" width="24" style="3" customWidth="1"/>
    <col min="2" max="6" width="16" style="3" customWidth="1"/>
    <col min="7" max="7" width="34" style="3" customWidth="1"/>
    <col min="8" max="8" width="16" style="3" customWidth="1"/>
    <col min="9" max="16384" width="9" style="3"/>
  </cols>
  <sheetData>
    <row r="1" spans="1:12" ht="27.95" customHeight="1" x14ac:dyDescent="0.25">
      <c r="A1" s="1" t="s">
        <v>138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</row>
    <row r="2" spans="1:12" ht="8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.95" customHeight="1" x14ac:dyDescent="0.25">
      <c r="A3" s="18" t="s">
        <v>139</v>
      </c>
      <c r="B3" s="2"/>
      <c r="C3" s="2"/>
      <c r="D3" s="2"/>
      <c r="E3" s="2"/>
      <c r="F3" s="2"/>
      <c r="G3" s="2"/>
      <c r="H3" s="4"/>
      <c r="I3" s="4"/>
      <c r="J3" s="4"/>
      <c r="K3" s="4"/>
      <c r="L3" s="4"/>
    </row>
    <row r="4" spans="1:12" ht="18" customHeight="1" x14ac:dyDescent="0.25">
      <c r="A4" s="19" t="s">
        <v>140</v>
      </c>
      <c r="B4" s="19" t="s">
        <v>141</v>
      </c>
      <c r="C4" s="19" t="s">
        <v>142</v>
      </c>
      <c r="D4" s="19" t="s">
        <v>143</v>
      </c>
      <c r="E4" s="19" t="s">
        <v>144</v>
      </c>
      <c r="F4" s="19" t="s">
        <v>145</v>
      </c>
      <c r="G4" s="19" t="s">
        <v>33</v>
      </c>
      <c r="H4" s="4"/>
      <c r="I4" s="4"/>
      <c r="J4" s="4"/>
      <c r="K4" s="4"/>
      <c r="L4" s="4"/>
    </row>
    <row r="5" spans="1:12" ht="18" customHeight="1" x14ac:dyDescent="0.25">
      <c r="A5" s="29" t="s">
        <v>146</v>
      </c>
      <c r="B5" s="23">
        <f>'Kalkulation 2026'!G5</f>
        <v>2521.5328124999996</v>
      </c>
      <c r="C5" s="23">
        <f>SUM(F15:F18)</f>
        <v>2479.1030194256755</v>
      </c>
      <c r="D5" s="34">
        <f t="shared" ref="D5:D10" si="0">C5-B5</f>
        <v>-42.429793074324152</v>
      </c>
      <c r="E5" s="35">
        <f t="shared" ref="E5:E10" si="1">IF(B5=0,0,D5/B5)</f>
        <v>-1.6826984310490373E-2</v>
      </c>
      <c r="F5" s="36" t="str">
        <f t="shared" ref="F5:F10" si="2">IF(D5&lt;=0,"OK",IF(E5&lt;=0.05,"prüfen","kritisch"))</f>
        <v>OK</v>
      </c>
      <c r="G5" s="4" t="s">
        <v>147</v>
      </c>
      <c r="H5" s="4"/>
      <c r="I5" s="4"/>
      <c r="J5" s="4"/>
      <c r="K5" s="4"/>
      <c r="L5" s="4"/>
    </row>
    <row r="6" spans="1:12" ht="18" customHeight="1" x14ac:dyDescent="0.25">
      <c r="A6" s="29" t="s">
        <v>71</v>
      </c>
      <c r="B6" s="23">
        <f>'Kalkulation 2026'!G6</f>
        <v>209.15</v>
      </c>
      <c r="C6" s="24">
        <v>112.5</v>
      </c>
      <c r="D6" s="34">
        <f t="shared" si="0"/>
        <v>-96.65</v>
      </c>
      <c r="E6" s="35">
        <f t="shared" si="1"/>
        <v>-0.46210853454458523</v>
      </c>
      <c r="F6" s="36" t="str">
        <f t="shared" si="2"/>
        <v>OK</v>
      </c>
      <c r="G6" s="4" t="s">
        <v>148</v>
      </c>
      <c r="H6" s="4"/>
      <c r="I6" s="4"/>
      <c r="J6" s="4"/>
      <c r="K6" s="4"/>
      <c r="L6" s="4"/>
    </row>
    <row r="7" spans="1:12" ht="18" customHeight="1" x14ac:dyDescent="0.25">
      <c r="A7" s="29" t="s">
        <v>149</v>
      </c>
      <c r="B7" s="23">
        <f>'Kalkulation 2026'!G7</f>
        <v>271.96000000000004</v>
      </c>
      <c r="C7" s="24">
        <v>180</v>
      </c>
      <c r="D7" s="34">
        <f t="shared" si="0"/>
        <v>-91.960000000000036</v>
      </c>
      <c r="E7" s="35">
        <f t="shared" si="1"/>
        <v>-0.33813796146492142</v>
      </c>
      <c r="F7" s="36" t="str">
        <f t="shared" si="2"/>
        <v>OK</v>
      </c>
      <c r="G7" s="4" t="s">
        <v>148</v>
      </c>
      <c r="H7" s="4"/>
      <c r="I7" s="4"/>
      <c r="J7" s="4"/>
      <c r="K7" s="4"/>
      <c r="L7" s="4"/>
    </row>
    <row r="8" spans="1:12" ht="18" customHeight="1" x14ac:dyDescent="0.25">
      <c r="A8" s="29" t="s">
        <v>150</v>
      </c>
      <c r="B8" s="23">
        <f>'Kalkulation 2026'!G8</f>
        <v>289.75</v>
      </c>
      <c r="C8" s="24">
        <v>284</v>
      </c>
      <c r="D8" s="34">
        <f t="shared" si="0"/>
        <v>-5.75</v>
      </c>
      <c r="E8" s="35">
        <f t="shared" si="1"/>
        <v>-1.9844693701466781E-2</v>
      </c>
      <c r="F8" s="36" t="str">
        <f t="shared" si="2"/>
        <v>OK</v>
      </c>
      <c r="G8" s="4" t="s">
        <v>148</v>
      </c>
      <c r="H8" s="4"/>
      <c r="I8" s="4"/>
      <c r="J8" s="4"/>
      <c r="K8" s="4"/>
      <c r="L8" s="4"/>
    </row>
    <row r="9" spans="1:12" ht="18" customHeight="1" x14ac:dyDescent="0.25">
      <c r="A9" s="29" t="s">
        <v>151</v>
      </c>
      <c r="B9" s="23">
        <f>'Kalkulation 2026'!G10+'Kalkulation 2026'!G11+'Kalkulation 2026'!J5</f>
        <v>463.30551657500001</v>
      </c>
      <c r="C9" s="23">
        <f>B9</f>
        <v>463.30551657500001</v>
      </c>
      <c r="D9" s="34">
        <f t="shared" si="0"/>
        <v>0</v>
      </c>
      <c r="E9" s="35">
        <f t="shared" si="1"/>
        <v>0</v>
      </c>
      <c r="F9" s="36" t="str">
        <f t="shared" si="2"/>
        <v>OK</v>
      </c>
      <c r="G9" s="4" t="s">
        <v>152</v>
      </c>
      <c r="H9" s="4"/>
      <c r="I9" s="4"/>
      <c r="J9" s="4"/>
      <c r="K9" s="4"/>
      <c r="L9" s="4"/>
    </row>
    <row r="10" spans="1:12" ht="18" customHeight="1" x14ac:dyDescent="0.25">
      <c r="A10" s="29" t="s">
        <v>153</v>
      </c>
      <c r="B10" s="23">
        <f>SUM(B5:B9)</f>
        <v>3755.6983290749999</v>
      </c>
      <c r="C10" s="23">
        <f>SUM(C5:C9)</f>
        <v>3518.9085360006757</v>
      </c>
      <c r="D10" s="34">
        <f t="shared" si="0"/>
        <v>-236.78979307432428</v>
      </c>
      <c r="E10" s="35">
        <f t="shared" si="1"/>
        <v>-6.3048139740404505E-2</v>
      </c>
      <c r="F10" s="36" t="str">
        <f t="shared" si="2"/>
        <v>OK</v>
      </c>
      <c r="G10" s="4" t="s">
        <v>154</v>
      </c>
      <c r="H10" s="4"/>
      <c r="I10" s="4"/>
      <c r="J10" s="4"/>
      <c r="K10" s="4"/>
      <c r="L10" s="4"/>
    </row>
    <row r="11" spans="1:12" ht="18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8" customHeight="1" x14ac:dyDescent="0.25">
      <c r="A13" s="18" t="s">
        <v>155</v>
      </c>
      <c r="B13" s="2"/>
      <c r="C13" s="2"/>
      <c r="D13" s="2"/>
      <c r="E13" s="2"/>
      <c r="F13" s="2"/>
      <c r="G13" s="2"/>
      <c r="H13" s="4"/>
      <c r="I13" s="4"/>
      <c r="J13" s="4"/>
      <c r="K13" s="4"/>
      <c r="L13" s="4"/>
    </row>
    <row r="14" spans="1:12" ht="18" customHeight="1" x14ac:dyDescent="0.25">
      <c r="A14" s="19" t="s">
        <v>43</v>
      </c>
      <c r="B14" s="19" t="s">
        <v>156</v>
      </c>
      <c r="C14" s="19" t="s">
        <v>157</v>
      </c>
      <c r="D14" s="19" t="s">
        <v>158</v>
      </c>
      <c r="E14" s="19" t="s">
        <v>48</v>
      </c>
      <c r="F14" s="19" t="s">
        <v>159</v>
      </c>
      <c r="G14" s="19" t="s">
        <v>160</v>
      </c>
      <c r="H14" s="4"/>
      <c r="I14" s="4"/>
      <c r="J14" s="4"/>
      <c r="K14" s="4"/>
      <c r="L14" s="4"/>
    </row>
    <row r="15" spans="1:12" ht="18" customHeight="1" x14ac:dyDescent="0.25">
      <c r="A15" s="20" t="s">
        <v>52</v>
      </c>
      <c r="B15" s="22">
        <f>SUMIF('Kalkulation 2026'!$D$14:$D$25,A15,'Kalkulation 2026'!$H$14:$H$25)</f>
        <v>4</v>
      </c>
      <c r="C15" s="37">
        <v>4.25</v>
      </c>
      <c r="D15" s="22">
        <f>C15-B15</f>
        <v>0.25</v>
      </c>
      <c r="E15" s="23">
        <f>IFERROR(VLOOKUP(A15,'Stundensatz 2026'!$A$19:$H$22,8,FALSE),0)</f>
        <v>95.220608108108109</v>
      </c>
      <c r="F15" s="23">
        <f>C15*E15</f>
        <v>404.68758445945946</v>
      </c>
      <c r="G15" s="20" t="s">
        <v>161</v>
      </c>
      <c r="H15" s="4"/>
      <c r="I15" s="4"/>
      <c r="J15" s="4"/>
      <c r="K15" s="4"/>
      <c r="L15" s="4"/>
    </row>
    <row r="16" spans="1:12" ht="18" customHeight="1" x14ac:dyDescent="0.25">
      <c r="A16" s="20" t="s">
        <v>56</v>
      </c>
      <c r="B16" s="22">
        <f>SUMIF('Kalkulation 2026'!$D$14:$D$25,A16,'Kalkulation 2026'!$H$14:$H$25)</f>
        <v>21</v>
      </c>
      <c r="C16" s="37">
        <v>20.5</v>
      </c>
      <c r="D16" s="22">
        <f>C16-B16</f>
        <v>-0.5</v>
      </c>
      <c r="E16" s="23">
        <f>IFERROR(VLOOKUP(A16,'Stundensatz 2026'!$A$19:$H$22,8,FALSE),0)</f>
        <v>74.177407094594585</v>
      </c>
      <c r="F16" s="23">
        <f>C16*E16</f>
        <v>1520.6368454391891</v>
      </c>
      <c r="G16" s="20" t="s">
        <v>162</v>
      </c>
      <c r="H16" s="4"/>
      <c r="I16" s="4"/>
      <c r="J16" s="4"/>
      <c r="K16" s="4"/>
      <c r="L16" s="4"/>
    </row>
    <row r="17" spans="1:12" ht="18" customHeight="1" x14ac:dyDescent="0.25">
      <c r="A17" s="20" t="s">
        <v>59</v>
      </c>
      <c r="B17" s="22">
        <f>SUMIF('Kalkulation 2026'!$D$14:$D$25,A17,'Kalkulation 2026'!$H$14:$H$25)</f>
        <v>10</v>
      </c>
      <c r="C17" s="37">
        <v>9.5</v>
      </c>
      <c r="D17" s="22">
        <f>C17-B17</f>
        <v>-0.5</v>
      </c>
      <c r="E17" s="23">
        <f>IFERROR(VLOOKUP(A17,'Stundensatz 2026'!$A$19:$H$22,8,FALSE),0)</f>
        <v>58.292483108108101</v>
      </c>
      <c r="F17" s="23">
        <f>C17*E17</f>
        <v>553.77858952702695</v>
      </c>
      <c r="G17" s="20" t="s">
        <v>163</v>
      </c>
      <c r="H17" s="4"/>
      <c r="I17" s="4"/>
      <c r="J17" s="4"/>
      <c r="K17" s="4"/>
      <c r="L17" s="4"/>
    </row>
    <row r="18" spans="1:12" ht="18" customHeight="1" x14ac:dyDescent="0.25">
      <c r="A18" s="20" t="s">
        <v>136</v>
      </c>
      <c r="B18" s="22">
        <f>SUMIF('Kalkulation 2026'!$D$14:$D$25,A18,'Kalkulation 2026'!$H$14:$H$25)</f>
        <v>0</v>
      </c>
      <c r="C18" s="37">
        <v>0</v>
      </c>
      <c r="D18" s="22">
        <f>C18-B18</f>
        <v>0</v>
      </c>
      <c r="E18" s="23">
        <f>IFERROR(VLOOKUP(A18,'Stundensatz 2026'!$A$19:$H$22,8,FALSE),0)</f>
        <v>0</v>
      </c>
      <c r="F18" s="23">
        <f>C18*E18</f>
        <v>0</v>
      </c>
      <c r="G18" s="20"/>
      <c r="H18" s="4"/>
      <c r="I18" s="4"/>
      <c r="J18" s="4"/>
      <c r="K18" s="4"/>
      <c r="L18" s="4"/>
    </row>
    <row r="19" spans="1:12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3">
    <mergeCell ref="A1:H1"/>
    <mergeCell ref="A3:G3"/>
    <mergeCell ref="A13:G13"/>
  </mergeCells>
  <conditionalFormatting sqref="F5:F10">
    <cfRule type="expression" dxfId="78" priority="3">
      <formula>F5="kritisch"</formula>
    </cfRule>
    <cfRule type="expression" dxfId="77" priority="4">
      <formula>F5="OK"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 2026</vt:lpstr>
      <vt:lpstr>Stundensatz 2026</vt:lpstr>
      <vt:lpstr>Nachkalkulation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2026-06-02T14:23:15Z</dcterms:modified>
</cp:coreProperties>
</file>