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779AA170-E76B-4F7E-BD4C-FB25D1B6DAD1}" xr6:coauthVersionLast="47" xr6:coauthVersionMax="47" xr10:uidLastSave="{00000000-0000-0000-0000-000000000000}"/>
  <bookViews>
    <workbookView xWindow="1035" yWindow="1035" windowWidth="25500" windowHeight="13500" tabRatio="500" xr2:uid="{00000000-000D-0000-FFFF-FFFF00000000}"/>
  </bookViews>
  <sheets>
    <sheet name="Jahresabschluss" sheetId="1" r:id="rId1"/>
    <sheet name="Buchungen" sheetId="2" r:id="rId2"/>
    <sheet name="Monatsübersicht" sheetId="3" r:id="rId3"/>
  </sheets>
  <definedNames>
    <definedName name="_xlnm.Print_Area" localSheetId="0">Jahresabschluss!$A$1:$I$36</definedName>
    <definedName name="_xlnm.Print_Titles" localSheetId="1">Buchungen!$1:$7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43" i="3" l="1"/>
  <c r="N40" i="3"/>
  <c r="M40" i="3"/>
  <c r="J40" i="3"/>
  <c r="I40" i="3"/>
  <c r="H40" i="3"/>
  <c r="G40" i="3"/>
  <c r="O38" i="3"/>
  <c r="N38" i="3"/>
  <c r="M38" i="3"/>
  <c r="G38" i="3"/>
  <c r="F38" i="3"/>
  <c r="E38" i="3"/>
  <c r="N33" i="3"/>
  <c r="N32" i="3"/>
  <c r="M32" i="3"/>
  <c r="L32" i="3"/>
  <c r="K32" i="3"/>
  <c r="J32" i="3"/>
  <c r="I32" i="3"/>
  <c r="H32" i="3"/>
  <c r="G32" i="3"/>
  <c r="F32" i="3"/>
  <c r="E32" i="3"/>
  <c r="O30" i="3"/>
  <c r="N30" i="3"/>
  <c r="M30" i="3"/>
  <c r="L30" i="3"/>
  <c r="K30" i="3"/>
  <c r="G30" i="3"/>
  <c r="F30" i="3"/>
  <c r="E30" i="3"/>
  <c r="D30" i="3"/>
  <c r="M29" i="3"/>
  <c r="K29" i="3"/>
  <c r="J29" i="3"/>
  <c r="I29" i="3"/>
  <c r="H29" i="3"/>
  <c r="G29" i="3"/>
  <c r="F29" i="3"/>
  <c r="E29" i="3"/>
  <c r="D29" i="3"/>
  <c r="D28" i="3"/>
  <c r="L22" i="3"/>
  <c r="K22" i="3"/>
  <c r="J22" i="3"/>
  <c r="I22" i="3"/>
  <c r="O21" i="3"/>
  <c r="N21" i="3"/>
  <c r="K21" i="3"/>
  <c r="I21" i="3"/>
  <c r="H21" i="3"/>
  <c r="G21" i="3"/>
  <c r="F21" i="3"/>
  <c r="E21" i="3"/>
  <c r="D21" i="3"/>
  <c r="O20" i="3"/>
  <c r="G16" i="3"/>
  <c r="F16" i="3"/>
  <c r="E16" i="3"/>
  <c r="G13" i="3"/>
  <c r="F13" i="3"/>
  <c r="E13" i="3"/>
  <c r="D13" i="3"/>
  <c r="O12" i="3"/>
  <c r="N12" i="3"/>
  <c r="M12" i="3"/>
  <c r="O11" i="3"/>
  <c r="N11" i="3"/>
  <c r="M11" i="3"/>
  <c r="L11" i="3"/>
  <c r="K11" i="3"/>
  <c r="J11" i="3"/>
  <c r="I11" i="3"/>
  <c r="H11" i="3"/>
  <c r="G11" i="3"/>
  <c r="F11" i="3"/>
  <c r="N10" i="3"/>
  <c r="M10" i="3"/>
  <c r="L10" i="3"/>
  <c r="K10" i="3"/>
  <c r="I10" i="3"/>
  <c r="H10" i="3"/>
  <c r="G10" i="3"/>
  <c r="F10" i="3"/>
  <c r="E10" i="3"/>
  <c r="D10" i="3"/>
  <c r="L8" i="3"/>
  <c r="K8" i="3"/>
  <c r="J8" i="3"/>
  <c r="I8" i="3"/>
  <c r="H8" i="3"/>
  <c r="G8" i="3"/>
  <c r="F8" i="3"/>
  <c r="E8" i="3"/>
  <c r="G7" i="3"/>
  <c r="E7" i="3"/>
  <c r="D7" i="3"/>
  <c r="J200" i="2"/>
  <c r="A200" i="2"/>
  <c r="J199" i="2"/>
  <c r="A199" i="2"/>
  <c r="J198" i="2"/>
  <c r="A198" i="2"/>
  <c r="J197" i="2"/>
  <c r="A197" i="2"/>
  <c r="J196" i="2"/>
  <c r="A196" i="2"/>
  <c r="J195" i="2"/>
  <c r="A195" i="2"/>
  <c r="J194" i="2"/>
  <c r="A194" i="2"/>
  <c r="J193" i="2"/>
  <c r="A193" i="2"/>
  <c r="J192" i="2"/>
  <c r="A192" i="2"/>
  <c r="J191" i="2"/>
  <c r="A191" i="2"/>
  <c r="J190" i="2"/>
  <c r="A190" i="2"/>
  <c r="J189" i="2"/>
  <c r="A189" i="2"/>
  <c r="J188" i="2"/>
  <c r="A188" i="2"/>
  <c r="J187" i="2"/>
  <c r="A187" i="2"/>
  <c r="J186" i="2"/>
  <c r="A186" i="2"/>
  <c r="J185" i="2"/>
  <c r="A185" i="2"/>
  <c r="J184" i="2"/>
  <c r="A184" i="2"/>
  <c r="J183" i="2"/>
  <c r="A183" i="2"/>
  <c r="J182" i="2"/>
  <c r="A182" i="2"/>
  <c r="J181" i="2"/>
  <c r="A181" i="2"/>
  <c r="J180" i="2"/>
  <c r="A180" i="2"/>
  <c r="J179" i="2"/>
  <c r="A179" i="2"/>
  <c r="J178" i="2"/>
  <c r="A178" i="2"/>
  <c r="J177" i="2"/>
  <c r="A177" i="2"/>
  <c r="J176" i="2"/>
  <c r="A176" i="2"/>
  <c r="J175" i="2"/>
  <c r="A175" i="2"/>
  <c r="J174" i="2"/>
  <c r="A174" i="2"/>
  <c r="J173" i="2"/>
  <c r="A173" i="2"/>
  <c r="J172" i="2"/>
  <c r="A172" i="2"/>
  <c r="J171" i="2"/>
  <c r="A171" i="2"/>
  <c r="J170" i="2"/>
  <c r="A170" i="2"/>
  <c r="J169" i="2"/>
  <c r="A169" i="2"/>
  <c r="J168" i="2"/>
  <c r="A168" i="2"/>
  <c r="J167" i="2"/>
  <c r="A167" i="2"/>
  <c r="J166" i="2"/>
  <c r="A166" i="2"/>
  <c r="J165" i="2"/>
  <c r="A165" i="2"/>
  <c r="J164" i="2"/>
  <c r="A164" i="2"/>
  <c r="J163" i="2"/>
  <c r="A163" i="2"/>
  <c r="J162" i="2"/>
  <c r="A162" i="2"/>
  <c r="J161" i="2"/>
  <c r="A161" i="2"/>
  <c r="J160" i="2"/>
  <c r="A160" i="2"/>
  <c r="J159" i="2"/>
  <c r="A159" i="2"/>
  <c r="J158" i="2"/>
  <c r="A158" i="2"/>
  <c r="J157" i="2"/>
  <c r="A157" i="2"/>
  <c r="J156" i="2"/>
  <c r="A156" i="2"/>
  <c r="J155" i="2"/>
  <c r="A155" i="2"/>
  <c r="J154" i="2"/>
  <c r="A154" i="2"/>
  <c r="J153" i="2"/>
  <c r="A153" i="2"/>
  <c r="J152" i="2"/>
  <c r="A152" i="2"/>
  <c r="J151" i="2"/>
  <c r="A151" i="2"/>
  <c r="J150" i="2"/>
  <c r="A150" i="2"/>
  <c r="J149" i="2"/>
  <c r="A149" i="2"/>
  <c r="J148" i="2"/>
  <c r="A148" i="2"/>
  <c r="J147" i="2"/>
  <c r="A147" i="2"/>
  <c r="J146" i="2"/>
  <c r="A146" i="2"/>
  <c r="J145" i="2"/>
  <c r="A145" i="2"/>
  <c r="J144" i="2"/>
  <c r="A144" i="2"/>
  <c r="J143" i="2"/>
  <c r="A143" i="2"/>
  <c r="J142" i="2"/>
  <c r="A142" i="2"/>
  <c r="J141" i="2"/>
  <c r="A141" i="2"/>
  <c r="J140" i="2"/>
  <c r="A140" i="2"/>
  <c r="J139" i="2"/>
  <c r="A139" i="2"/>
  <c r="J138" i="2"/>
  <c r="A138" i="2"/>
  <c r="J137" i="2"/>
  <c r="A137" i="2"/>
  <c r="J136" i="2"/>
  <c r="A136" i="2"/>
  <c r="J135" i="2"/>
  <c r="A135" i="2"/>
  <c r="J134" i="2"/>
  <c r="A134" i="2"/>
  <c r="J133" i="2"/>
  <c r="A133" i="2"/>
  <c r="J132" i="2"/>
  <c r="A132" i="2"/>
  <c r="J131" i="2"/>
  <c r="A131" i="2"/>
  <c r="J130" i="2"/>
  <c r="A130" i="2"/>
  <c r="J129" i="2"/>
  <c r="A129" i="2"/>
  <c r="J128" i="2"/>
  <c r="A128" i="2"/>
  <c r="J127" i="2"/>
  <c r="A127" i="2"/>
  <c r="J126" i="2"/>
  <c r="A126" i="2"/>
  <c r="J125" i="2"/>
  <c r="A125" i="2"/>
  <c r="J124" i="2"/>
  <c r="A124" i="2"/>
  <c r="J123" i="2"/>
  <c r="A123" i="2"/>
  <c r="J122" i="2"/>
  <c r="A122" i="2"/>
  <c r="J121" i="2"/>
  <c r="A121" i="2"/>
  <c r="J120" i="2"/>
  <c r="A120" i="2"/>
  <c r="J119" i="2"/>
  <c r="A119" i="2"/>
  <c r="J118" i="2"/>
  <c r="A118" i="2"/>
  <c r="J117" i="2"/>
  <c r="A117" i="2"/>
  <c r="J116" i="2"/>
  <c r="A116" i="2"/>
  <c r="J115" i="2"/>
  <c r="A115" i="2"/>
  <c r="J114" i="2"/>
  <c r="A114" i="2"/>
  <c r="J113" i="2"/>
  <c r="A113" i="2"/>
  <c r="J112" i="2"/>
  <c r="A112" i="2"/>
  <c r="J111" i="2"/>
  <c r="A111" i="2"/>
  <c r="J110" i="2"/>
  <c r="A110" i="2"/>
  <c r="J109" i="2"/>
  <c r="A109" i="2"/>
  <c r="J108" i="2"/>
  <c r="A108" i="2"/>
  <c r="J107" i="2"/>
  <c r="A107" i="2"/>
  <c r="J106" i="2"/>
  <c r="A106" i="2"/>
  <c r="J105" i="2"/>
  <c r="A105" i="2"/>
  <c r="J104" i="2"/>
  <c r="A104" i="2"/>
  <c r="J103" i="2"/>
  <c r="A103" i="2"/>
  <c r="J102" i="2"/>
  <c r="A102" i="2"/>
  <c r="J101" i="2"/>
  <c r="A101" i="2"/>
  <c r="J100" i="2"/>
  <c r="A100" i="2"/>
  <c r="J99" i="2"/>
  <c r="A99" i="2"/>
  <c r="J98" i="2"/>
  <c r="A98" i="2"/>
  <c r="J97" i="2"/>
  <c r="A97" i="2"/>
  <c r="J96" i="2"/>
  <c r="A96" i="2"/>
  <c r="J95" i="2"/>
  <c r="A95" i="2"/>
  <c r="J94" i="2"/>
  <c r="A94" i="2"/>
  <c r="J93" i="2"/>
  <c r="A93" i="2"/>
  <c r="J92" i="2"/>
  <c r="A92" i="2"/>
  <c r="J91" i="2"/>
  <c r="A91" i="2"/>
  <c r="J90" i="2"/>
  <c r="A90" i="2"/>
  <c r="J89" i="2"/>
  <c r="A89" i="2"/>
  <c r="J88" i="2"/>
  <c r="A88" i="2"/>
  <c r="J87" i="2"/>
  <c r="A87" i="2"/>
  <c r="J86" i="2"/>
  <c r="A86" i="2"/>
  <c r="J85" i="2"/>
  <c r="A85" i="2"/>
  <c r="J84" i="2"/>
  <c r="A84" i="2"/>
  <c r="J83" i="2"/>
  <c r="A83" i="2"/>
  <c r="J82" i="2"/>
  <c r="A82" i="2"/>
  <c r="J81" i="2"/>
  <c r="A81" i="2"/>
  <c r="J80" i="2"/>
  <c r="A80" i="2"/>
  <c r="J79" i="2"/>
  <c r="A79" i="2"/>
  <c r="J78" i="2"/>
  <c r="A78" i="2"/>
  <c r="J77" i="2"/>
  <c r="A77" i="2"/>
  <c r="J76" i="2"/>
  <c r="A76" i="2"/>
  <c r="J75" i="2"/>
  <c r="A75" i="2"/>
  <c r="J74" i="2"/>
  <c r="A74" i="2"/>
  <c r="J73" i="2"/>
  <c r="A73" i="2"/>
  <c r="J72" i="2"/>
  <c r="A72" i="2"/>
  <c r="J71" i="2"/>
  <c r="A71" i="2"/>
  <c r="J70" i="2"/>
  <c r="A70" i="2"/>
  <c r="J69" i="2"/>
  <c r="A69" i="2"/>
  <c r="J68" i="2"/>
  <c r="A68" i="2"/>
  <c r="J67" i="2"/>
  <c r="A67" i="2"/>
  <c r="J66" i="2"/>
  <c r="A66" i="2"/>
  <c r="J65" i="2"/>
  <c r="A65" i="2"/>
  <c r="J64" i="2"/>
  <c r="A64" i="2"/>
  <c r="J63" i="2"/>
  <c r="A63" i="2"/>
  <c r="J62" i="2"/>
  <c r="A62" i="2"/>
  <c r="J61" i="2"/>
  <c r="A61" i="2"/>
  <c r="J60" i="2"/>
  <c r="A60" i="2"/>
  <c r="J59" i="2"/>
  <c r="A59" i="2"/>
  <c r="J58" i="2"/>
  <c r="A58" i="2"/>
  <c r="J57" i="2"/>
  <c r="A57" i="2"/>
  <c r="J56" i="2"/>
  <c r="A56" i="2"/>
  <c r="J55" i="2"/>
  <c r="A55" i="2"/>
  <c r="J54" i="2"/>
  <c r="A54" i="2"/>
  <c r="J53" i="2"/>
  <c r="A53" i="2"/>
  <c r="J52" i="2"/>
  <c r="A52" i="2"/>
  <c r="J51" i="2"/>
  <c r="A51" i="2"/>
  <c r="J50" i="2"/>
  <c r="A50" i="2"/>
  <c r="J49" i="2"/>
  <c r="D8" i="3" s="1"/>
  <c r="A49" i="2"/>
  <c r="J48" i="2"/>
  <c r="A48" i="2"/>
  <c r="J47" i="2"/>
  <c r="A47" i="2"/>
  <c r="J46" i="2"/>
  <c r="A46" i="2"/>
  <c r="J45" i="2"/>
  <c r="A45" i="2"/>
  <c r="J44" i="2"/>
  <c r="A44" i="2"/>
  <c r="J43" i="2"/>
  <c r="A43" i="2"/>
  <c r="J42" i="2"/>
  <c r="A42" i="2"/>
  <c r="J41" i="2"/>
  <c r="A41" i="2"/>
  <c r="J40" i="2"/>
  <c r="A40" i="2"/>
  <c r="J39" i="2"/>
  <c r="A39" i="2"/>
  <c r="J38" i="2"/>
  <c r="J30" i="3" s="1"/>
  <c r="A38" i="2"/>
  <c r="J37" i="2"/>
  <c r="D32" i="3" s="1"/>
  <c r="A37" i="2"/>
  <c r="J36" i="2"/>
  <c r="A36" i="2"/>
  <c r="J35" i="2"/>
  <c r="A35" i="2"/>
  <c r="J34" i="2"/>
  <c r="A34" i="2"/>
  <c r="J33" i="2"/>
  <c r="A33" i="2"/>
  <c r="J32" i="2"/>
  <c r="A32" i="2"/>
  <c r="J31" i="2"/>
  <c r="A31" i="2"/>
  <c r="J30" i="2"/>
  <c r="H38" i="3" s="1"/>
  <c r="A30" i="2"/>
  <c r="J29" i="2"/>
  <c r="A29" i="2"/>
  <c r="J28" i="2"/>
  <c r="A28" i="2"/>
  <c r="J27" i="2"/>
  <c r="J31" i="3" s="1"/>
  <c r="A27" i="2"/>
  <c r="J26" i="2"/>
  <c r="A26" i="2"/>
  <c r="J25" i="2"/>
  <c r="L40" i="3" s="1"/>
  <c r="A25" i="2"/>
  <c r="J24" i="2"/>
  <c r="E11" i="3" s="1"/>
  <c r="A24" i="2"/>
  <c r="J23" i="2"/>
  <c r="M21" i="3" s="1"/>
  <c r="A23" i="2"/>
  <c r="J22" i="2"/>
  <c r="A22" i="2"/>
  <c r="J21" i="2"/>
  <c r="D24" i="3" s="1"/>
  <c r="A21" i="2"/>
  <c r="J20" i="2"/>
  <c r="A20" i="2"/>
  <c r="J19" i="2"/>
  <c r="N43" i="3" s="1"/>
  <c r="A19" i="2"/>
  <c r="J18" i="2"/>
  <c r="A18" i="2"/>
  <c r="J17" i="2"/>
  <c r="O10" i="3" s="1"/>
  <c r="A17" i="2"/>
  <c r="J16" i="2"/>
  <c r="A16" i="2"/>
  <c r="J15" i="2"/>
  <c r="A15" i="2"/>
  <c r="J14" i="2"/>
  <c r="A14" i="2"/>
  <c r="H14" i="1" s="1"/>
  <c r="J13" i="2"/>
  <c r="A13" i="2"/>
  <c r="J12" i="2"/>
  <c r="M14" i="3" s="1"/>
  <c r="A12" i="2"/>
  <c r="J11" i="2"/>
  <c r="L12" i="3" s="1"/>
  <c r="A11" i="2"/>
  <c r="J10" i="2"/>
  <c r="A10" i="2"/>
  <c r="J9" i="2"/>
  <c r="A9" i="2"/>
  <c r="J8" i="2"/>
  <c r="F46" i="3" s="1"/>
  <c r="A8" i="2"/>
  <c r="F5" i="2"/>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I154" i="2" s="1"/>
  <c r="I155" i="2" s="1"/>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I184" i="2" s="1"/>
  <c r="I185" i="2" s="1"/>
  <c r="I186" i="2" s="1"/>
  <c r="I187" i="2" s="1"/>
  <c r="I188" i="2" s="1"/>
  <c r="I189" i="2" s="1"/>
  <c r="I190" i="2" s="1"/>
  <c r="I191" i="2" s="1"/>
  <c r="I192" i="2" s="1"/>
  <c r="I193" i="2" s="1"/>
  <c r="I194" i="2" s="1"/>
  <c r="I195" i="2" s="1"/>
  <c r="I196" i="2" s="1"/>
  <c r="I197" i="2" s="1"/>
  <c r="I198" i="2" s="1"/>
  <c r="I199" i="2" s="1"/>
  <c r="I200" i="2" s="1"/>
  <c r="C26" i="1"/>
  <c r="H10" i="1" s="1"/>
  <c r="E25" i="1"/>
  <c r="D24" i="1"/>
  <c r="E24" i="1" s="1"/>
  <c r="D23" i="1"/>
  <c r="E23" i="1" s="1"/>
  <c r="D18" i="1"/>
  <c r="C18" i="1"/>
  <c r="E18" i="1" s="1"/>
  <c r="D17" i="1"/>
  <c r="C17" i="1"/>
  <c r="E17" i="1" s="1"/>
  <c r="E16" i="1"/>
  <c r="D16" i="1"/>
  <c r="C16" i="1"/>
  <c r="D15" i="1"/>
  <c r="D19" i="1" s="1"/>
  <c r="H7" i="1" s="1"/>
  <c r="C15" i="1"/>
  <c r="E15" i="1" s="1"/>
  <c r="E19" i="1" s="1"/>
  <c r="H8" i="1" l="1"/>
  <c r="H16" i="1"/>
  <c r="F39" i="3"/>
  <c r="M41" i="3"/>
  <c r="H41" i="3"/>
  <c r="L41" i="3"/>
  <c r="I41" i="3"/>
  <c r="K41" i="3"/>
  <c r="G41" i="3"/>
  <c r="F41" i="3"/>
  <c r="J41" i="3"/>
  <c r="E41" i="3"/>
  <c r="D41" i="3"/>
  <c r="O41" i="3"/>
  <c r="E9" i="3"/>
  <c r="F9" i="3"/>
  <c r="D9" i="3"/>
  <c r="P9" i="3" s="1"/>
  <c r="D46" i="3"/>
  <c r="D26" i="1"/>
  <c r="O13" i="3"/>
  <c r="N13" i="3"/>
  <c r="M13" i="3"/>
  <c r="L13" i="3"/>
  <c r="K13" i="3"/>
  <c r="J13" i="3"/>
  <c r="I13" i="3"/>
  <c r="H13" i="3"/>
  <c r="H14" i="3"/>
  <c r="O22" i="3"/>
  <c r="K40" i="3"/>
  <c r="E46" i="3"/>
  <c r="I14" i="3"/>
  <c r="O39" i="3"/>
  <c r="M39" i="3"/>
  <c r="L39" i="3"/>
  <c r="N39" i="3"/>
  <c r="M42" i="3"/>
  <c r="M44" i="3" s="1"/>
  <c r="O42" i="3"/>
  <c r="O44" i="3" s="1"/>
  <c r="N42" i="3"/>
  <c r="N44" i="3" s="1"/>
  <c r="K39" i="3"/>
  <c r="K42" i="3"/>
  <c r="J39" i="3"/>
  <c r="J42" i="3"/>
  <c r="I39" i="3"/>
  <c r="H39" i="3"/>
  <c r="I43" i="3"/>
  <c r="O33" i="3"/>
  <c r="H16" i="3"/>
  <c r="L43" i="3"/>
  <c r="F34" i="3"/>
  <c r="K14" i="3"/>
  <c r="I47" i="3"/>
  <c r="H47" i="3"/>
  <c r="M15" i="3"/>
  <c r="M17" i="3" s="1"/>
  <c r="D47" i="3"/>
  <c r="P47" i="3" s="1"/>
  <c r="O16" i="3"/>
  <c r="L7" i="3"/>
  <c r="N46" i="3"/>
  <c r="G47" i="3"/>
  <c r="L15" i="3"/>
  <c r="L17" i="3" s="1"/>
  <c r="O46" i="3"/>
  <c r="N16" i="3"/>
  <c r="M16" i="3"/>
  <c r="F15" i="3"/>
  <c r="F17" i="3" s="1"/>
  <c r="J7" i="3"/>
  <c r="F47" i="3"/>
  <c r="F48" i="3" s="1"/>
  <c r="K15" i="3"/>
  <c r="O7" i="3"/>
  <c r="J15" i="3"/>
  <c r="J17" i="3" s="1"/>
  <c r="I15" i="3"/>
  <c r="I17" i="3" s="1"/>
  <c r="G15" i="3"/>
  <c r="G17" i="3" s="1"/>
  <c r="K7" i="3"/>
  <c r="E47" i="3"/>
  <c r="N7" i="3"/>
  <c r="M7" i="3"/>
  <c r="H15" i="3"/>
  <c r="H17" i="3" s="1"/>
  <c r="M46" i="3"/>
  <c r="M48" i="3" s="1"/>
  <c r="L16" i="3"/>
  <c r="E15" i="3"/>
  <c r="E17" i="3" s="1"/>
  <c r="I7" i="3"/>
  <c r="L46" i="3"/>
  <c r="K16" i="3"/>
  <c r="D15" i="3"/>
  <c r="H7" i="3"/>
  <c r="K46" i="3"/>
  <c r="K48" i="3" s="1"/>
  <c r="J16" i="3"/>
  <c r="J46" i="3"/>
  <c r="I16" i="3"/>
  <c r="F7" i="3"/>
  <c r="P7" i="3" s="1"/>
  <c r="J47" i="3"/>
  <c r="N35" i="3"/>
  <c r="K43" i="3"/>
  <c r="F14" i="3"/>
  <c r="E14" i="3"/>
  <c r="D14" i="3"/>
  <c r="O14" i="3"/>
  <c r="P13" i="3"/>
  <c r="E34" i="3"/>
  <c r="D31" i="3"/>
  <c r="O43" i="3"/>
  <c r="G14" i="3"/>
  <c r="H46" i="3"/>
  <c r="N41" i="3"/>
  <c r="F24" i="3"/>
  <c r="L9" i="3"/>
  <c r="L47" i="3"/>
  <c r="O23" i="3"/>
  <c r="N20" i="3"/>
  <c r="M20" i="3"/>
  <c r="I20" i="3"/>
  <c r="L20" i="3"/>
  <c r="H20" i="3"/>
  <c r="G20" i="3"/>
  <c r="K20" i="3"/>
  <c r="J20" i="3"/>
  <c r="F20" i="3"/>
  <c r="E20" i="3"/>
  <c r="D20" i="3"/>
  <c r="M9" i="3"/>
  <c r="N15" i="3"/>
  <c r="H24" i="3"/>
  <c r="E42" i="3"/>
  <c r="E44" i="3" s="1"/>
  <c r="M47" i="3"/>
  <c r="J43" i="3"/>
  <c r="E39" i="3"/>
  <c r="D34" i="3"/>
  <c r="N22" i="3"/>
  <c r="J14" i="3"/>
  <c r="E24" i="3"/>
  <c r="P24" i="3" s="1"/>
  <c r="H15" i="1"/>
  <c r="G24" i="3"/>
  <c r="D42" i="3"/>
  <c r="N9" i="3"/>
  <c r="O15" i="3"/>
  <c r="I24" i="3"/>
  <c r="F42" i="3"/>
  <c r="F44" i="3" s="1"/>
  <c r="N47" i="3"/>
  <c r="G39" i="3"/>
  <c r="M22" i="3"/>
  <c r="C19" i="1"/>
  <c r="H6" i="1" s="1"/>
  <c r="L14" i="3"/>
  <c r="I46" i="3"/>
  <c r="N14" i="3"/>
  <c r="K9" i="3"/>
  <c r="L28" i="3"/>
  <c r="K28" i="3"/>
  <c r="K34" i="3"/>
  <c r="O28" i="3"/>
  <c r="N28" i="3"/>
  <c r="M28" i="3"/>
  <c r="J28" i="3"/>
  <c r="D33" i="3"/>
  <c r="I28" i="3"/>
  <c r="H28" i="3"/>
  <c r="G28" i="3"/>
  <c r="P28" i="3" s="1"/>
  <c r="F28" i="3"/>
  <c r="E28" i="3"/>
  <c r="J24" i="3"/>
  <c r="G42" i="3"/>
  <c r="O47" i="3"/>
  <c r="D39" i="3"/>
  <c r="M43" i="3"/>
  <c r="E31" i="3"/>
  <c r="G46" i="3"/>
  <c r="G48" i="3" s="1"/>
  <c r="K33" i="3"/>
  <c r="K35" i="3" s="1"/>
  <c r="K31" i="3"/>
  <c r="E12" i="3"/>
  <c r="I12" i="3"/>
  <c r="H12" i="3"/>
  <c r="F12" i="3"/>
  <c r="G12" i="3"/>
  <c r="K47" i="3"/>
  <c r="F40" i="3"/>
  <c r="E40" i="3"/>
  <c r="D40" i="3"/>
  <c r="O40" i="3"/>
  <c r="G43" i="3"/>
  <c r="O9" i="3"/>
  <c r="L33" i="3"/>
  <c r="L35" i="3" s="1"/>
  <c r="D16" i="3"/>
  <c r="M33" i="3"/>
  <c r="H42" i="3"/>
  <c r="H44" i="3" s="1"/>
  <c r="M8" i="3"/>
  <c r="P8" i="3" s="1"/>
  <c r="J21" i="3"/>
  <c r="P21" i="3" s="1"/>
  <c r="D23" i="3"/>
  <c r="K24" i="3"/>
  <c r="L29" i="3"/>
  <c r="P29" i="3" s="1"/>
  <c r="F31" i="3"/>
  <c r="G34" i="3"/>
  <c r="I42" i="3"/>
  <c r="I44" i="3" s="1"/>
  <c r="N8" i="3"/>
  <c r="E23" i="3"/>
  <c r="L24" i="3"/>
  <c r="G31" i="3"/>
  <c r="H34" i="3"/>
  <c r="O8" i="3"/>
  <c r="L21" i="3"/>
  <c r="F23" i="3"/>
  <c r="F25" i="3" s="1"/>
  <c r="M24" i="3"/>
  <c r="N29" i="3"/>
  <c r="H31" i="3"/>
  <c r="O32" i="3"/>
  <c r="P32" i="3" s="1"/>
  <c r="I34" i="3"/>
  <c r="J10" i="3"/>
  <c r="P10" i="3" s="1"/>
  <c r="D12" i="3"/>
  <c r="G23" i="3"/>
  <c r="G25" i="3" s="1"/>
  <c r="N24" i="3"/>
  <c r="O29" i="3"/>
  <c r="I31" i="3"/>
  <c r="J34" i="3"/>
  <c r="D38" i="3"/>
  <c r="P38" i="3" s="1"/>
  <c r="L42" i="3"/>
  <c r="E33" i="3"/>
  <c r="E35" i="3" s="1"/>
  <c r="L34" i="3"/>
  <c r="M31" i="3"/>
  <c r="E22" i="3"/>
  <c r="L23" i="3"/>
  <c r="L25" i="3" s="1"/>
  <c r="N31" i="3"/>
  <c r="H33" i="3"/>
  <c r="H35" i="3" s="1"/>
  <c r="O34" i="3"/>
  <c r="I38" i="3"/>
  <c r="D43" i="3"/>
  <c r="H23" i="3"/>
  <c r="H25" i="3" s="1"/>
  <c r="M34" i="3"/>
  <c r="D22" i="3"/>
  <c r="K23" i="3"/>
  <c r="K25" i="3" s="1"/>
  <c r="I9" i="3"/>
  <c r="J12" i="3"/>
  <c r="F22" i="3"/>
  <c r="M23" i="3"/>
  <c r="M25" i="3" s="1"/>
  <c r="H30" i="3"/>
  <c r="P30" i="3" s="1"/>
  <c r="O31" i="3"/>
  <c r="I33" i="3"/>
  <c r="J38" i="3"/>
  <c r="E43" i="3"/>
  <c r="J23" i="3"/>
  <c r="J25" i="3" s="1"/>
  <c r="L31" i="3"/>
  <c r="F33" i="3"/>
  <c r="N34" i="3"/>
  <c r="H9" i="3"/>
  <c r="J9" i="3"/>
  <c r="D11" i="3"/>
  <c r="P11" i="3" s="1"/>
  <c r="K12" i="3"/>
  <c r="G22" i="3"/>
  <c r="N23" i="3"/>
  <c r="I30" i="3"/>
  <c r="J33" i="3"/>
  <c r="K38" i="3"/>
  <c r="F43" i="3"/>
  <c r="O24" i="3"/>
  <c r="I23" i="3"/>
  <c r="I25" i="3" s="1"/>
  <c r="G9" i="3"/>
  <c r="G33" i="3"/>
  <c r="H22" i="3"/>
  <c r="L38" i="3"/>
  <c r="P41" i="3" l="1"/>
  <c r="P43" i="3"/>
  <c r="O25" i="3"/>
  <c r="M35" i="3"/>
  <c r="P34" i="3"/>
  <c r="J48" i="3"/>
  <c r="K17" i="3"/>
  <c r="N25" i="3"/>
  <c r="O35" i="3"/>
  <c r="P39" i="3"/>
  <c r="D17" i="3"/>
  <c r="P15" i="3"/>
  <c r="P17" i="3" s="1"/>
  <c r="H48" i="3"/>
  <c r="J44" i="3"/>
  <c r="P22" i="3"/>
  <c r="E48" i="3"/>
  <c r="P40" i="3"/>
  <c r="G44" i="3"/>
  <c r="N17" i="3"/>
  <c r="L48" i="3"/>
  <c r="O48" i="3"/>
  <c r="D25" i="3"/>
  <c r="P23" i="3"/>
  <c r="P25" i="3" s="1"/>
  <c r="P16" i="3"/>
  <c r="F35" i="3"/>
  <c r="K44" i="3"/>
  <c r="P14" i="3"/>
  <c r="D35" i="3"/>
  <c r="P33" i="3"/>
  <c r="P35" i="3" s="1"/>
  <c r="I48" i="3"/>
  <c r="I35" i="3"/>
  <c r="P20" i="3"/>
  <c r="P31" i="3"/>
  <c r="P46" i="3"/>
  <c r="P48" i="3" s="1"/>
  <c r="D48" i="3"/>
  <c r="O17" i="3"/>
  <c r="J35" i="3"/>
  <c r="P42" i="3"/>
  <c r="P44" i="3" s="1"/>
  <c r="D44" i="3"/>
  <c r="P12" i="3"/>
  <c r="G35" i="3"/>
  <c r="L44" i="3"/>
  <c r="E25" i="3"/>
  <c r="N48" i="3"/>
  <c r="H12" i="1"/>
  <c r="H11" i="1"/>
  <c r="E26" i="1"/>
</calcChain>
</file>

<file path=xl/sharedStrings.xml><?xml version="1.0" encoding="utf-8"?>
<sst xmlns="http://schemas.openxmlformats.org/spreadsheetml/2006/main" count="328" uniqueCount="163">
  <si>
    <t>Einnahmen-Überschuss-Rechnung (EÜR) gem. § 4 Abs. 3 EStG  ·  Gegliedert nach den 4 steuerlichen Bereichen</t>
  </si>
  <si>
    <t>1. Vereinsstammdaten</t>
  </si>
  <si>
    <t>Kennzahlen 2026</t>
  </si>
  <si>
    <t>Vereinsname</t>
  </si>
  <si>
    <t>Bürgerinitiative Lindental e.V.</t>
  </si>
  <si>
    <t>Gesamteinnahmen</t>
  </si>
  <si>
    <t>Sitz / Anschrift</t>
  </si>
  <si>
    <t>Lindenallee 12, 04275 Leipzig</t>
  </si>
  <si>
    <t>Gesamtausgaben</t>
  </si>
  <si>
    <t>Registergericht / VR-Nr.</t>
  </si>
  <si>
    <t>AG Leipzig, VR 4287</t>
  </si>
  <si>
    <t>Jahresergebnis</t>
  </si>
  <si>
    <t>Geschäftsjahr</t>
  </si>
  <si>
    <t>01.01.2026 – 31.12.2026</t>
  </si>
  <si>
    <t>Steuernummer</t>
  </si>
  <si>
    <t>231/142/57843</t>
  </si>
  <si>
    <t>Vermögen Jahresbeginn</t>
  </si>
  <si>
    <t>Anzahl Mitglieder zum Stichtag</t>
  </si>
  <si>
    <t>Vermögen Jahresende</t>
  </si>
  <si>
    <t>Vermögensentwicklung</t>
  </si>
  <si>
    <t>2. Ergebnis nach steuerlichen Bereichen</t>
  </si>
  <si>
    <t>Bereich</t>
  </si>
  <si>
    <t>Einnahmen</t>
  </si>
  <si>
    <t>Ausgaben</t>
  </si>
  <si>
    <t>Saldo</t>
  </si>
  <si>
    <t>Anzahl Buchungen</t>
  </si>
  <si>
    <t>1. Ideeller Bereich</t>
  </si>
  <si>
    <t>Aufwandsquote (Aus/Ein)</t>
  </si>
  <si>
    <t>2. Vermögensverwaltung</t>
  </si>
  <si>
    <t>Ergebnisstatus</t>
  </si>
  <si>
    <t>3. Zweckbetrieb</t>
  </si>
  <si>
    <t>4. Wirtschaftl. Geschäftsbetrieb</t>
  </si>
  <si>
    <t>GESAMT</t>
  </si>
  <si>
    <t>3. Vermögensübersicht</t>
  </si>
  <si>
    <t>Position</t>
  </si>
  <si>
    <t>Anfangsbestand</t>
  </si>
  <si>
    <t>Endbestand</t>
  </si>
  <si>
    <t>Veränderung</t>
  </si>
  <si>
    <t>Kassenbestand (Barkasse)</t>
  </si>
  <si>
    <t>Bankguthaben (Girokonto)</t>
  </si>
  <si>
    <t>Tagesgeld / Rücklagen</t>
  </si>
  <si>
    <t>Vereinsvermögen GESAMT</t>
  </si>
  <si>
    <t>4. Bestätigung / Unterschriften</t>
  </si>
  <si>
    <t>_________________________</t>
  </si>
  <si>
    <t>Kassenwart/in</t>
  </si>
  <si>
    <t>1. Vorsitzende/r</t>
  </si>
  <si>
    <t>Kassenprüfer/in 1</t>
  </si>
  <si>
    <t>Kassenprüfer/in 2</t>
  </si>
  <si>
    <t>Ort, Datum: Leipzig, den _______________________</t>
  </si>
  <si>
    <t>Hinweis: Diese Vorlage ist für kleine bis mittelgroße Vereine konzipiert, die der vereinfachten Buchführung (EÜR) unterliegen. Bei Überschreitung der Bilanzierungsgrenzen (600.000 € Umsatz bzw. 60.000 € Gewinn p.a.) besteht Bilanzierungspflicht (§ 141 AO). Belege sind 6 bzw. 10 Jahre aufzubewahren (§ 147 AO). Alle Beträge in den blau hinterlegten Zellen sind editierbar.</t>
  </si>
  <si>
    <t>Kassenbuch / Buchungsjournal 2026</t>
  </si>
  <si>
    <t>Chronologische Erfassung aller Einnahmen und Ausgaben  ·  Bereich aus Dropdown wählen  ·  Saldo aktualisiert sich automatisch</t>
  </si>
  <si>
    <t>Anfangsbestand Vereinskonten zum 01.01.2026:</t>
  </si>
  <si>
    <t>Stichtag:</t>
  </si>
  <si>
    <t>01.01.2026</t>
  </si>
  <si>
    <t>Beleg-Nr.</t>
  </si>
  <si>
    <t>Datum</t>
  </si>
  <si>
    <t>Buchungstext</t>
  </si>
  <si>
    <t>Kategorie</t>
  </si>
  <si>
    <t>Einnahme (€)</t>
  </si>
  <si>
    <t>Ausgabe (€)</t>
  </si>
  <si>
    <t>Konto</t>
  </si>
  <si>
    <t>Saldo (€)</t>
  </si>
  <si>
    <t>Monat</t>
  </si>
  <si>
    <t>Mitgliedsbeitrag Jahresinkasso 142 Mitglieder</t>
  </si>
  <si>
    <t>Mitgliedsbeiträge</t>
  </si>
  <si>
    <t>Bank</t>
  </si>
  <si>
    <t>Bankgebühren Kontoführung Q4/2025</t>
  </si>
  <si>
    <t>Bankgebühren</t>
  </si>
  <si>
    <t>Spende Privatperson H. Westhoff</t>
  </si>
  <si>
    <t>Spenden</t>
  </si>
  <si>
    <t>Büromaterial Officeshop24</t>
  </si>
  <si>
    <t>Büromaterial</t>
  </si>
  <si>
    <t>Versicherung Vereinshaftpflicht 2026</t>
  </si>
  <si>
    <t>Versicherungen</t>
  </si>
  <si>
    <t>Spende Sparkasse Lindental</t>
  </si>
  <si>
    <t>Porto/Versand Mitgliederrundschreiben</t>
  </si>
  <si>
    <t>Porto/Telefon/Internet</t>
  </si>
  <si>
    <t>Kasse</t>
  </si>
  <si>
    <t>Kursgebühren Frühjahrsworkshop</t>
  </si>
  <si>
    <t>Kursgebühren</t>
  </si>
  <si>
    <t>Trainerhonorar Workshop März</t>
  </si>
  <si>
    <t>Honorare</t>
  </si>
  <si>
    <t>Zuschuss Kommune Frühjahrsprojekt</t>
  </si>
  <si>
    <t>Zuschüsse (öffentlich)</t>
  </si>
  <si>
    <t>Vereinsfest Frühjahr – Getränkeverkauf</t>
  </si>
  <si>
    <t>Getränkeverkauf</t>
  </si>
  <si>
    <t>Vereinsfest Frühjahr – Speisenverkauf</t>
  </si>
  <si>
    <t>Speisenverkauf</t>
  </si>
  <si>
    <t>Wareneinkauf Getränke Vereinsfest</t>
  </si>
  <si>
    <t>Wareneinkauf</t>
  </si>
  <si>
    <t>Bankgebühren Kontoführung Q1/2026</t>
  </si>
  <si>
    <t>Spende Geburtstagssammlung</t>
  </si>
  <si>
    <t>Mieteinnahme Vereinsraum Externer</t>
  </si>
  <si>
    <t>Mieteinnahmen</t>
  </si>
  <si>
    <t>Verwaltungskosten Website/Hosting Jahr</t>
  </si>
  <si>
    <t>Verwaltungskosten</t>
  </si>
  <si>
    <t>Sponsoringeinnahme Bäckerei Müller</t>
  </si>
  <si>
    <t>Werbung/Sponsoring</t>
  </si>
  <si>
    <t>Veranstaltung Lesung – Eintritt</t>
  </si>
  <si>
    <t>Veranstaltungserlöse</t>
  </si>
  <si>
    <t>Honorar Lesungsautorin</t>
  </si>
  <si>
    <t>Spende anonym Schenkungskasten</t>
  </si>
  <si>
    <t>Mitgliedsbeitrag Nachzahler</t>
  </si>
  <si>
    <t>Sommerfest – Getränkeverkauf</t>
  </si>
  <si>
    <t>Sommerfest – Speisenverkauf</t>
  </si>
  <si>
    <t>Wareneinkauf Sommerfest</t>
  </si>
  <si>
    <t>Zinsertrag Tagesgeldkonto H1</t>
  </si>
  <si>
    <t>Zinserträge</t>
  </si>
  <si>
    <t>Bankgebühren Kontoführung Q2/2026</t>
  </si>
  <si>
    <t>Spende Firma Lindental Bau GmbH</t>
  </si>
  <si>
    <t>Materialkauf Sommercamp</t>
  </si>
  <si>
    <t>Materialkosten</t>
  </si>
  <si>
    <t>Teilnahmegebühren Sommercamp 2026</t>
  </si>
  <si>
    <t>Teilnahmegebühren</t>
  </si>
  <si>
    <t>Honorar Betreuer Sommercamp</t>
  </si>
  <si>
    <t>Bürobedarf Halbjahr 2</t>
  </si>
  <si>
    <t>Bankgebühren Kontoführung Q3/2026</t>
  </si>
  <si>
    <t>Herbstfest – Getränkeverkauf</t>
  </si>
  <si>
    <t>Herbstfest – Speisenverkauf</t>
  </si>
  <si>
    <t>Wareneinkauf Herbstfest</t>
  </si>
  <si>
    <t>Spende Stiftung Gemeinwohl Sachsen</t>
  </si>
  <si>
    <t>Druckkosten Jahresbericht &amp; Einladungen</t>
  </si>
  <si>
    <t>Weihnachtsfeier – Spenden Mitglieder</t>
  </si>
  <si>
    <t>Versicherung Vereinsinventar 2027</t>
  </si>
  <si>
    <t>Aufnahmegebühren neue Mitglieder</t>
  </si>
  <si>
    <t>Aufnahmegebühren</t>
  </si>
  <si>
    <t>Zinsertrag Tagesgeldkonto H2</t>
  </si>
  <si>
    <t>Monatsübersicht 2026 — Aufschlüsselung je Kategorie</t>
  </si>
  <si>
    <t>Automatische Aggregation aller Buchungen pro Bereich, Kategorie und Monat (SUMIFS)</t>
  </si>
  <si>
    <t>E/A</t>
  </si>
  <si>
    <t>Jan</t>
  </si>
  <si>
    <t>Feb</t>
  </si>
  <si>
    <t>Mär</t>
  </si>
  <si>
    <t>Apr</t>
  </si>
  <si>
    <t>Mai</t>
  </si>
  <si>
    <t>Jun</t>
  </si>
  <si>
    <t>Jul</t>
  </si>
  <si>
    <t>Aug</t>
  </si>
  <si>
    <t>Sep</t>
  </si>
  <si>
    <t>Okt</t>
  </si>
  <si>
    <t>Nov</t>
  </si>
  <si>
    <t>Dez</t>
  </si>
  <si>
    <t>Σ Jahr</t>
  </si>
  <si>
    <t>E</t>
  </si>
  <si>
    <t>A</t>
  </si>
  <si>
    <t xml:space="preserve">  Σ Einnahmen 1. Ideeller Bereich</t>
  </si>
  <si>
    <t xml:space="preserve">  Σ Ausgaben 1. Ideeller Bereich</t>
  </si>
  <si>
    <t xml:space="preserve">  Saldo 1. Ideeller Bereich</t>
  </si>
  <si>
    <t xml:space="preserve">  Σ Einnahmen 2. Vermögensverwaltung</t>
  </si>
  <si>
    <t xml:space="preserve">  Σ Ausgaben 2. Vermögensverwaltung</t>
  </si>
  <si>
    <t xml:space="preserve">  Saldo 2. Vermögensverwaltung</t>
  </si>
  <si>
    <t xml:space="preserve">  Σ Einnahmen 3. Zweckbetrieb</t>
  </si>
  <si>
    <t xml:space="preserve">  Σ Ausgaben 3. Zweckbetrieb</t>
  </si>
  <si>
    <t xml:space="preserve">  Saldo 3. Zweckbetrieb</t>
  </si>
  <si>
    <t xml:space="preserve">  Σ Einnahmen 4. Wirtschaftl. Geschäftsbetrieb</t>
  </si>
  <si>
    <t xml:space="preserve">  Σ Ausgaben 4. Wirtschaftl. Geschäftsbetrieb</t>
  </si>
  <si>
    <t xml:space="preserve">  Saldo 4. Wirtschaftl. Geschäftsbetrieb</t>
  </si>
  <si>
    <t>GESAMT EINNAHMEN</t>
  </si>
  <si>
    <t>GESAMT AUSGABEN</t>
  </si>
  <si>
    <t>MONATSSALDO</t>
  </si>
  <si>
    <t>Hinweis: Alle Werte in dieser Übersicht werden automatisch aus dem Tabellenblatt »Buchungen« via SUMIFS aggregiert. Neue Buchungen auf dem Blatt »Buchungen« werden sofort in dieser Auswertung berücksichtigt. Falls eine neue Kategorie ergänzt werden soll, einfach eine Zeile innerhalb des passenden Bereichs einfügen und die Formel der Nachbarzeile kopieren.</t>
  </si>
  <si>
    <t>Jahresabschluss Verein — Geschäftsjahr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</si>
</sst>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Red]\-#,##0&quot; €&quot;;\-"/>
    <numFmt numFmtId="165" formatCode="0.0%;[Red]\-0.0%;\-"/>
    <numFmt numFmtId="166" formatCode="#,##0.00&quot; €&quot;;[Red]\-#,##0.00&quot; €&quot;;\-"/>
    <numFmt numFmtId="167" formatCode="&quot;TT.&quot;mm&quot;.JJJJ&quot;"/>
  </numFmts>
  <fonts count="23" x14ac:knownFonts="1">
    <font>
      <sz val="11"/>
      <color theme="1"/>
      <name val="Calibri"/>
      <family val="2"/>
      <charset val="1"/>
    </font>
    <font>
      <i/>
      <sz val="10"/>
      <color rgb="FFFFFFFF"/>
      <name val="Calibri"/>
      <charset val="1"/>
    </font>
    <font>
      <b/>
      <sz val="11"/>
      <color rgb="FFFFFFFF"/>
      <name val="Calibri"/>
      <charset val="1"/>
    </font>
    <font>
      <b/>
      <sz val="12"/>
      <color rgb="FFFFFFFF"/>
      <name val="Calibri"/>
      <charset val="1"/>
    </font>
    <font>
      <sz val="10"/>
      <color rgb="FF000000"/>
      <name val="Calibri"/>
      <charset val="1"/>
    </font>
    <font>
      <b/>
      <sz val="10"/>
      <color rgb="FF0000FF"/>
      <name val="Calibri"/>
      <charset val="1"/>
    </font>
    <font>
      <b/>
      <sz val="11"/>
      <color rgb="FF1F3A5F"/>
      <name val="Calibri"/>
      <charset val="1"/>
    </font>
    <font>
      <b/>
      <sz val="10"/>
      <color rgb="FF000000"/>
      <name val="Calibri"/>
      <charset val="1"/>
    </font>
    <font>
      <b/>
      <sz val="10"/>
      <color rgb="FFFFFFFF"/>
      <name val="Calibri"/>
      <charset val="1"/>
    </font>
    <font>
      <b/>
      <sz val="11"/>
      <color rgb="FF000000"/>
      <name val="Calibri"/>
      <charset val="1"/>
    </font>
    <font>
      <i/>
      <sz val="9"/>
      <color rgb="FF595959"/>
      <name val="Calibri"/>
      <charset val="1"/>
    </font>
    <font>
      <b/>
      <sz val="15"/>
      <color rgb="FFFFFFFF"/>
      <name val="Calibri"/>
      <charset val="1"/>
    </font>
    <font>
      <b/>
      <sz val="10"/>
      <color rgb="FF008000"/>
      <name val="Calibri"/>
      <charset val="1"/>
    </font>
    <font>
      <sz val="9"/>
      <color rgb="FF595959"/>
      <name val="Calibri"/>
      <charset val="1"/>
    </font>
    <font>
      <b/>
      <sz val="10"/>
      <color rgb="FF006100"/>
      <name val="Calibri"/>
      <charset val="1"/>
    </font>
    <font>
      <b/>
      <sz val="10"/>
      <color rgb="FF1F3A5F"/>
      <name val="Calibri"/>
      <charset val="1"/>
    </font>
    <font>
      <b/>
      <sz val="10"/>
      <color rgb="FF9C0006"/>
      <name val="Calibri"/>
      <charset val="1"/>
    </font>
    <font>
      <b/>
      <i/>
      <sz val="10"/>
      <color rgb="FF000000"/>
      <name val="Calibri"/>
      <charset val="1"/>
    </font>
    <font>
      <b/>
      <sz val="11"/>
      <color rgb="FF006100"/>
      <name val="Calibri"/>
      <charset val="1"/>
    </font>
    <font>
      <b/>
      <sz val="11"/>
      <color rgb="FF9C0006"/>
      <name val="Calibri"/>
      <charset val="1"/>
    </font>
    <font>
      <b/>
      <sz val="11"/>
      <color rgb="FFC6EFCE"/>
      <name val="Calibri"/>
      <charset val="1"/>
    </font>
    <font>
      <b/>
      <sz val="11"/>
      <color rgb="FFFFC7CE"/>
      <name val="Calibri"/>
      <charset val="1"/>
    </font>
    <font>
      <b/>
      <sz val="22"/>
      <color rgb="FFFFFFFF"/>
      <name val="Calibri"/>
      <family val="2"/>
    </font>
  </fonts>
  <fills count="11">
    <fill>
      <patternFill patternType="none"/>
    </fill>
    <fill>
      <patternFill patternType="gray125"/>
    </fill>
    <fill>
      <patternFill patternType="solid">
        <fgColor rgb="FF1F3A5F"/>
        <bgColor rgb="FF333333"/>
      </patternFill>
    </fill>
    <fill>
      <patternFill patternType="solid">
        <fgColor rgb="FF2E5C8A"/>
        <bgColor rgb="FF595959"/>
      </patternFill>
    </fill>
    <fill>
      <patternFill patternType="solid">
        <fgColor rgb="FFFDFDEA"/>
        <bgColor rgb="FFFFFFFF"/>
      </patternFill>
    </fill>
    <fill>
      <patternFill patternType="solid">
        <fgColor rgb="FFD6E4F0"/>
        <bgColor rgb="FFE2EFDA"/>
      </patternFill>
    </fill>
    <fill>
      <patternFill patternType="solid">
        <fgColor rgb="FFFFF2CC"/>
        <bgColor rgb="FFFDFDEA"/>
      </patternFill>
    </fill>
    <fill>
      <patternFill patternType="solid">
        <fgColor rgb="FFFFE0E0"/>
        <bgColor rgb="FFFCE4E4"/>
      </patternFill>
    </fill>
    <fill>
      <patternFill patternType="solid">
        <fgColor rgb="FFE2EFDA"/>
        <bgColor rgb="FFD6E4F0"/>
      </patternFill>
    </fill>
    <fill>
      <patternFill patternType="solid">
        <fgColor rgb="FFFCE4E4"/>
        <bgColor rgb="FFFFE0E0"/>
      </patternFill>
    </fill>
    <fill>
      <patternFill patternType="solid">
        <fgColor rgb="FF0F1F33"/>
        <bgColor rgb="FF333333"/>
      </patternFill>
    </fill>
  </fills>
  <borders count="4">
    <border>
      <left/>
      <right/>
      <top/>
      <bottom/>
      <diagonal/>
    </border>
    <border>
      <left style="thin">
        <color rgb="FFB4C7E7"/>
      </left>
      <right/>
      <top style="thin">
        <color rgb="FFB4C7E7"/>
      </top>
      <bottom style="thin">
        <color rgb="FFB4C7E7"/>
      </bottom>
      <diagonal/>
    </border>
    <border>
      <left style="thin">
        <color rgb="FFB4C7E7"/>
      </left>
      <right style="thin">
        <color rgb="FFB4C7E7"/>
      </right>
      <top style="thin">
        <color rgb="FFB4C7E7"/>
      </top>
      <bottom style="thin">
        <color rgb="FFB4C7E7"/>
      </bottom>
      <diagonal/>
    </border>
    <border>
      <left style="thin">
        <color rgb="FFB4C7E7"/>
      </left>
      <right style="thin">
        <color rgb="FFB4C7E7"/>
      </right>
      <top style="medium">
        <color rgb="FF1F3A5F"/>
      </top>
      <bottom style="medium">
        <color rgb="FF1F3A5F"/>
      </bottom>
      <diagonal/>
    </border>
  </borders>
  <cellStyleXfs count="1">
    <xf numFmtId="0" fontId="0" fillId="0" borderId="0"/>
  </cellStyleXfs>
  <cellXfs count="65">
    <xf numFmtId="0" fontId="0" fillId="0" borderId="0" xfId="0"/>
    <xf numFmtId="0" fontId="2" fillId="2" borderId="0" xfId="0" applyFont="1" applyFill="1" applyAlignment="1">
      <alignment horizontal="left" vertical="center" indent="1"/>
    </xf>
    <xf numFmtId="166" fontId="12" fillId="6" borderId="2" xfId="0" applyNumberFormat="1" applyFont="1" applyFill="1" applyBorder="1" applyAlignment="1">
      <alignment horizontal="right" vertical="center"/>
    </xf>
    <xf numFmtId="0" fontId="7" fillId="0" borderId="0" xfId="0" applyFont="1" applyAlignment="1">
      <alignment horizontal="left" vertical="center" indent="1"/>
    </xf>
    <xf numFmtId="0" fontId="11" fillId="2" borderId="0" xfId="0" applyFont="1" applyFill="1" applyAlignment="1">
      <alignment horizontal="left" vertical="center" indent="1"/>
    </xf>
    <xf numFmtId="0" fontId="10" fillId="0" borderId="0" xfId="0" applyFont="1" applyAlignment="1">
      <alignment horizontal="left" vertical="center" wrapText="1"/>
    </xf>
    <xf numFmtId="0" fontId="4" fillId="0" borderId="0" xfId="0" applyFont="1" applyAlignment="1">
      <alignment horizontal="left" vertical="center" indent="1"/>
    </xf>
    <xf numFmtId="0" fontId="10" fillId="0" borderId="0" xfId="0" applyFont="1" applyAlignment="1">
      <alignment horizontal="center" vertical="center"/>
    </xf>
    <xf numFmtId="0" fontId="4" fillId="0" borderId="0" xfId="0" applyFont="1" applyAlignment="1">
      <alignment horizontal="center"/>
    </xf>
    <xf numFmtId="1" fontId="5" fillId="4" borderId="1" xfId="0" applyNumberFormat="1" applyFont="1" applyFill="1" applyBorder="1" applyAlignment="1">
      <alignment horizontal="right" vertical="center"/>
    </xf>
    <xf numFmtId="0" fontId="5" fillId="4" borderId="1" xfId="0" applyFont="1" applyFill="1" applyBorder="1" applyAlignment="1">
      <alignment horizontal="left" vertical="center" indent="1"/>
    </xf>
    <xf numFmtId="0" fontId="3" fillId="3" borderId="0" xfId="0" applyFont="1" applyFill="1" applyAlignment="1">
      <alignment horizontal="left" vertical="center" indent="1"/>
    </xf>
    <xf numFmtId="0" fontId="2" fillId="3" borderId="0" xfId="0" applyFont="1" applyFill="1" applyAlignment="1">
      <alignment horizontal="left" vertical="center" indent="1"/>
    </xf>
    <xf numFmtId="0" fontId="1" fillId="3" borderId="0" xfId="0" applyFont="1" applyFill="1" applyAlignment="1">
      <alignment horizontal="left" vertical="center" indent="1"/>
    </xf>
    <xf numFmtId="0" fontId="4" fillId="0" borderId="0" xfId="0" applyFont="1" applyAlignment="1">
      <alignment horizontal="left" vertical="center" indent="1"/>
    </xf>
    <xf numFmtId="0" fontId="4" fillId="5" borderId="2" xfId="0" applyFont="1" applyFill="1" applyBorder="1" applyAlignment="1">
      <alignment horizontal="left" vertical="center" indent="1"/>
    </xf>
    <xf numFmtId="164" fontId="6" fillId="6" borderId="2" xfId="0" applyNumberFormat="1" applyFont="1" applyFill="1" applyBorder="1" applyAlignment="1">
      <alignment horizontal="right" vertical="center"/>
    </xf>
    <xf numFmtId="0" fontId="7" fillId="5" borderId="2" xfId="0" applyFont="1" applyFill="1" applyBorder="1" applyAlignment="1">
      <alignment horizontal="left" vertical="center" indent="1"/>
    </xf>
    <xf numFmtId="0" fontId="8" fillId="3" borderId="2" xfId="0" applyFont="1" applyFill="1" applyBorder="1" applyAlignment="1">
      <alignment horizontal="center" vertical="center"/>
    </xf>
    <xf numFmtId="1" fontId="6" fillId="6" borderId="2" xfId="0" applyNumberFormat="1" applyFont="1" applyFill="1" applyBorder="1" applyAlignment="1">
      <alignment horizontal="right" vertical="center"/>
    </xf>
    <xf numFmtId="164" fontId="7" fillId="0" borderId="2" xfId="0" applyNumberFormat="1" applyFont="1" applyBorder="1" applyAlignment="1">
      <alignment horizontal="right" vertical="center"/>
    </xf>
    <xf numFmtId="164" fontId="7" fillId="6" borderId="2" xfId="0" applyNumberFormat="1" applyFont="1" applyFill="1" applyBorder="1" applyAlignment="1">
      <alignment horizontal="right" vertical="center"/>
    </xf>
    <xf numFmtId="165" fontId="6" fillId="6" borderId="2" xfId="0" applyNumberFormat="1" applyFont="1" applyFill="1" applyBorder="1" applyAlignment="1">
      <alignment horizontal="right" vertical="center"/>
    </xf>
    <xf numFmtId="0" fontId="9" fillId="6" borderId="2" xfId="0" applyFont="1" applyFill="1" applyBorder="1" applyAlignment="1">
      <alignment horizontal="center" vertical="center"/>
    </xf>
    <xf numFmtId="0" fontId="2" fillId="2" borderId="2" xfId="0" applyFont="1" applyFill="1" applyBorder="1" applyAlignment="1">
      <alignment horizontal="left" vertical="center" indent="1"/>
    </xf>
    <xf numFmtId="164" fontId="2" fillId="2" borderId="2" xfId="0" applyNumberFormat="1" applyFont="1" applyFill="1" applyBorder="1" applyAlignment="1">
      <alignment horizontal="right" vertical="center"/>
    </xf>
    <xf numFmtId="166" fontId="5" fillId="4" borderId="2" xfId="0" applyNumberFormat="1" applyFont="1" applyFill="1" applyBorder="1" applyAlignment="1">
      <alignment horizontal="right" vertical="center"/>
    </xf>
    <xf numFmtId="166" fontId="7" fillId="0" borderId="2" xfId="0" applyNumberFormat="1" applyFont="1" applyBorder="1" applyAlignment="1">
      <alignment horizontal="right" vertical="center"/>
    </xf>
    <xf numFmtId="166" fontId="2" fillId="2" borderId="2" xfId="0" applyNumberFormat="1" applyFont="1" applyFill="1" applyBorder="1" applyAlignment="1">
      <alignment horizontal="right" vertical="center"/>
    </xf>
    <xf numFmtId="0" fontId="4"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indent="1"/>
    </xf>
    <xf numFmtId="0" fontId="8" fillId="3" borderId="3" xfId="0" applyFont="1" applyFill="1" applyBorder="1" applyAlignment="1">
      <alignment horizontal="center" vertical="center" wrapText="1"/>
    </xf>
    <xf numFmtId="0" fontId="4" fillId="0" borderId="2" xfId="0" applyFont="1" applyBorder="1" applyAlignment="1">
      <alignment horizontal="center" vertical="center"/>
    </xf>
    <xf numFmtId="167" fontId="5" fillId="4" borderId="2" xfId="0" applyNumberFormat="1" applyFont="1" applyFill="1" applyBorder="1" applyAlignment="1">
      <alignment horizontal="center" vertical="center"/>
    </xf>
    <xf numFmtId="0" fontId="5" fillId="4" borderId="2" xfId="0" applyFont="1" applyFill="1" applyBorder="1" applyAlignment="1">
      <alignment horizontal="left" vertical="center" indent="1"/>
    </xf>
    <xf numFmtId="0" fontId="5" fillId="4" borderId="2" xfId="0" applyFont="1" applyFill="1" applyBorder="1" applyAlignment="1">
      <alignment horizontal="center" vertical="center"/>
    </xf>
    <xf numFmtId="166" fontId="7" fillId="6" borderId="2" xfId="0" applyNumberFormat="1" applyFont="1" applyFill="1" applyBorder="1" applyAlignment="1">
      <alignment horizontal="right" vertical="center"/>
    </xf>
    <xf numFmtId="1" fontId="13" fillId="0" borderId="2" xfId="0" applyNumberFormat="1" applyFont="1" applyBorder="1" applyAlignment="1">
      <alignment horizontal="center" vertical="center"/>
    </xf>
    <xf numFmtId="0" fontId="4" fillId="5" borderId="2" xfId="0" applyFont="1" applyFill="1" applyBorder="1" applyAlignment="1">
      <alignment horizontal="left" vertical="center" indent="2"/>
    </xf>
    <xf numFmtId="0" fontId="14" fillId="5" borderId="2" xfId="0" applyFont="1" applyFill="1" applyBorder="1" applyAlignment="1">
      <alignment horizontal="center" vertical="center"/>
    </xf>
    <xf numFmtId="164" fontId="4" fillId="0" borderId="2" xfId="0" applyNumberFormat="1" applyFont="1" applyBorder="1" applyAlignment="1">
      <alignment horizontal="right" vertical="center"/>
    </xf>
    <xf numFmtId="164" fontId="15" fillId="6" borderId="2" xfId="0" applyNumberFormat="1" applyFont="1" applyFill="1" applyBorder="1" applyAlignment="1">
      <alignment horizontal="right" vertical="center"/>
    </xf>
    <xf numFmtId="0" fontId="4" fillId="7" borderId="2" xfId="0" applyFont="1" applyFill="1" applyBorder="1" applyAlignment="1">
      <alignment horizontal="left" vertical="center" indent="2"/>
    </xf>
    <xf numFmtId="0" fontId="16" fillId="7" borderId="2" xfId="0" applyFont="1" applyFill="1" applyBorder="1" applyAlignment="1">
      <alignment horizontal="center" vertical="center"/>
    </xf>
    <xf numFmtId="0" fontId="17" fillId="8" borderId="2" xfId="0" applyFont="1" applyFill="1" applyBorder="1" applyAlignment="1">
      <alignment horizontal="left" vertical="center" indent="2"/>
    </xf>
    <xf numFmtId="0" fontId="14" fillId="8" borderId="2" xfId="0" applyFont="1" applyFill="1" applyBorder="1" applyAlignment="1">
      <alignment horizontal="center" vertical="center"/>
    </xf>
    <xf numFmtId="164" fontId="14" fillId="8" borderId="2" xfId="0" applyNumberFormat="1" applyFont="1" applyFill="1" applyBorder="1" applyAlignment="1">
      <alignment horizontal="right" vertical="center"/>
    </xf>
    <xf numFmtId="164" fontId="18" fillId="8" borderId="2" xfId="0" applyNumberFormat="1" applyFont="1" applyFill="1" applyBorder="1" applyAlignment="1">
      <alignment horizontal="right" vertical="center"/>
    </xf>
    <xf numFmtId="0" fontId="17" fillId="9" borderId="2" xfId="0" applyFont="1" applyFill="1" applyBorder="1" applyAlignment="1">
      <alignment horizontal="left" vertical="center" indent="2"/>
    </xf>
    <xf numFmtId="0" fontId="16" fillId="9" borderId="2" xfId="0" applyFont="1" applyFill="1" applyBorder="1" applyAlignment="1">
      <alignment horizontal="center" vertical="center"/>
    </xf>
    <xf numFmtId="164" fontId="16" fillId="9" borderId="2" xfId="0" applyNumberFormat="1" applyFont="1" applyFill="1" applyBorder="1" applyAlignment="1">
      <alignment horizontal="right" vertical="center"/>
    </xf>
    <xf numFmtId="164" fontId="19" fillId="9" borderId="2" xfId="0" applyNumberFormat="1" applyFont="1" applyFill="1" applyBorder="1" applyAlignment="1">
      <alignment horizontal="right" vertical="center"/>
    </xf>
    <xf numFmtId="0" fontId="2" fillId="3" borderId="2" xfId="0" applyFont="1" applyFill="1" applyBorder="1" applyAlignment="1">
      <alignment horizontal="left" vertical="center" indent="2"/>
    </xf>
    <xf numFmtId="0" fontId="0" fillId="3" borderId="2" xfId="0" applyFill="1" applyBorder="1"/>
    <xf numFmtId="164" fontId="8" fillId="3" borderId="2" xfId="0" applyNumberFormat="1" applyFont="1" applyFill="1" applyBorder="1" applyAlignment="1">
      <alignment horizontal="right" vertical="center"/>
    </xf>
    <xf numFmtId="164" fontId="2" fillId="3" borderId="2" xfId="0" applyNumberFormat="1" applyFont="1" applyFill="1" applyBorder="1" applyAlignment="1">
      <alignment horizontal="right" vertical="center"/>
    </xf>
    <xf numFmtId="0" fontId="20" fillId="2" borderId="2" xfId="0" applyFont="1" applyFill="1" applyBorder="1" applyAlignment="1">
      <alignment horizontal="center" vertical="center"/>
    </xf>
    <xf numFmtId="0" fontId="21" fillId="2" borderId="2" xfId="0" applyFont="1" applyFill="1" applyBorder="1" applyAlignment="1">
      <alignment horizontal="center" vertical="center"/>
    </xf>
    <xf numFmtId="0" fontId="3" fillId="10" borderId="2" xfId="0" applyFont="1" applyFill="1" applyBorder="1" applyAlignment="1">
      <alignment horizontal="left" vertical="center" indent="1"/>
    </xf>
    <xf numFmtId="0" fontId="0" fillId="10" borderId="2" xfId="0" applyFill="1" applyBorder="1"/>
    <xf numFmtId="164" fontId="2" fillId="10" borderId="2" xfId="0" applyNumberFormat="1" applyFont="1" applyFill="1" applyBorder="1" applyAlignment="1">
      <alignment horizontal="right" vertical="center"/>
    </xf>
    <xf numFmtId="164" fontId="3" fillId="10" borderId="2" xfId="0" applyNumberFormat="1" applyFont="1" applyFill="1" applyBorder="1" applyAlignment="1">
      <alignment horizontal="right" vertical="center"/>
    </xf>
    <xf numFmtId="0" fontId="22" fillId="2" borderId="0" xfId="0" applyFont="1" applyFill="1" applyAlignment="1">
      <alignment horizontal="left" vertical="center" indent="1"/>
    </xf>
  </cellXfs>
  <cellStyles count="1">
    <cellStyle name="Standard" xfId="0" builtinId="0"/>
  </cellStyles>
  <dxfs count="4">
    <dxf>
      <font>
        <b/>
        <sz val="11"/>
        <color rgb="FFFFC7CE"/>
        <name val="Calibri"/>
        <charset val="1"/>
      </font>
    </dxf>
    <dxf>
      <font>
        <b/>
        <sz val="10"/>
        <color rgb="FF9C0006"/>
        <name val="Calibri"/>
        <charset val="1"/>
      </font>
      <fill>
        <patternFill>
          <bgColor rgb="FFFFC7CE"/>
        </patternFill>
      </fill>
    </dxf>
    <dxf>
      <font>
        <b/>
        <sz val="11"/>
        <color rgb="FF9C0006"/>
        <name val="Calibri"/>
        <charset val="1"/>
      </font>
      <fill>
        <patternFill>
          <bgColor rgb="FFFFC7CE"/>
        </patternFill>
      </fill>
    </dxf>
    <dxf>
      <font>
        <b/>
        <sz val="11"/>
        <color rgb="FF006100"/>
        <name val="Calibri"/>
        <charset val="1"/>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4C7E7"/>
      <rgbColor rgb="FF808080"/>
      <rgbColor rgb="FF9999FF"/>
      <rgbColor rgb="FF993366"/>
      <rgbColor rgb="FFFFF2CC"/>
      <rgbColor rgb="FFE2EFD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FCE4E4"/>
      <rgbColor rgb="FFC6EFCE"/>
      <rgbColor rgb="FFFDFDEA"/>
      <rgbColor rgb="FF99CCFF"/>
      <rgbColor rgb="FFFFE0E0"/>
      <rgbColor rgb="FFCC99FF"/>
      <rgbColor rgb="FFFFC7CE"/>
      <rgbColor rgb="FF3366FF"/>
      <rgbColor rgb="FF33CCCC"/>
      <rgbColor rgb="FF99CC00"/>
      <rgbColor rgb="FFFFCC00"/>
      <rgbColor rgb="FFFF9900"/>
      <rgbColor rgb="FFFF6600"/>
      <rgbColor rgb="FF595959"/>
      <rgbColor rgb="FF969696"/>
      <rgbColor rgb="FF1F3A5F"/>
      <rgbColor rgb="FF339966"/>
      <rgbColor rgb="FF0F1F33"/>
      <rgbColor rgb="FF006100"/>
      <rgbColor rgb="FF993300"/>
      <rgbColor rgb="FF993366"/>
      <rgbColor rgb="FF2E5C8A"/>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6"/>
  <sheetViews>
    <sheetView showGridLines="0" tabSelected="1" zoomScaleNormal="100" workbookViewId="0">
      <selection activeCell="B2" sqref="B2:H2"/>
    </sheetView>
  </sheetViews>
  <sheetFormatPr baseColWidth="10" defaultColWidth="8.7109375" defaultRowHeight="15" x14ac:dyDescent="0.25"/>
  <cols>
    <col min="1" max="1" width="0.7109375" customWidth="1"/>
    <col min="2" max="2" width="32" customWidth="1"/>
    <col min="3" max="5" width="16" customWidth="1"/>
    <col min="6" max="6" width="3" customWidth="1"/>
    <col min="7" max="7" width="28" customWidth="1"/>
    <col min="8" max="8" width="16" customWidth="1"/>
    <col min="9" max="9" width="2" customWidth="1"/>
  </cols>
  <sheetData>
    <row r="1" spans="2:8" ht="6" customHeight="1" x14ac:dyDescent="0.25"/>
    <row r="2" spans="2:8" ht="33.75" customHeight="1" x14ac:dyDescent="0.25">
      <c r="B2" s="64" t="s">
        <v>162</v>
      </c>
      <c r="C2" s="64"/>
      <c r="D2" s="64"/>
      <c r="E2" s="64"/>
      <c r="F2" s="64"/>
      <c r="G2" s="64"/>
      <c r="H2" s="64"/>
    </row>
    <row r="3" spans="2:8" ht="19.5" customHeight="1" x14ac:dyDescent="0.25">
      <c r="B3" s="13" t="s">
        <v>0</v>
      </c>
      <c r="C3" s="13"/>
      <c r="D3" s="13"/>
      <c r="E3" s="13"/>
      <c r="F3" s="13"/>
      <c r="G3" s="13"/>
      <c r="H3" s="13"/>
    </row>
    <row r="4" spans="2:8" ht="7.5" customHeight="1" x14ac:dyDescent="0.25"/>
    <row r="5" spans="2:8" ht="21.75" customHeight="1" x14ac:dyDescent="0.25">
      <c r="B5" s="12" t="s">
        <v>1</v>
      </c>
      <c r="C5" s="12"/>
      <c r="D5" s="12"/>
      <c r="E5" s="12"/>
      <c r="G5" s="11" t="s">
        <v>2</v>
      </c>
      <c r="H5" s="11"/>
    </row>
    <row r="6" spans="2:8" x14ac:dyDescent="0.25">
      <c r="B6" s="14" t="s">
        <v>3</v>
      </c>
      <c r="C6" s="10" t="s">
        <v>4</v>
      </c>
      <c r="D6" s="10"/>
      <c r="E6" s="10"/>
      <c r="G6" s="15" t="s">
        <v>5</v>
      </c>
      <c r="H6" s="16">
        <f>C19</f>
        <v>19014.25</v>
      </c>
    </row>
    <row r="7" spans="2:8" x14ac:dyDescent="0.25">
      <c r="B7" s="14" t="s">
        <v>6</v>
      </c>
      <c r="C7" s="10" t="s">
        <v>7</v>
      </c>
      <c r="D7" s="10"/>
      <c r="E7" s="10"/>
      <c r="G7" s="15" t="s">
        <v>8</v>
      </c>
      <c r="H7" s="16">
        <f>D19</f>
        <v>4302</v>
      </c>
    </row>
    <row r="8" spans="2:8" x14ac:dyDescent="0.25">
      <c r="B8" s="14" t="s">
        <v>9</v>
      </c>
      <c r="C8" s="10" t="s">
        <v>10</v>
      </c>
      <c r="D8" s="10"/>
      <c r="E8" s="10"/>
      <c r="G8" s="17" t="s">
        <v>11</v>
      </c>
      <c r="H8" s="16">
        <f>E19</f>
        <v>14712.25</v>
      </c>
    </row>
    <row r="9" spans="2:8" x14ac:dyDescent="0.25">
      <c r="B9" s="14" t="s">
        <v>12</v>
      </c>
      <c r="C9" s="10" t="s">
        <v>13</v>
      </c>
      <c r="D9" s="10"/>
      <c r="E9" s="10"/>
    </row>
    <row r="10" spans="2:8" x14ac:dyDescent="0.25">
      <c r="B10" s="14" t="s">
        <v>14</v>
      </c>
      <c r="C10" s="10" t="s">
        <v>15</v>
      </c>
      <c r="D10" s="10"/>
      <c r="E10" s="10"/>
      <c r="G10" s="15" t="s">
        <v>16</v>
      </c>
      <c r="H10" s="16">
        <f>C26</f>
        <v>14057.650000000001</v>
      </c>
    </row>
    <row r="11" spans="2:8" x14ac:dyDescent="0.25">
      <c r="B11" s="14" t="s">
        <v>17</v>
      </c>
      <c r="C11" s="9">
        <v>142</v>
      </c>
      <c r="D11" s="9"/>
      <c r="E11" s="9"/>
      <c r="G11" s="17" t="s">
        <v>18</v>
      </c>
      <c r="H11" s="16">
        <f>D26</f>
        <v>28769.899999999998</v>
      </c>
    </row>
    <row r="12" spans="2:8" x14ac:dyDescent="0.25">
      <c r="G12" s="15" t="s">
        <v>19</v>
      </c>
      <c r="H12" s="16">
        <f>D26-C26</f>
        <v>14712.249999999996</v>
      </c>
    </row>
    <row r="13" spans="2:8" x14ac:dyDescent="0.25">
      <c r="B13" s="12" t="s">
        <v>20</v>
      </c>
      <c r="C13" s="12"/>
      <c r="D13" s="12"/>
      <c r="E13" s="12"/>
    </row>
    <row r="14" spans="2:8" ht="25.5" customHeight="1" x14ac:dyDescent="0.25">
      <c r="B14" s="18" t="s">
        <v>21</v>
      </c>
      <c r="C14" s="18" t="s">
        <v>22</v>
      </c>
      <c r="D14" s="18" t="s">
        <v>23</v>
      </c>
      <c r="E14" s="18" t="s">
        <v>24</v>
      </c>
      <c r="G14" s="15" t="s">
        <v>25</v>
      </c>
      <c r="H14" s="19">
        <f>COUNTA(Buchungen!A14:A200)</f>
        <v>187</v>
      </c>
    </row>
    <row r="15" spans="2:8" x14ac:dyDescent="0.25">
      <c r="B15" s="15" t="s">
        <v>26</v>
      </c>
      <c r="C15" s="20">
        <f>SUMIFS(Buchungen!F:F,Buchungen!D:D,B15)</f>
        <v>10860</v>
      </c>
      <c r="D15" s="20">
        <f>SUMIFS(Buchungen!G:G,Buchungen!D:D,B15)</f>
        <v>1149.3999999999999</v>
      </c>
      <c r="E15" s="21">
        <f>C15-D15</f>
        <v>9710.6</v>
      </c>
      <c r="G15" s="15" t="s">
        <v>27</v>
      </c>
      <c r="H15" s="22">
        <f>IFERROR(D19/C19,0)</f>
        <v>0.22625136410849758</v>
      </c>
    </row>
    <row r="16" spans="2:8" x14ac:dyDescent="0.25">
      <c r="B16" s="15" t="s">
        <v>28</v>
      </c>
      <c r="C16" s="20">
        <f>SUMIFS(Buchungen!F:F,Buchungen!D:D,B16)</f>
        <v>753.15</v>
      </c>
      <c r="D16" s="20">
        <f>SUMIFS(Buchungen!G:G,Buchungen!D:D,B16)</f>
        <v>58</v>
      </c>
      <c r="E16" s="21">
        <f>C16-D16</f>
        <v>695.15</v>
      </c>
      <c r="G16" s="17" t="s">
        <v>29</v>
      </c>
      <c r="H16" s="23" t="str">
        <f>IF(E19&gt;0,"✓ Überschuss",IF(E19=0,"= Ausgeglichen","✗ Fehlbetrag"))</f>
        <v>✓ Überschuss</v>
      </c>
    </row>
    <row r="17" spans="2:8" x14ac:dyDescent="0.25">
      <c r="B17" s="15" t="s">
        <v>30</v>
      </c>
      <c r="C17" s="20">
        <f>SUMIFS(Buchungen!F:F,Buchungen!D:D,B17)</f>
        <v>3525</v>
      </c>
      <c r="D17" s="20">
        <f>SUMIFS(Buchungen!G:G,Buchungen!D:D,B17)</f>
        <v>2122.4</v>
      </c>
      <c r="E17" s="21">
        <f>C17-D17</f>
        <v>1402.6</v>
      </c>
    </row>
    <row r="18" spans="2:8" x14ac:dyDescent="0.25">
      <c r="B18" s="15" t="s">
        <v>31</v>
      </c>
      <c r="C18" s="20">
        <f>SUMIFS(Buchungen!F:F,Buchungen!D:D,B18)</f>
        <v>3876.1000000000004</v>
      </c>
      <c r="D18" s="20">
        <f>SUMIFS(Buchungen!G:G,Buchungen!D:D,B18)</f>
        <v>972.2</v>
      </c>
      <c r="E18" s="21">
        <f>C18-D18</f>
        <v>2903.9000000000005</v>
      </c>
    </row>
    <row r="19" spans="2:8" ht="24" customHeight="1" x14ac:dyDescent="0.25">
      <c r="B19" s="24" t="s">
        <v>32</v>
      </c>
      <c r="C19" s="25">
        <f>SUM(C15:C18)</f>
        <v>19014.25</v>
      </c>
      <c r="D19" s="25">
        <f>SUM(D15:D18)</f>
        <v>4302</v>
      </c>
      <c r="E19" s="25">
        <f>SUM(E15:E18)</f>
        <v>14712.25</v>
      </c>
    </row>
    <row r="21" spans="2:8" ht="21.75" customHeight="1" x14ac:dyDescent="0.25">
      <c r="B21" s="12" t="s">
        <v>33</v>
      </c>
      <c r="C21" s="12"/>
      <c r="D21" s="12"/>
      <c r="E21" s="12"/>
    </row>
    <row r="22" spans="2:8" ht="24" customHeight="1" x14ac:dyDescent="0.25">
      <c r="B22" s="18" t="s">
        <v>34</v>
      </c>
      <c r="C22" s="18" t="s">
        <v>35</v>
      </c>
      <c r="D22" s="18" t="s">
        <v>36</v>
      </c>
      <c r="E22" s="18" t="s">
        <v>37</v>
      </c>
    </row>
    <row r="23" spans="2:8" x14ac:dyDescent="0.25">
      <c r="B23" s="15" t="s">
        <v>38</v>
      </c>
      <c r="C23" s="26">
        <v>312.45</v>
      </c>
      <c r="D23" s="27">
        <f>C23+SUMIFS(Buchungen!F:F,Buchungen!H:H,"Kasse")-SUMIFS(Buchungen!G:G,Buchungen!H:H,"Kasse")</f>
        <v>4053.9500000000003</v>
      </c>
      <c r="E23" s="27">
        <f>D23-C23</f>
        <v>3741.5000000000005</v>
      </c>
    </row>
    <row r="24" spans="2:8" x14ac:dyDescent="0.25">
      <c r="B24" s="15" t="s">
        <v>39</v>
      </c>
      <c r="C24" s="26">
        <v>8745.2000000000007</v>
      </c>
      <c r="D24" s="27">
        <f>C24+SUMIFS(Buchungen!F:F,Buchungen!H:H,"Bank")-SUMIFS(Buchungen!G:G,Buchungen!H:H,"Bank")</f>
        <v>19715.949999999997</v>
      </c>
      <c r="E24" s="27">
        <f>D24-C24</f>
        <v>10970.749999999996</v>
      </c>
    </row>
    <row r="25" spans="2:8" x14ac:dyDescent="0.25">
      <c r="B25" s="15" t="s">
        <v>40</v>
      </c>
      <c r="C25" s="26">
        <v>5000</v>
      </c>
      <c r="D25" s="26">
        <v>5000</v>
      </c>
      <c r="E25" s="27">
        <f>D25-C25</f>
        <v>0</v>
      </c>
    </row>
    <row r="26" spans="2:8" ht="24" customHeight="1" x14ac:dyDescent="0.25">
      <c r="B26" s="24" t="s">
        <v>41</v>
      </c>
      <c r="C26" s="28">
        <f>SUM(C23:C25)</f>
        <v>14057.650000000001</v>
      </c>
      <c r="D26" s="28">
        <f>SUM(D23:D25)</f>
        <v>28769.899999999998</v>
      </c>
      <c r="E26" s="28">
        <f>D26-C26</f>
        <v>14712.249999999996</v>
      </c>
    </row>
    <row r="30" spans="2:8" ht="21.75" customHeight="1" x14ac:dyDescent="0.25">
      <c r="B30" s="12" t="s">
        <v>42</v>
      </c>
      <c r="C30" s="12"/>
      <c r="D30" s="12"/>
      <c r="E30" s="12"/>
    </row>
    <row r="31" spans="2:8" ht="37.5" customHeight="1" x14ac:dyDescent="0.25">
      <c r="B31" s="8" t="s">
        <v>43</v>
      </c>
      <c r="C31" s="8"/>
      <c r="D31" s="8" t="s">
        <v>43</v>
      </c>
      <c r="E31" s="8"/>
      <c r="G31" s="29" t="s">
        <v>43</v>
      </c>
      <c r="H31" s="29" t="s">
        <v>43</v>
      </c>
    </row>
    <row r="32" spans="2:8" ht="18" customHeight="1" x14ac:dyDescent="0.25">
      <c r="B32" s="7" t="s">
        <v>44</v>
      </c>
      <c r="C32" s="7"/>
      <c r="D32" s="7" t="s">
        <v>45</v>
      </c>
      <c r="E32" s="7"/>
      <c r="G32" s="30" t="s">
        <v>46</v>
      </c>
      <c r="H32" s="30" t="s">
        <v>47</v>
      </c>
    </row>
    <row r="34" spans="2:8" x14ac:dyDescent="0.25">
      <c r="B34" s="6" t="s">
        <v>48</v>
      </c>
      <c r="C34" s="6"/>
      <c r="D34" s="6"/>
      <c r="E34" s="6"/>
    </row>
    <row r="36" spans="2:8" ht="42" customHeight="1" x14ac:dyDescent="0.25">
      <c r="B36" s="5" t="s">
        <v>49</v>
      </c>
      <c r="C36" s="5"/>
      <c r="D36" s="5"/>
      <c r="E36" s="5"/>
      <c r="F36" s="5"/>
      <c r="G36" s="5"/>
      <c r="H36" s="5"/>
    </row>
  </sheetData>
  <mergeCells count="19">
    <mergeCell ref="B32:C32"/>
    <mergeCell ref="D32:E32"/>
    <mergeCell ref="B34:E34"/>
    <mergeCell ref="B36:H36"/>
    <mergeCell ref="B13:E13"/>
    <mergeCell ref="B21:E21"/>
    <mergeCell ref="B30:E30"/>
    <mergeCell ref="B31:C31"/>
    <mergeCell ref="D31:E31"/>
    <mergeCell ref="C7:E7"/>
    <mergeCell ref="C8:E8"/>
    <mergeCell ref="C9:E9"/>
    <mergeCell ref="C10:E10"/>
    <mergeCell ref="C11:E11"/>
    <mergeCell ref="B2:H2"/>
    <mergeCell ref="B3:H3"/>
    <mergeCell ref="B5:E5"/>
    <mergeCell ref="G5:H5"/>
    <mergeCell ref="C6:E6"/>
  </mergeCells>
  <conditionalFormatting sqref="H16">
    <cfRule type="cellIs" dxfId="3" priority="2" operator="equal">
      <formula>"✓ Überschuss"</formula>
    </cfRule>
    <cfRule type="cellIs" dxfId="2" priority="3" operator="equal">
      <formula>"✗ Fehlbetrag"</formula>
    </cfRule>
  </conditionalFormatting>
  <printOptions horizontalCentered="1"/>
  <pageMargins left="0.4" right="0.4" top="0.5" bottom="0.5"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0"/>
  <sheetViews>
    <sheetView showGridLines="0" zoomScaleNormal="100" workbookViewId="0">
      <pane ySplit="7" topLeftCell="A8" activePane="bottomLeft" state="frozen"/>
      <selection pane="bottomLeft"/>
    </sheetView>
  </sheetViews>
  <sheetFormatPr baseColWidth="10" defaultColWidth="8.7109375" defaultRowHeight="15" outlineLevelCol="1" x14ac:dyDescent="0.25"/>
  <cols>
    <col min="1" max="1" width="9" customWidth="1"/>
    <col min="2" max="2" width="12" customWidth="1"/>
    <col min="3" max="3" width="36" customWidth="1"/>
    <col min="4" max="4" width="27" customWidth="1"/>
    <col min="5" max="5" width="28" customWidth="1"/>
    <col min="6" max="7" width="14" customWidth="1"/>
    <col min="8" max="8" width="10" customWidth="1"/>
    <col min="9" max="9" width="14" customWidth="1"/>
    <col min="10" max="10" width="7" customWidth="1" outlineLevel="1"/>
  </cols>
  <sheetData>
    <row r="1" spans="1:10" ht="6" customHeight="1" x14ac:dyDescent="0.25"/>
    <row r="2" spans="1:10" ht="31.5" customHeight="1" x14ac:dyDescent="0.25">
      <c r="A2" s="4" t="s">
        <v>50</v>
      </c>
      <c r="B2" s="4"/>
      <c r="C2" s="4"/>
      <c r="D2" s="4"/>
      <c r="E2" s="4"/>
      <c r="F2" s="4"/>
      <c r="G2" s="4"/>
      <c r="H2" s="4"/>
      <c r="I2" s="4"/>
      <c r="J2" s="4"/>
    </row>
    <row r="3" spans="1:10" ht="19.5" customHeight="1" x14ac:dyDescent="0.25">
      <c r="A3" s="13" t="s">
        <v>51</v>
      </c>
      <c r="B3" s="13"/>
      <c r="C3" s="13"/>
      <c r="D3" s="13"/>
      <c r="E3" s="13"/>
      <c r="F3" s="13"/>
      <c r="G3" s="13"/>
      <c r="H3" s="13"/>
      <c r="I3" s="13"/>
      <c r="J3" s="13"/>
    </row>
    <row r="4" spans="1:10" ht="7.5" customHeight="1" x14ac:dyDescent="0.25"/>
    <row r="5" spans="1:10" x14ac:dyDescent="0.25">
      <c r="A5" s="3" t="s">
        <v>52</v>
      </c>
      <c r="B5" s="3"/>
      <c r="C5" s="3"/>
      <c r="D5" s="3"/>
      <c r="E5" s="3"/>
      <c r="F5" s="2">
        <f>Jahresabschluss!C23+Jahresabschluss!C24</f>
        <v>9057.6500000000015</v>
      </c>
      <c r="G5" s="2"/>
      <c r="H5" s="31" t="s">
        <v>53</v>
      </c>
      <c r="I5" s="32" t="s">
        <v>54</v>
      </c>
    </row>
    <row r="6" spans="1:10" ht="6" customHeight="1" x14ac:dyDescent="0.25"/>
    <row r="7" spans="1:10" ht="36" customHeight="1" x14ac:dyDescent="0.25">
      <c r="A7" s="33" t="s">
        <v>55</v>
      </c>
      <c r="B7" s="33" t="s">
        <v>56</v>
      </c>
      <c r="C7" s="33" t="s">
        <v>57</v>
      </c>
      <c r="D7" s="33" t="s">
        <v>21</v>
      </c>
      <c r="E7" s="33" t="s">
        <v>58</v>
      </c>
      <c r="F7" s="33" t="s">
        <v>59</v>
      </c>
      <c r="G7" s="33" t="s">
        <v>60</v>
      </c>
      <c r="H7" s="33" t="s">
        <v>61</v>
      </c>
      <c r="I7" s="33" t="s">
        <v>62</v>
      </c>
      <c r="J7" s="33" t="s">
        <v>63</v>
      </c>
    </row>
    <row r="8" spans="1:10" x14ac:dyDescent="0.25">
      <c r="A8" s="34" t="str">
        <f t="shared" ref="A8:A39" si="0">IF(B8="","",TEXT(YEAR(B8),"0000")&amp;"-"&amp;TEXT(ROW()-7,"000"))</f>
        <v>2026-001</v>
      </c>
      <c r="B8" s="35">
        <v>46027</v>
      </c>
      <c r="C8" s="36" t="s">
        <v>64</v>
      </c>
      <c r="D8" s="36" t="s">
        <v>26</v>
      </c>
      <c r="E8" s="36" t="s">
        <v>65</v>
      </c>
      <c r="F8" s="26">
        <v>5680</v>
      </c>
      <c r="G8" s="26"/>
      <c r="H8" s="37" t="s">
        <v>66</v>
      </c>
      <c r="I8" s="38">
        <f>F5+IFERROR(F8,0)-IFERROR(G8,0)</f>
        <v>14737.650000000001</v>
      </c>
      <c r="J8" s="39">
        <f t="shared" ref="J8:J39" si="1">IF(B8="","",MONTH(B8))</f>
        <v>1</v>
      </c>
    </row>
    <row r="9" spans="1:10" x14ac:dyDescent="0.25">
      <c r="A9" s="34" t="str">
        <f t="shared" si="0"/>
        <v>2026-002</v>
      </c>
      <c r="B9" s="35">
        <v>46030</v>
      </c>
      <c r="C9" s="36" t="s">
        <v>67</v>
      </c>
      <c r="D9" s="36" t="s">
        <v>28</v>
      </c>
      <c r="E9" s="36" t="s">
        <v>68</v>
      </c>
      <c r="F9" s="26"/>
      <c r="G9" s="26">
        <v>14.5</v>
      </c>
      <c r="H9" s="37" t="s">
        <v>66</v>
      </c>
      <c r="I9" s="38">
        <f t="shared" ref="I9:I40" si="2">I8+IFERROR(F9,0)-IFERROR(G9,0)</f>
        <v>14723.150000000001</v>
      </c>
      <c r="J9" s="39">
        <f t="shared" si="1"/>
        <v>1</v>
      </c>
    </row>
    <row r="10" spans="1:10" x14ac:dyDescent="0.25">
      <c r="A10" s="34" t="str">
        <f t="shared" si="0"/>
        <v>2026-003</v>
      </c>
      <c r="B10" s="35">
        <v>46034</v>
      </c>
      <c r="C10" s="36" t="s">
        <v>69</v>
      </c>
      <c r="D10" s="36" t="s">
        <v>26</v>
      </c>
      <c r="E10" s="36" t="s">
        <v>70</v>
      </c>
      <c r="F10" s="26">
        <v>250</v>
      </c>
      <c r="G10" s="26"/>
      <c r="H10" s="37" t="s">
        <v>66</v>
      </c>
      <c r="I10" s="38">
        <f t="shared" si="2"/>
        <v>14973.150000000001</v>
      </c>
      <c r="J10" s="39">
        <f t="shared" si="1"/>
        <v>1</v>
      </c>
    </row>
    <row r="11" spans="1:10" x14ac:dyDescent="0.25">
      <c r="A11" s="34" t="str">
        <f t="shared" si="0"/>
        <v>2026-004</v>
      </c>
      <c r="B11" s="35">
        <v>46044</v>
      </c>
      <c r="C11" s="36" t="s">
        <v>71</v>
      </c>
      <c r="D11" s="36" t="s">
        <v>26</v>
      </c>
      <c r="E11" s="36" t="s">
        <v>72</v>
      </c>
      <c r="F11" s="26"/>
      <c r="G11" s="26">
        <v>87.4</v>
      </c>
      <c r="H11" s="37" t="s">
        <v>66</v>
      </c>
      <c r="I11" s="38">
        <f t="shared" si="2"/>
        <v>14885.750000000002</v>
      </c>
      <c r="J11" s="39">
        <f t="shared" si="1"/>
        <v>1</v>
      </c>
    </row>
    <row r="12" spans="1:10" x14ac:dyDescent="0.25">
      <c r="A12" s="34" t="str">
        <f t="shared" si="0"/>
        <v>2026-005</v>
      </c>
      <c r="B12" s="35">
        <v>46056</v>
      </c>
      <c r="C12" s="36" t="s">
        <v>73</v>
      </c>
      <c r="D12" s="36" t="s">
        <v>26</v>
      </c>
      <c r="E12" s="36" t="s">
        <v>74</v>
      </c>
      <c r="F12" s="26"/>
      <c r="G12" s="26">
        <v>312</v>
      </c>
      <c r="H12" s="37" t="s">
        <v>66</v>
      </c>
      <c r="I12" s="38">
        <f t="shared" si="2"/>
        <v>14573.750000000002</v>
      </c>
      <c r="J12" s="39">
        <f t="shared" si="1"/>
        <v>2</v>
      </c>
    </row>
    <row r="13" spans="1:10" x14ac:dyDescent="0.25">
      <c r="A13" s="34" t="str">
        <f t="shared" si="0"/>
        <v>2026-006</v>
      </c>
      <c r="B13" s="35">
        <v>46067</v>
      </c>
      <c r="C13" s="36" t="s">
        <v>75</v>
      </c>
      <c r="D13" s="36" t="s">
        <v>26</v>
      </c>
      <c r="E13" s="36" t="s">
        <v>70</v>
      </c>
      <c r="F13" s="26">
        <v>500</v>
      </c>
      <c r="G13" s="26"/>
      <c r="H13" s="37" t="s">
        <v>66</v>
      </c>
      <c r="I13" s="38">
        <f t="shared" si="2"/>
        <v>15073.750000000002</v>
      </c>
      <c r="J13" s="39">
        <f t="shared" si="1"/>
        <v>2</v>
      </c>
    </row>
    <row r="14" spans="1:10" x14ac:dyDescent="0.25">
      <c r="A14" s="34" t="str">
        <f t="shared" si="0"/>
        <v>2026-007</v>
      </c>
      <c r="B14" s="35">
        <v>46078</v>
      </c>
      <c r="C14" s="36" t="s">
        <v>76</v>
      </c>
      <c r="D14" s="36" t="s">
        <v>26</v>
      </c>
      <c r="E14" s="36" t="s">
        <v>77</v>
      </c>
      <c r="F14" s="26"/>
      <c r="G14" s="26">
        <v>134.19999999999999</v>
      </c>
      <c r="H14" s="37" t="s">
        <v>78</v>
      </c>
      <c r="I14" s="38">
        <f t="shared" si="2"/>
        <v>14939.550000000001</v>
      </c>
      <c r="J14" s="39">
        <f t="shared" si="1"/>
        <v>2</v>
      </c>
    </row>
    <row r="15" spans="1:10" x14ac:dyDescent="0.25">
      <c r="A15" s="34" t="str">
        <f t="shared" si="0"/>
        <v>2026-008</v>
      </c>
      <c r="B15" s="35">
        <v>46089</v>
      </c>
      <c r="C15" s="36" t="s">
        <v>79</v>
      </c>
      <c r="D15" s="36" t="s">
        <v>30</v>
      </c>
      <c r="E15" s="36" t="s">
        <v>80</v>
      </c>
      <c r="F15" s="26">
        <v>1240</v>
      </c>
      <c r="G15" s="26"/>
      <c r="H15" s="37" t="s">
        <v>66</v>
      </c>
      <c r="I15" s="38">
        <f t="shared" si="2"/>
        <v>16179.550000000001</v>
      </c>
      <c r="J15" s="39">
        <f t="shared" si="1"/>
        <v>3</v>
      </c>
    </row>
    <row r="16" spans="1:10" x14ac:dyDescent="0.25">
      <c r="A16" s="34" t="str">
        <f t="shared" si="0"/>
        <v>2026-009</v>
      </c>
      <c r="B16" s="35">
        <v>46091</v>
      </c>
      <c r="C16" s="36" t="s">
        <v>81</v>
      </c>
      <c r="D16" s="36" t="s">
        <v>30</v>
      </c>
      <c r="E16" s="36" t="s">
        <v>82</v>
      </c>
      <c r="F16" s="26"/>
      <c r="G16" s="26">
        <v>480</v>
      </c>
      <c r="H16" s="37" t="s">
        <v>66</v>
      </c>
      <c r="I16" s="38">
        <f t="shared" si="2"/>
        <v>15699.550000000001</v>
      </c>
      <c r="J16" s="39">
        <f t="shared" si="1"/>
        <v>3</v>
      </c>
    </row>
    <row r="17" spans="1:10" x14ac:dyDescent="0.25">
      <c r="A17" s="34" t="str">
        <f t="shared" si="0"/>
        <v>2026-010</v>
      </c>
      <c r="B17" s="35">
        <v>46099</v>
      </c>
      <c r="C17" s="36" t="s">
        <v>83</v>
      </c>
      <c r="D17" s="36" t="s">
        <v>26</v>
      </c>
      <c r="E17" s="36" t="s">
        <v>84</v>
      </c>
      <c r="F17" s="26">
        <v>1500</v>
      </c>
      <c r="G17" s="26"/>
      <c r="H17" s="37" t="s">
        <v>66</v>
      </c>
      <c r="I17" s="38">
        <f t="shared" si="2"/>
        <v>17199.550000000003</v>
      </c>
      <c r="J17" s="39">
        <f t="shared" si="1"/>
        <v>3</v>
      </c>
    </row>
    <row r="18" spans="1:10" x14ac:dyDescent="0.25">
      <c r="A18" s="34" t="str">
        <f t="shared" si="0"/>
        <v>2026-011</v>
      </c>
      <c r="B18" s="35">
        <v>46103</v>
      </c>
      <c r="C18" s="36" t="s">
        <v>85</v>
      </c>
      <c r="D18" s="36" t="s">
        <v>31</v>
      </c>
      <c r="E18" s="36" t="s">
        <v>86</v>
      </c>
      <c r="F18" s="26">
        <v>487.5</v>
      </c>
      <c r="G18" s="26"/>
      <c r="H18" s="37" t="s">
        <v>78</v>
      </c>
      <c r="I18" s="38">
        <f t="shared" si="2"/>
        <v>17687.050000000003</v>
      </c>
      <c r="J18" s="39">
        <f t="shared" si="1"/>
        <v>3</v>
      </c>
    </row>
    <row r="19" spans="1:10" x14ac:dyDescent="0.25">
      <c r="A19" s="34" t="str">
        <f t="shared" si="0"/>
        <v>2026-012</v>
      </c>
      <c r="B19" s="35">
        <v>46103</v>
      </c>
      <c r="C19" s="36" t="s">
        <v>87</v>
      </c>
      <c r="D19" s="36" t="s">
        <v>31</v>
      </c>
      <c r="E19" s="36" t="s">
        <v>88</v>
      </c>
      <c r="F19" s="26">
        <v>312.8</v>
      </c>
      <c r="G19" s="26"/>
      <c r="H19" s="37" t="s">
        <v>78</v>
      </c>
      <c r="I19" s="38">
        <f t="shared" si="2"/>
        <v>17999.850000000002</v>
      </c>
      <c r="J19" s="39">
        <f t="shared" si="1"/>
        <v>3</v>
      </c>
    </row>
    <row r="20" spans="1:10" x14ac:dyDescent="0.25">
      <c r="A20" s="34" t="str">
        <f t="shared" si="0"/>
        <v>2026-013</v>
      </c>
      <c r="B20" s="35">
        <v>46104</v>
      </c>
      <c r="C20" s="36" t="s">
        <v>89</v>
      </c>
      <c r="D20" s="36" t="s">
        <v>31</v>
      </c>
      <c r="E20" s="36" t="s">
        <v>90</v>
      </c>
      <c r="F20" s="26"/>
      <c r="G20" s="26">
        <v>215.6</v>
      </c>
      <c r="H20" s="37" t="s">
        <v>78</v>
      </c>
      <c r="I20" s="38">
        <f t="shared" si="2"/>
        <v>17784.250000000004</v>
      </c>
      <c r="J20" s="39">
        <f t="shared" si="1"/>
        <v>3</v>
      </c>
    </row>
    <row r="21" spans="1:10" x14ac:dyDescent="0.25">
      <c r="A21" s="34" t="str">
        <f t="shared" si="0"/>
        <v>2026-014</v>
      </c>
      <c r="B21" s="35">
        <v>46113</v>
      </c>
      <c r="C21" s="36" t="s">
        <v>91</v>
      </c>
      <c r="D21" s="36" t="s">
        <v>28</v>
      </c>
      <c r="E21" s="36" t="s">
        <v>68</v>
      </c>
      <c r="F21" s="26"/>
      <c r="G21" s="26">
        <v>14.5</v>
      </c>
      <c r="H21" s="37" t="s">
        <v>66</v>
      </c>
      <c r="I21" s="38">
        <f t="shared" si="2"/>
        <v>17769.750000000004</v>
      </c>
      <c r="J21" s="39">
        <f t="shared" si="1"/>
        <v>4</v>
      </c>
    </row>
    <row r="22" spans="1:10" x14ac:dyDescent="0.25">
      <c r="A22" s="34" t="str">
        <f t="shared" si="0"/>
        <v>2026-015</v>
      </c>
      <c r="B22" s="35">
        <v>46117</v>
      </c>
      <c r="C22" s="36" t="s">
        <v>92</v>
      </c>
      <c r="D22" s="36" t="s">
        <v>26</v>
      </c>
      <c r="E22" s="36" t="s">
        <v>70</v>
      </c>
      <c r="F22" s="26">
        <v>180</v>
      </c>
      <c r="G22" s="26"/>
      <c r="H22" s="37" t="s">
        <v>66</v>
      </c>
      <c r="I22" s="38">
        <f t="shared" si="2"/>
        <v>17949.750000000004</v>
      </c>
      <c r="J22" s="39">
        <f t="shared" si="1"/>
        <v>4</v>
      </c>
    </row>
    <row r="23" spans="1:10" x14ac:dyDescent="0.25">
      <c r="A23" s="34" t="str">
        <f t="shared" si="0"/>
        <v>2026-016</v>
      </c>
      <c r="B23" s="35">
        <v>46124</v>
      </c>
      <c r="C23" s="36" t="s">
        <v>93</v>
      </c>
      <c r="D23" s="36" t="s">
        <v>28</v>
      </c>
      <c r="E23" s="36" t="s">
        <v>94</v>
      </c>
      <c r="F23" s="26">
        <v>350</v>
      </c>
      <c r="G23" s="26"/>
      <c r="H23" s="37" t="s">
        <v>66</v>
      </c>
      <c r="I23" s="38">
        <f t="shared" si="2"/>
        <v>18299.750000000004</v>
      </c>
      <c r="J23" s="39">
        <f t="shared" si="1"/>
        <v>4</v>
      </c>
    </row>
    <row r="24" spans="1:10" x14ac:dyDescent="0.25">
      <c r="A24" s="34" t="str">
        <f t="shared" si="0"/>
        <v>2026-017</v>
      </c>
      <c r="B24" s="35">
        <v>46132</v>
      </c>
      <c r="C24" s="36" t="s">
        <v>95</v>
      </c>
      <c r="D24" s="36" t="s">
        <v>26</v>
      </c>
      <c r="E24" s="36" t="s">
        <v>96</v>
      </c>
      <c r="F24" s="26"/>
      <c r="G24" s="26">
        <v>168</v>
      </c>
      <c r="H24" s="37" t="s">
        <v>66</v>
      </c>
      <c r="I24" s="38">
        <f t="shared" si="2"/>
        <v>18131.750000000004</v>
      </c>
      <c r="J24" s="39">
        <f t="shared" si="1"/>
        <v>4</v>
      </c>
    </row>
    <row r="25" spans="1:10" x14ac:dyDescent="0.25">
      <c r="A25" s="34" t="str">
        <f t="shared" si="0"/>
        <v>2026-018</v>
      </c>
      <c r="B25" s="35">
        <v>46152</v>
      </c>
      <c r="C25" s="36" t="s">
        <v>97</v>
      </c>
      <c r="D25" s="36" t="s">
        <v>31</v>
      </c>
      <c r="E25" s="36" t="s">
        <v>98</v>
      </c>
      <c r="F25" s="26">
        <v>600</v>
      </c>
      <c r="G25" s="26"/>
      <c r="H25" s="37" t="s">
        <v>66</v>
      </c>
      <c r="I25" s="38">
        <f t="shared" si="2"/>
        <v>18731.750000000004</v>
      </c>
      <c r="J25" s="39">
        <f t="shared" si="1"/>
        <v>5</v>
      </c>
    </row>
    <row r="26" spans="1:10" x14ac:dyDescent="0.25">
      <c r="A26" s="34" t="str">
        <f t="shared" si="0"/>
        <v>2026-019</v>
      </c>
      <c r="B26" s="35">
        <v>46160</v>
      </c>
      <c r="C26" s="36" t="s">
        <v>99</v>
      </c>
      <c r="D26" s="36" t="s">
        <v>30</v>
      </c>
      <c r="E26" s="36" t="s">
        <v>100</v>
      </c>
      <c r="F26" s="26">
        <v>425</v>
      </c>
      <c r="G26" s="26"/>
      <c r="H26" s="37" t="s">
        <v>78</v>
      </c>
      <c r="I26" s="38">
        <f t="shared" si="2"/>
        <v>19156.750000000004</v>
      </c>
      <c r="J26" s="39">
        <f t="shared" si="1"/>
        <v>5</v>
      </c>
    </row>
    <row r="27" spans="1:10" x14ac:dyDescent="0.25">
      <c r="A27" s="34" t="str">
        <f t="shared" si="0"/>
        <v>2026-020</v>
      </c>
      <c r="B27" s="35">
        <v>46161</v>
      </c>
      <c r="C27" s="36" t="s">
        <v>101</v>
      </c>
      <c r="D27" s="36" t="s">
        <v>30</v>
      </c>
      <c r="E27" s="36" t="s">
        <v>82</v>
      </c>
      <c r="F27" s="26"/>
      <c r="G27" s="26">
        <v>350</v>
      </c>
      <c r="H27" s="37" t="s">
        <v>66</v>
      </c>
      <c r="I27" s="38">
        <f t="shared" si="2"/>
        <v>18806.750000000004</v>
      </c>
      <c r="J27" s="39">
        <f t="shared" si="1"/>
        <v>5</v>
      </c>
    </row>
    <row r="28" spans="1:10" x14ac:dyDescent="0.25">
      <c r="A28" s="34" t="str">
        <f t="shared" si="0"/>
        <v>2026-021</v>
      </c>
      <c r="B28" s="35">
        <v>46176</v>
      </c>
      <c r="C28" s="36" t="s">
        <v>102</v>
      </c>
      <c r="D28" s="36" t="s">
        <v>26</v>
      </c>
      <c r="E28" s="36" t="s">
        <v>70</v>
      </c>
      <c r="F28" s="26">
        <v>75</v>
      </c>
      <c r="G28" s="26"/>
      <c r="H28" s="37" t="s">
        <v>78</v>
      </c>
      <c r="I28" s="38">
        <f t="shared" si="2"/>
        <v>18881.750000000004</v>
      </c>
      <c r="J28" s="39">
        <f t="shared" si="1"/>
        <v>6</v>
      </c>
    </row>
    <row r="29" spans="1:10" x14ac:dyDescent="0.25">
      <c r="A29" s="34" t="str">
        <f t="shared" si="0"/>
        <v>2026-022</v>
      </c>
      <c r="B29" s="35">
        <v>46184</v>
      </c>
      <c r="C29" s="36" t="s">
        <v>103</v>
      </c>
      <c r="D29" s="36" t="s">
        <v>26</v>
      </c>
      <c r="E29" s="36" t="s">
        <v>65</v>
      </c>
      <c r="F29" s="26">
        <v>240</v>
      </c>
      <c r="G29" s="26"/>
      <c r="H29" s="37" t="s">
        <v>66</v>
      </c>
      <c r="I29" s="38">
        <f t="shared" si="2"/>
        <v>19121.750000000004</v>
      </c>
      <c r="J29" s="39">
        <f t="shared" si="1"/>
        <v>6</v>
      </c>
    </row>
    <row r="30" spans="1:10" x14ac:dyDescent="0.25">
      <c r="A30" s="34" t="str">
        <f t="shared" si="0"/>
        <v>2026-023</v>
      </c>
      <c r="B30" s="35">
        <v>46201</v>
      </c>
      <c r="C30" s="36" t="s">
        <v>104</v>
      </c>
      <c r="D30" s="36" t="s">
        <v>31</v>
      </c>
      <c r="E30" s="36" t="s">
        <v>86</v>
      </c>
      <c r="F30" s="26">
        <v>892</v>
      </c>
      <c r="G30" s="26"/>
      <c r="H30" s="37" t="s">
        <v>78</v>
      </c>
      <c r="I30" s="38">
        <f t="shared" si="2"/>
        <v>20013.750000000004</v>
      </c>
      <c r="J30" s="39">
        <f t="shared" si="1"/>
        <v>6</v>
      </c>
    </row>
    <row r="31" spans="1:10" x14ac:dyDescent="0.25">
      <c r="A31" s="34" t="str">
        <f t="shared" si="0"/>
        <v>2026-024</v>
      </c>
      <c r="B31" s="35">
        <v>46201</v>
      </c>
      <c r="C31" s="36" t="s">
        <v>105</v>
      </c>
      <c r="D31" s="36" t="s">
        <v>31</v>
      </c>
      <c r="E31" s="36" t="s">
        <v>88</v>
      </c>
      <c r="F31" s="26">
        <v>645.29999999999995</v>
      </c>
      <c r="G31" s="26"/>
      <c r="H31" s="37" t="s">
        <v>78</v>
      </c>
      <c r="I31" s="38">
        <f t="shared" si="2"/>
        <v>20659.050000000003</v>
      </c>
      <c r="J31" s="39">
        <f t="shared" si="1"/>
        <v>6</v>
      </c>
    </row>
    <row r="32" spans="1:10" x14ac:dyDescent="0.25">
      <c r="A32" s="34" t="str">
        <f t="shared" si="0"/>
        <v>2026-025</v>
      </c>
      <c r="B32" s="35">
        <v>46202</v>
      </c>
      <c r="C32" s="36" t="s">
        <v>106</v>
      </c>
      <c r="D32" s="36" t="s">
        <v>31</v>
      </c>
      <c r="E32" s="36" t="s">
        <v>90</v>
      </c>
      <c r="F32" s="26"/>
      <c r="G32" s="26">
        <v>487.9</v>
      </c>
      <c r="H32" s="37" t="s">
        <v>66</v>
      </c>
      <c r="I32" s="38">
        <f t="shared" si="2"/>
        <v>20171.150000000001</v>
      </c>
      <c r="J32" s="39">
        <f t="shared" si="1"/>
        <v>6</v>
      </c>
    </row>
    <row r="33" spans="1:10" x14ac:dyDescent="0.25">
      <c r="A33" s="34" t="str">
        <f t="shared" si="0"/>
        <v>2026-026</v>
      </c>
      <c r="B33" s="35">
        <v>46203</v>
      </c>
      <c r="C33" s="36" t="s">
        <v>107</v>
      </c>
      <c r="D33" s="36" t="s">
        <v>28</v>
      </c>
      <c r="E33" s="36" t="s">
        <v>108</v>
      </c>
      <c r="F33" s="26">
        <v>28.75</v>
      </c>
      <c r="G33" s="26"/>
      <c r="H33" s="37" t="s">
        <v>66</v>
      </c>
      <c r="I33" s="38">
        <f t="shared" si="2"/>
        <v>20199.900000000001</v>
      </c>
      <c r="J33" s="39">
        <f t="shared" si="1"/>
        <v>6</v>
      </c>
    </row>
    <row r="34" spans="1:10" x14ac:dyDescent="0.25">
      <c r="A34" s="34" t="str">
        <f t="shared" si="0"/>
        <v>2026-027</v>
      </c>
      <c r="B34" s="35">
        <v>46204</v>
      </c>
      <c r="C34" s="36" t="s">
        <v>109</v>
      </c>
      <c r="D34" s="36" t="s">
        <v>28</v>
      </c>
      <c r="E34" s="36" t="s">
        <v>68</v>
      </c>
      <c r="F34" s="26"/>
      <c r="G34" s="26">
        <v>14.5</v>
      </c>
      <c r="H34" s="37" t="s">
        <v>66</v>
      </c>
      <c r="I34" s="38">
        <f t="shared" si="2"/>
        <v>20185.400000000001</v>
      </c>
      <c r="J34" s="39">
        <f t="shared" si="1"/>
        <v>7</v>
      </c>
    </row>
    <row r="35" spans="1:10" x14ac:dyDescent="0.25">
      <c r="A35" s="34" t="str">
        <f t="shared" si="0"/>
        <v>2026-028</v>
      </c>
      <c r="B35" s="35">
        <v>46217</v>
      </c>
      <c r="C35" s="36" t="s">
        <v>93</v>
      </c>
      <c r="D35" s="36" t="s">
        <v>28</v>
      </c>
      <c r="E35" s="36" t="s">
        <v>94</v>
      </c>
      <c r="F35" s="26">
        <v>350</v>
      </c>
      <c r="G35" s="26"/>
      <c r="H35" s="37" t="s">
        <v>66</v>
      </c>
      <c r="I35" s="38">
        <f t="shared" si="2"/>
        <v>20535.400000000001</v>
      </c>
      <c r="J35" s="39">
        <f t="shared" si="1"/>
        <v>7</v>
      </c>
    </row>
    <row r="36" spans="1:10" x14ac:dyDescent="0.25">
      <c r="A36" s="34" t="str">
        <f t="shared" si="0"/>
        <v>2026-029</v>
      </c>
      <c r="B36" s="35">
        <v>46242</v>
      </c>
      <c r="C36" s="36" t="s">
        <v>110</v>
      </c>
      <c r="D36" s="36" t="s">
        <v>26</v>
      </c>
      <c r="E36" s="36" t="s">
        <v>70</v>
      </c>
      <c r="F36" s="26">
        <v>750</v>
      </c>
      <c r="G36" s="26"/>
      <c r="H36" s="37" t="s">
        <v>66</v>
      </c>
      <c r="I36" s="38">
        <f t="shared" si="2"/>
        <v>21285.4</v>
      </c>
      <c r="J36" s="39">
        <f t="shared" si="1"/>
        <v>8</v>
      </c>
    </row>
    <row r="37" spans="1:10" x14ac:dyDescent="0.25">
      <c r="A37" s="34" t="str">
        <f t="shared" si="0"/>
        <v>2026-030</v>
      </c>
      <c r="B37" s="35">
        <v>46256</v>
      </c>
      <c r="C37" s="36" t="s">
        <v>111</v>
      </c>
      <c r="D37" s="36" t="s">
        <v>30</v>
      </c>
      <c r="E37" s="36" t="s">
        <v>112</v>
      </c>
      <c r="F37" s="26"/>
      <c r="G37" s="26">
        <v>312.39999999999998</v>
      </c>
      <c r="H37" s="37" t="s">
        <v>66</v>
      </c>
      <c r="I37" s="38">
        <f t="shared" si="2"/>
        <v>20973</v>
      </c>
      <c r="J37" s="39">
        <f t="shared" si="1"/>
        <v>8</v>
      </c>
    </row>
    <row r="38" spans="1:10" x14ac:dyDescent="0.25">
      <c r="A38" s="34" t="str">
        <f t="shared" si="0"/>
        <v>2026-031</v>
      </c>
      <c r="B38" s="35">
        <v>46270</v>
      </c>
      <c r="C38" s="36" t="s">
        <v>113</v>
      </c>
      <c r="D38" s="36" t="s">
        <v>30</v>
      </c>
      <c r="E38" s="36" t="s">
        <v>114</v>
      </c>
      <c r="F38" s="26">
        <v>1860</v>
      </c>
      <c r="G38" s="26"/>
      <c r="H38" s="37" t="s">
        <v>66</v>
      </c>
      <c r="I38" s="38">
        <f t="shared" si="2"/>
        <v>22833</v>
      </c>
      <c r="J38" s="39">
        <f t="shared" si="1"/>
        <v>9</v>
      </c>
    </row>
    <row r="39" spans="1:10" x14ac:dyDescent="0.25">
      <c r="A39" s="34" t="str">
        <f t="shared" si="0"/>
        <v>2026-032</v>
      </c>
      <c r="B39" s="35">
        <v>46277</v>
      </c>
      <c r="C39" s="36" t="s">
        <v>115</v>
      </c>
      <c r="D39" s="36" t="s">
        <v>30</v>
      </c>
      <c r="E39" s="36" t="s">
        <v>82</v>
      </c>
      <c r="F39" s="26"/>
      <c r="G39" s="26">
        <v>980</v>
      </c>
      <c r="H39" s="37" t="s">
        <v>66</v>
      </c>
      <c r="I39" s="38">
        <f t="shared" si="2"/>
        <v>21853</v>
      </c>
      <c r="J39" s="39">
        <f t="shared" si="1"/>
        <v>9</v>
      </c>
    </row>
    <row r="40" spans="1:10" x14ac:dyDescent="0.25">
      <c r="A40" s="34" t="str">
        <f t="shared" ref="A40:A71" si="3">IF(B40="","",TEXT(YEAR(B40),"0000")&amp;"-"&amp;TEXT(ROW()-7,"000"))</f>
        <v>2026-033</v>
      </c>
      <c r="B40" s="35">
        <v>46295</v>
      </c>
      <c r="C40" s="36" t="s">
        <v>116</v>
      </c>
      <c r="D40" s="36" t="s">
        <v>26</v>
      </c>
      <c r="E40" s="36" t="s">
        <v>72</v>
      </c>
      <c r="F40" s="26"/>
      <c r="G40" s="26">
        <v>64.8</v>
      </c>
      <c r="H40" s="37" t="s">
        <v>78</v>
      </c>
      <c r="I40" s="38">
        <f t="shared" si="2"/>
        <v>21788.2</v>
      </c>
      <c r="J40" s="39">
        <f t="shared" ref="J40:J71" si="4">IF(B40="","",MONTH(B40))</f>
        <v>9</v>
      </c>
    </row>
    <row r="41" spans="1:10" x14ac:dyDescent="0.25">
      <c r="A41" s="34" t="str">
        <f t="shared" si="3"/>
        <v>2026-034</v>
      </c>
      <c r="B41" s="35">
        <v>46296</v>
      </c>
      <c r="C41" s="36" t="s">
        <v>117</v>
      </c>
      <c r="D41" s="36" t="s">
        <v>28</v>
      </c>
      <c r="E41" s="36" t="s">
        <v>68</v>
      </c>
      <c r="F41" s="26"/>
      <c r="G41" s="26">
        <v>14.5</v>
      </c>
      <c r="H41" s="37" t="s">
        <v>66</v>
      </c>
      <c r="I41" s="38">
        <f t="shared" ref="I41:I72" si="5">I40+IFERROR(F41,0)-IFERROR(G41,0)</f>
        <v>21773.7</v>
      </c>
      <c r="J41" s="39">
        <f t="shared" si="4"/>
        <v>10</v>
      </c>
    </row>
    <row r="42" spans="1:10" x14ac:dyDescent="0.25">
      <c r="A42" s="34" t="str">
        <f t="shared" si="3"/>
        <v>2026-035</v>
      </c>
      <c r="B42" s="35">
        <v>46306</v>
      </c>
      <c r="C42" s="36" t="s">
        <v>118</v>
      </c>
      <c r="D42" s="36" t="s">
        <v>31</v>
      </c>
      <c r="E42" s="36" t="s">
        <v>86</v>
      </c>
      <c r="F42" s="26">
        <v>540</v>
      </c>
      <c r="G42" s="26"/>
      <c r="H42" s="37" t="s">
        <v>78</v>
      </c>
      <c r="I42" s="38">
        <f t="shared" si="5"/>
        <v>22313.7</v>
      </c>
      <c r="J42" s="39">
        <f t="shared" si="4"/>
        <v>10</v>
      </c>
    </row>
    <row r="43" spans="1:10" x14ac:dyDescent="0.25">
      <c r="A43" s="34" t="str">
        <f t="shared" si="3"/>
        <v>2026-036</v>
      </c>
      <c r="B43" s="35">
        <v>46306</v>
      </c>
      <c r="C43" s="36" t="s">
        <v>119</v>
      </c>
      <c r="D43" s="36" t="s">
        <v>31</v>
      </c>
      <c r="E43" s="36" t="s">
        <v>88</v>
      </c>
      <c r="F43" s="26">
        <v>398.5</v>
      </c>
      <c r="G43" s="26"/>
      <c r="H43" s="37" t="s">
        <v>78</v>
      </c>
      <c r="I43" s="38">
        <f t="shared" si="5"/>
        <v>22712.2</v>
      </c>
      <c r="J43" s="39">
        <f t="shared" si="4"/>
        <v>10</v>
      </c>
    </row>
    <row r="44" spans="1:10" x14ac:dyDescent="0.25">
      <c r="A44" s="34" t="str">
        <f t="shared" si="3"/>
        <v>2026-037</v>
      </c>
      <c r="B44" s="35">
        <v>46307</v>
      </c>
      <c r="C44" s="36" t="s">
        <v>120</v>
      </c>
      <c r="D44" s="36" t="s">
        <v>31</v>
      </c>
      <c r="E44" s="36" t="s">
        <v>90</v>
      </c>
      <c r="F44" s="26"/>
      <c r="G44" s="26">
        <v>268.7</v>
      </c>
      <c r="H44" s="37" t="s">
        <v>66</v>
      </c>
      <c r="I44" s="38">
        <f t="shared" si="5"/>
        <v>22443.5</v>
      </c>
      <c r="J44" s="39">
        <f t="shared" si="4"/>
        <v>10</v>
      </c>
    </row>
    <row r="45" spans="1:10" x14ac:dyDescent="0.25">
      <c r="A45" s="34" t="str">
        <f t="shared" si="3"/>
        <v>2026-038</v>
      </c>
      <c r="B45" s="35">
        <v>46334</v>
      </c>
      <c r="C45" s="36" t="s">
        <v>121</v>
      </c>
      <c r="D45" s="36" t="s">
        <v>26</v>
      </c>
      <c r="E45" s="36" t="s">
        <v>70</v>
      </c>
      <c r="F45" s="26">
        <v>1200</v>
      </c>
      <c r="G45" s="26"/>
      <c r="H45" s="37" t="s">
        <v>66</v>
      </c>
      <c r="I45" s="38">
        <f t="shared" si="5"/>
        <v>23643.5</v>
      </c>
      <c r="J45" s="39">
        <f t="shared" si="4"/>
        <v>11</v>
      </c>
    </row>
    <row r="46" spans="1:10" x14ac:dyDescent="0.25">
      <c r="A46" s="34" t="str">
        <f t="shared" si="3"/>
        <v>2026-039</v>
      </c>
      <c r="B46" s="35">
        <v>46346</v>
      </c>
      <c r="C46" s="36" t="s">
        <v>122</v>
      </c>
      <c r="D46" s="36" t="s">
        <v>26</v>
      </c>
      <c r="E46" s="36" t="s">
        <v>77</v>
      </c>
      <c r="F46" s="26"/>
      <c r="G46" s="26">
        <v>245</v>
      </c>
      <c r="H46" s="37" t="s">
        <v>66</v>
      </c>
      <c r="I46" s="38">
        <f t="shared" si="5"/>
        <v>23398.5</v>
      </c>
      <c r="J46" s="39">
        <f t="shared" si="4"/>
        <v>11</v>
      </c>
    </row>
    <row r="47" spans="1:10" x14ac:dyDescent="0.25">
      <c r="A47" s="34" t="str">
        <f t="shared" si="3"/>
        <v>2026-040</v>
      </c>
      <c r="B47" s="35">
        <v>46361</v>
      </c>
      <c r="C47" s="36" t="s">
        <v>123</v>
      </c>
      <c r="D47" s="36" t="s">
        <v>26</v>
      </c>
      <c r="E47" s="36" t="s">
        <v>70</v>
      </c>
      <c r="F47" s="26">
        <v>380</v>
      </c>
      <c r="G47" s="26"/>
      <c r="H47" s="37" t="s">
        <v>78</v>
      </c>
      <c r="I47" s="38">
        <f t="shared" si="5"/>
        <v>23778.5</v>
      </c>
      <c r="J47" s="39">
        <f t="shared" si="4"/>
        <v>12</v>
      </c>
    </row>
    <row r="48" spans="1:10" x14ac:dyDescent="0.25">
      <c r="A48" s="34" t="str">
        <f t="shared" si="3"/>
        <v>2026-041</v>
      </c>
      <c r="B48" s="35">
        <v>46366</v>
      </c>
      <c r="C48" s="36" t="s">
        <v>124</v>
      </c>
      <c r="D48" s="36" t="s">
        <v>26</v>
      </c>
      <c r="E48" s="36" t="s">
        <v>74</v>
      </c>
      <c r="F48" s="26"/>
      <c r="G48" s="26">
        <v>138</v>
      </c>
      <c r="H48" s="37" t="s">
        <v>66</v>
      </c>
      <c r="I48" s="38">
        <f t="shared" si="5"/>
        <v>23640.5</v>
      </c>
      <c r="J48" s="39">
        <f t="shared" si="4"/>
        <v>12</v>
      </c>
    </row>
    <row r="49" spans="1:10" x14ac:dyDescent="0.25">
      <c r="A49" s="34" t="str">
        <f t="shared" si="3"/>
        <v>2026-042</v>
      </c>
      <c r="B49" s="35">
        <v>46374</v>
      </c>
      <c r="C49" s="36" t="s">
        <v>125</v>
      </c>
      <c r="D49" s="36" t="s">
        <v>26</v>
      </c>
      <c r="E49" s="36" t="s">
        <v>126</v>
      </c>
      <c r="F49" s="26">
        <v>105</v>
      </c>
      <c r="G49" s="26"/>
      <c r="H49" s="37" t="s">
        <v>66</v>
      </c>
      <c r="I49" s="38">
        <f t="shared" si="5"/>
        <v>23745.5</v>
      </c>
      <c r="J49" s="39">
        <f t="shared" si="4"/>
        <v>12</v>
      </c>
    </row>
    <row r="50" spans="1:10" x14ac:dyDescent="0.25">
      <c r="A50" s="34" t="str">
        <f t="shared" si="3"/>
        <v>2026-043</v>
      </c>
      <c r="B50" s="35">
        <v>46387</v>
      </c>
      <c r="C50" s="36" t="s">
        <v>127</v>
      </c>
      <c r="D50" s="36" t="s">
        <v>28</v>
      </c>
      <c r="E50" s="36" t="s">
        <v>108</v>
      </c>
      <c r="F50" s="26">
        <v>24.4</v>
      </c>
      <c r="G50" s="26"/>
      <c r="H50" s="37" t="s">
        <v>66</v>
      </c>
      <c r="I50" s="38">
        <f t="shared" si="5"/>
        <v>23769.9</v>
      </c>
      <c r="J50" s="39">
        <f t="shared" si="4"/>
        <v>12</v>
      </c>
    </row>
    <row r="51" spans="1:10" x14ac:dyDescent="0.25">
      <c r="A51" s="34" t="str">
        <f t="shared" si="3"/>
        <v/>
      </c>
      <c r="B51" s="35"/>
      <c r="C51" s="36"/>
      <c r="D51" s="36"/>
      <c r="E51" s="36"/>
      <c r="F51" s="26"/>
      <c r="G51" s="26"/>
      <c r="H51" s="36"/>
      <c r="I51" s="38">
        <f t="shared" si="5"/>
        <v>23769.9</v>
      </c>
      <c r="J51" s="39" t="str">
        <f t="shared" si="4"/>
        <v/>
      </c>
    </row>
    <row r="52" spans="1:10" x14ac:dyDescent="0.25">
      <c r="A52" s="34" t="str">
        <f t="shared" si="3"/>
        <v/>
      </c>
      <c r="B52" s="35"/>
      <c r="C52" s="36"/>
      <c r="D52" s="36"/>
      <c r="E52" s="36"/>
      <c r="F52" s="26"/>
      <c r="G52" s="26"/>
      <c r="H52" s="36"/>
      <c r="I52" s="38">
        <f t="shared" si="5"/>
        <v>23769.9</v>
      </c>
      <c r="J52" s="39" t="str">
        <f t="shared" si="4"/>
        <v/>
      </c>
    </row>
    <row r="53" spans="1:10" x14ac:dyDescent="0.25">
      <c r="A53" s="34" t="str">
        <f t="shared" si="3"/>
        <v/>
      </c>
      <c r="B53" s="35"/>
      <c r="C53" s="36"/>
      <c r="D53" s="36"/>
      <c r="E53" s="36"/>
      <c r="F53" s="26"/>
      <c r="G53" s="26"/>
      <c r="H53" s="36"/>
      <c r="I53" s="38">
        <f t="shared" si="5"/>
        <v>23769.9</v>
      </c>
      <c r="J53" s="39" t="str">
        <f t="shared" si="4"/>
        <v/>
      </c>
    </row>
    <row r="54" spans="1:10" x14ac:dyDescent="0.25">
      <c r="A54" s="34" t="str">
        <f t="shared" si="3"/>
        <v/>
      </c>
      <c r="B54" s="35"/>
      <c r="C54" s="36"/>
      <c r="D54" s="36"/>
      <c r="E54" s="36"/>
      <c r="F54" s="26"/>
      <c r="G54" s="26"/>
      <c r="H54" s="36"/>
      <c r="I54" s="38">
        <f t="shared" si="5"/>
        <v>23769.9</v>
      </c>
      <c r="J54" s="39" t="str">
        <f t="shared" si="4"/>
        <v/>
      </c>
    </row>
    <row r="55" spans="1:10" x14ac:dyDescent="0.25">
      <c r="A55" s="34" t="str">
        <f t="shared" si="3"/>
        <v/>
      </c>
      <c r="B55" s="35"/>
      <c r="C55" s="36"/>
      <c r="D55" s="36"/>
      <c r="E55" s="36"/>
      <c r="F55" s="26"/>
      <c r="G55" s="26"/>
      <c r="H55" s="36"/>
      <c r="I55" s="38">
        <f t="shared" si="5"/>
        <v>23769.9</v>
      </c>
      <c r="J55" s="39" t="str">
        <f t="shared" si="4"/>
        <v/>
      </c>
    </row>
    <row r="56" spans="1:10" x14ac:dyDescent="0.25">
      <c r="A56" s="34" t="str">
        <f t="shared" si="3"/>
        <v/>
      </c>
      <c r="B56" s="35"/>
      <c r="C56" s="36"/>
      <c r="D56" s="36"/>
      <c r="E56" s="36"/>
      <c r="F56" s="26"/>
      <c r="G56" s="26"/>
      <c r="H56" s="36"/>
      <c r="I56" s="38">
        <f t="shared" si="5"/>
        <v>23769.9</v>
      </c>
      <c r="J56" s="39" t="str">
        <f t="shared" si="4"/>
        <v/>
      </c>
    </row>
    <row r="57" spans="1:10" x14ac:dyDescent="0.25">
      <c r="A57" s="34" t="str">
        <f t="shared" si="3"/>
        <v/>
      </c>
      <c r="B57" s="35"/>
      <c r="C57" s="36"/>
      <c r="D57" s="36"/>
      <c r="E57" s="36"/>
      <c r="F57" s="26"/>
      <c r="G57" s="26"/>
      <c r="H57" s="36"/>
      <c r="I57" s="38">
        <f t="shared" si="5"/>
        <v>23769.9</v>
      </c>
      <c r="J57" s="39" t="str">
        <f t="shared" si="4"/>
        <v/>
      </c>
    </row>
    <row r="58" spans="1:10" x14ac:dyDescent="0.25">
      <c r="A58" s="34" t="str">
        <f t="shared" si="3"/>
        <v/>
      </c>
      <c r="B58" s="35"/>
      <c r="C58" s="36"/>
      <c r="D58" s="36"/>
      <c r="E58" s="36"/>
      <c r="F58" s="26"/>
      <c r="G58" s="26"/>
      <c r="H58" s="36"/>
      <c r="I58" s="38">
        <f t="shared" si="5"/>
        <v>23769.9</v>
      </c>
      <c r="J58" s="39" t="str">
        <f t="shared" si="4"/>
        <v/>
      </c>
    </row>
    <row r="59" spans="1:10" x14ac:dyDescent="0.25">
      <c r="A59" s="34" t="str">
        <f t="shared" si="3"/>
        <v/>
      </c>
      <c r="B59" s="35"/>
      <c r="C59" s="36"/>
      <c r="D59" s="36"/>
      <c r="E59" s="36"/>
      <c r="F59" s="26"/>
      <c r="G59" s="26"/>
      <c r="H59" s="36"/>
      <c r="I59" s="38">
        <f t="shared" si="5"/>
        <v>23769.9</v>
      </c>
      <c r="J59" s="39" t="str">
        <f t="shared" si="4"/>
        <v/>
      </c>
    </row>
    <row r="60" spans="1:10" x14ac:dyDescent="0.25">
      <c r="A60" s="34" t="str">
        <f t="shared" si="3"/>
        <v/>
      </c>
      <c r="B60" s="35"/>
      <c r="C60" s="36"/>
      <c r="D60" s="36"/>
      <c r="E60" s="36"/>
      <c r="F60" s="26"/>
      <c r="G60" s="26"/>
      <c r="H60" s="36"/>
      <c r="I60" s="38">
        <f t="shared" si="5"/>
        <v>23769.9</v>
      </c>
      <c r="J60" s="39" t="str">
        <f t="shared" si="4"/>
        <v/>
      </c>
    </row>
    <row r="61" spans="1:10" x14ac:dyDescent="0.25">
      <c r="A61" s="34" t="str">
        <f t="shared" si="3"/>
        <v/>
      </c>
      <c r="B61" s="35"/>
      <c r="C61" s="36"/>
      <c r="D61" s="36"/>
      <c r="E61" s="36"/>
      <c r="F61" s="26"/>
      <c r="G61" s="26"/>
      <c r="H61" s="36"/>
      <c r="I61" s="38">
        <f t="shared" si="5"/>
        <v>23769.9</v>
      </c>
      <c r="J61" s="39" t="str">
        <f t="shared" si="4"/>
        <v/>
      </c>
    </row>
    <row r="62" spans="1:10" x14ac:dyDescent="0.25">
      <c r="A62" s="34" t="str">
        <f t="shared" si="3"/>
        <v/>
      </c>
      <c r="B62" s="35"/>
      <c r="C62" s="36"/>
      <c r="D62" s="36"/>
      <c r="E62" s="36"/>
      <c r="F62" s="26"/>
      <c r="G62" s="26"/>
      <c r="H62" s="36"/>
      <c r="I62" s="38">
        <f t="shared" si="5"/>
        <v>23769.9</v>
      </c>
      <c r="J62" s="39" t="str">
        <f t="shared" si="4"/>
        <v/>
      </c>
    </row>
    <row r="63" spans="1:10" x14ac:dyDescent="0.25">
      <c r="A63" s="34" t="str">
        <f t="shared" si="3"/>
        <v/>
      </c>
      <c r="B63" s="35"/>
      <c r="C63" s="36"/>
      <c r="D63" s="36"/>
      <c r="E63" s="36"/>
      <c r="F63" s="26"/>
      <c r="G63" s="26"/>
      <c r="H63" s="36"/>
      <c r="I63" s="38">
        <f t="shared" si="5"/>
        <v>23769.9</v>
      </c>
      <c r="J63" s="39" t="str">
        <f t="shared" si="4"/>
        <v/>
      </c>
    </row>
    <row r="64" spans="1:10" x14ac:dyDescent="0.25">
      <c r="A64" s="34" t="str">
        <f t="shared" si="3"/>
        <v/>
      </c>
      <c r="B64" s="35"/>
      <c r="C64" s="36"/>
      <c r="D64" s="36"/>
      <c r="E64" s="36"/>
      <c r="F64" s="26"/>
      <c r="G64" s="26"/>
      <c r="H64" s="36"/>
      <c r="I64" s="38">
        <f t="shared" si="5"/>
        <v>23769.9</v>
      </c>
      <c r="J64" s="39" t="str">
        <f t="shared" si="4"/>
        <v/>
      </c>
    </row>
    <row r="65" spans="1:10" x14ac:dyDescent="0.25">
      <c r="A65" s="34" t="str">
        <f t="shared" si="3"/>
        <v/>
      </c>
      <c r="B65" s="35"/>
      <c r="C65" s="36"/>
      <c r="D65" s="36"/>
      <c r="E65" s="36"/>
      <c r="F65" s="26"/>
      <c r="G65" s="26"/>
      <c r="H65" s="36"/>
      <c r="I65" s="38">
        <f t="shared" si="5"/>
        <v>23769.9</v>
      </c>
      <c r="J65" s="39" t="str">
        <f t="shared" si="4"/>
        <v/>
      </c>
    </row>
    <row r="66" spans="1:10" x14ac:dyDescent="0.25">
      <c r="A66" s="34" t="str">
        <f t="shared" si="3"/>
        <v/>
      </c>
      <c r="B66" s="35"/>
      <c r="C66" s="36"/>
      <c r="D66" s="36"/>
      <c r="E66" s="36"/>
      <c r="F66" s="26"/>
      <c r="G66" s="26"/>
      <c r="H66" s="36"/>
      <c r="I66" s="38">
        <f t="shared" si="5"/>
        <v>23769.9</v>
      </c>
      <c r="J66" s="39" t="str">
        <f t="shared" si="4"/>
        <v/>
      </c>
    </row>
    <row r="67" spans="1:10" x14ac:dyDescent="0.25">
      <c r="A67" s="34" t="str">
        <f t="shared" si="3"/>
        <v/>
      </c>
      <c r="B67" s="35"/>
      <c r="C67" s="36"/>
      <c r="D67" s="36"/>
      <c r="E67" s="36"/>
      <c r="F67" s="26"/>
      <c r="G67" s="26"/>
      <c r="H67" s="36"/>
      <c r="I67" s="38">
        <f t="shared" si="5"/>
        <v>23769.9</v>
      </c>
      <c r="J67" s="39" t="str">
        <f t="shared" si="4"/>
        <v/>
      </c>
    </row>
    <row r="68" spans="1:10" x14ac:dyDescent="0.25">
      <c r="A68" s="34" t="str">
        <f t="shared" si="3"/>
        <v/>
      </c>
      <c r="B68" s="35"/>
      <c r="C68" s="36"/>
      <c r="D68" s="36"/>
      <c r="E68" s="36"/>
      <c r="F68" s="26"/>
      <c r="G68" s="26"/>
      <c r="H68" s="36"/>
      <c r="I68" s="38">
        <f t="shared" si="5"/>
        <v>23769.9</v>
      </c>
      <c r="J68" s="39" t="str">
        <f t="shared" si="4"/>
        <v/>
      </c>
    </row>
    <row r="69" spans="1:10" x14ac:dyDescent="0.25">
      <c r="A69" s="34" t="str">
        <f t="shared" si="3"/>
        <v/>
      </c>
      <c r="B69" s="35"/>
      <c r="C69" s="36"/>
      <c r="D69" s="36"/>
      <c r="E69" s="36"/>
      <c r="F69" s="26"/>
      <c r="G69" s="26"/>
      <c r="H69" s="36"/>
      <c r="I69" s="38">
        <f t="shared" si="5"/>
        <v>23769.9</v>
      </c>
      <c r="J69" s="39" t="str">
        <f t="shared" si="4"/>
        <v/>
      </c>
    </row>
    <row r="70" spans="1:10" x14ac:dyDescent="0.25">
      <c r="A70" s="34" t="str">
        <f t="shared" si="3"/>
        <v/>
      </c>
      <c r="B70" s="35"/>
      <c r="C70" s="36"/>
      <c r="D70" s="36"/>
      <c r="E70" s="36"/>
      <c r="F70" s="26"/>
      <c r="G70" s="26"/>
      <c r="H70" s="36"/>
      <c r="I70" s="38">
        <f t="shared" si="5"/>
        <v>23769.9</v>
      </c>
      <c r="J70" s="39" t="str">
        <f t="shared" si="4"/>
        <v/>
      </c>
    </row>
    <row r="71" spans="1:10" x14ac:dyDescent="0.25">
      <c r="A71" s="34" t="str">
        <f t="shared" si="3"/>
        <v/>
      </c>
      <c r="B71" s="35"/>
      <c r="C71" s="36"/>
      <c r="D71" s="36"/>
      <c r="E71" s="36"/>
      <c r="F71" s="26"/>
      <c r="G71" s="26"/>
      <c r="H71" s="36"/>
      <c r="I71" s="38">
        <f t="shared" si="5"/>
        <v>23769.9</v>
      </c>
      <c r="J71" s="39" t="str">
        <f t="shared" si="4"/>
        <v/>
      </c>
    </row>
    <row r="72" spans="1:10" x14ac:dyDescent="0.25">
      <c r="A72" s="34" t="str">
        <f t="shared" ref="A72:A103" si="6">IF(B72="","",TEXT(YEAR(B72),"0000")&amp;"-"&amp;TEXT(ROW()-7,"000"))</f>
        <v/>
      </c>
      <c r="B72" s="35"/>
      <c r="C72" s="36"/>
      <c r="D72" s="36"/>
      <c r="E72" s="36"/>
      <c r="F72" s="26"/>
      <c r="G72" s="26"/>
      <c r="H72" s="36"/>
      <c r="I72" s="38">
        <f t="shared" si="5"/>
        <v>23769.9</v>
      </c>
      <c r="J72" s="39" t="str">
        <f t="shared" ref="J72:J103" si="7">IF(B72="","",MONTH(B72))</f>
        <v/>
      </c>
    </row>
    <row r="73" spans="1:10" x14ac:dyDescent="0.25">
      <c r="A73" s="34" t="str">
        <f t="shared" si="6"/>
        <v/>
      </c>
      <c r="B73" s="35"/>
      <c r="C73" s="36"/>
      <c r="D73" s="36"/>
      <c r="E73" s="36"/>
      <c r="F73" s="26"/>
      <c r="G73" s="26"/>
      <c r="H73" s="36"/>
      <c r="I73" s="38">
        <f t="shared" ref="I73:I104" si="8">I72+IFERROR(F73,0)-IFERROR(G73,0)</f>
        <v>23769.9</v>
      </c>
      <c r="J73" s="39" t="str">
        <f t="shared" si="7"/>
        <v/>
      </c>
    </row>
    <row r="74" spans="1:10" x14ac:dyDescent="0.25">
      <c r="A74" s="34" t="str">
        <f t="shared" si="6"/>
        <v/>
      </c>
      <c r="B74" s="35"/>
      <c r="C74" s="36"/>
      <c r="D74" s="36"/>
      <c r="E74" s="36"/>
      <c r="F74" s="26"/>
      <c r="G74" s="26"/>
      <c r="H74" s="36"/>
      <c r="I74" s="38">
        <f t="shared" si="8"/>
        <v>23769.9</v>
      </c>
      <c r="J74" s="39" t="str">
        <f t="shared" si="7"/>
        <v/>
      </c>
    </row>
    <row r="75" spans="1:10" x14ac:dyDescent="0.25">
      <c r="A75" s="34" t="str">
        <f t="shared" si="6"/>
        <v/>
      </c>
      <c r="B75" s="35"/>
      <c r="C75" s="36"/>
      <c r="D75" s="36"/>
      <c r="E75" s="36"/>
      <c r="F75" s="26"/>
      <c r="G75" s="26"/>
      <c r="H75" s="36"/>
      <c r="I75" s="38">
        <f t="shared" si="8"/>
        <v>23769.9</v>
      </c>
      <c r="J75" s="39" t="str">
        <f t="shared" si="7"/>
        <v/>
      </c>
    </row>
    <row r="76" spans="1:10" x14ac:dyDescent="0.25">
      <c r="A76" s="34" t="str">
        <f t="shared" si="6"/>
        <v/>
      </c>
      <c r="B76" s="35"/>
      <c r="C76" s="36"/>
      <c r="D76" s="36"/>
      <c r="E76" s="36"/>
      <c r="F76" s="26"/>
      <c r="G76" s="26"/>
      <c r="H76" s="36"/>
      <c r="I76" s="38">
        <f t="shared" si="8"/>
        <v>23769.9</v>
      </c>
      <c r="J76" s="39" t="str">
        <f t="shared" si="7"/>
        <v/>
      </c>
    </row>
    <row r="77" spans="1:10" x14ac:dyDescent="0.25">
      <c r="A77" s="34" t="str">
        <f t="shared" si="6"/>
        <v/>
      </c>
      <c r="B77" s="35"/>
      <c r="C77" s="36"/>
      <c r="D77" s="36"/>
      <c r="E77" s="36"/>
      <c r="F77" s="26"/>
      <c r="G77" s="26"/>
      <c r="H77" s="36"/>
      <c r="I77" s="38">
        <f t="shared" si="8"/>
        <v>23769.9</v>
      </c>
      <c r="J77" s="39" t="str">
        <f t="shared" si="7"/>
        <v/>
      </c>
    </row>
    <row r="78" spans="1:10" x14ac:dyDescent="0.25">
      <c r="A78" s="34" t="str">
        <f t="shared" si="6"/>
        <v/>
      </c>
      <c r="B78" s="35"/>
      <c r="C78" s="36"/>
      <c r="D78" s="36"/>
      <c r="E78" s="36"/>
      <c r="F78" s="26"/>
      <c r="G78" s="26"/>
      <c r="H78" s="36"/>
      <c r="I78" s="38">
        <f t="shared" si="8"/>
        <v>23769.9</v>
      </c>
      <c r="J78" s="39" t="str">
        <f t="shared" si="7"/>
        <v/>
      </c>
    </row>
    <row r="79" spans="1:10" x14ac:dyDescent="0.25">
      <c r="A79" s="34" t="str">
        <f t="shared" si="6"/>
        <v/>
      </c>
      <c r="B79" s="35"/>
      <c r="C79" s="36"/>
      <c r="D79" s="36"/>
      <c r="E79" s="36"/>
      <c r="F79" s="26"/>
      <c r="G79" s="26"/>
      <c r="H79" s="36"/>
      <c r="I79" s="38">
        <f t="shared" si="8"/>
        <v>23769.9</v>
      </c>
      <c r="J79" s="39" t="str">
        <f t="shared" si="7"/>
        <v/>
      </c>
    </row>
    <row r="80" spans="1:10" x14ac:dyDescent="0.25">
      <c r="A80" s="34" t="str">
        <f t="shared" si="6"/>
        <v/>
      </c>
      <c r="B80" s="35"/>
      <c r="C80" s="36"/>
      <c r="D80" s="36"/>
      <c r="E80" s="36"/>
      <c r="F80" s="26"/>
      <c r="G80" s="26"/>
      <c r="H80" s="36"/>
      <c r="I80" s="38">
        <f t="shared" si="8"/>
        <v>23769.9</v>
      </c>
      <c r="J80" s="39" t="str">
        <f t="shared" si="7"/>
        <v/>
      </c>
    </row>
    <row r="81" spans="1:10" x14ac:dyDescent="0.25">
      <c r="A81" s="34" t="str">
        <f t="shared" si="6"/>
        <v/>
      </c>
      <c r="B81" s="35"/>
      <c r="C81" s="36"/>
      <c r="D81" s="36"/>
      <c r="E81" s="36"/>
      <c r="F81" s="26"/>
      <c r="G81" s="26"/>
      <c r="H81" s="36"/>
      <c r="I81" s="38">
        <f t="shared" si="8"/>
        <v>23769.9</v>
      </c>
      <c r="J81" s="39" t="str">
        <f t="shared" si="7"/>
        <v/>
      </c>
    </row>
    <row r="82" spans="1:10" x14ac:dyDescent="0.25">
      <c r="A82" s="34" t="str">
        <f t="shared" si="6"/>
        <v/>
      </c>
      <c r="B82" s="35"/>
      <c r="C82" s="36"/>
      <c r="D82" s="36"/>
      <c r="E82" s="36"/>
      <c r="F82" s="26"/>
      <c r="G82" s="26"/>
      <c r="H82" s="36"/>
      <c r="I82" s="38">
        <f t="shared" si="8"/>
        <v>23769.9</v>
      </c>
      <c r="J82" s="39" t="str">
        <f t="shared" si="7"/>
        <v/>
      </c>
    </row>
    <row r="83" spans="1:10" x14ac:dyDescent="0.25">
      <c r="A83" s="34" t="str">
        <f t="shared" si="6"/>
        <v/>
      </c>
      <c r="B83" s="35"/>
      <c r="C83" s="36"/>
      <c r="D83" s="36"/>
      <c r="E83" s="36"/>
      <c r="F83" s="26"/>
      <c r="G83" s="26"/>
      <c r="H83" s="36"/>
      <c r="I83" s="38">
        <f t="shared" si="8"/>
        <v>23769.9</v>
      </c>
      <c r="J83" s="39" t="str">
        <f t="shared" si="7"/>
        <v/>
      </c>
    </row>
    <row r="84" spans="1:10" x14ac:dyDescent="0.25">
      <c r="A84" s="34" t="str">
        <f t="shared" si="6"/>
        <v/>
      </c>
      <c r="B84" s="35"/>
      <c r="C84" s="36"/>
      <c r="D84" s="36"/>
      <c r="E84" s="36"/>
      <c r="F84" s="26"/>
      <c r="G84" s="26"/>
      <c r="H84" s="36"/>
      <c r="I84" s="38">
        <f t="shared" si="8"/>
        <v>23769.9</v>
      </c>
      <c r="J84" s="39" t="str">
        <f t="shared" si="7"/>
        <v/>
      </c>
    </row>
    <row r="85" spans="1:10" x14ac:dyDescent="0.25">
      <c r="A85" s="34" t="str">
        <f t="shared" si="6"/>
        <v/>
      </c>
      <c r="B85" s="35"/>
      <c r="C85" s="36"/>
      <c r="D85" s="36"/>
      <c r="E85" s="36"/>
      <c r="F85" s="26"/>
      <c r="G85" s="26"/>
      <c r="H85" s="36"/>
      <c r="I85" s="38">
        <f t="shared" si="8"/>
        <v>23769.9</v>
      </c>
      <c r="J85" s="39" t="str">
        <f t="shared" si="7"/>
        <v/>
      </c>
    </row>
    <row r="86" spans="1:10" x14ac:dyDescent="0.25">
      <c r="A86" s="34" t="str">
        <f t="shared" si="6"/>
        <v/>
      </c>
      <c r="B86" s="35"/>
      <c r="C86" s="36"/>
      <c r="D86" s="36"/>
      <c r="E86" s="36"/>
      <c r="F86" s="26"/>
      <c r="G86" s="26"/>
      <c r="H86" s="36"/>
      <c r="I86" s="38">
        <f t="shared" si="8"/>
        <v>23769.9</v>
      </c>
      <c r="J86" s="39" t="str">
        <f t="shared" si="7"/>
        <v/>
      </c>
    </row>
    <row r="87" spans="1:10" x14ac:dyDescent="0.25">
      <c r="A87" s="34" t="str">
        <f t="shared" si="6"/>
        <v/>
      </c>
      <c r="B87" s="35"/>
      <c r="C87" s="36"/>
      <c r="D87" s="36"/>
      <c r="E87" s="36"/>
      <c r="F87" s="26"/>
      <c r="G87" s="26"/>
      <c r="H87" s="36"/>
      <c r="I87" s="38">
        <f t="shared" si="8"/>
        <v>23769.9</v>
      </c>
      <c r="J87" s="39" t="str">
        <f t="shared" si="7"/>
        <v/>
      </c>
    </row>
    <row r="88" spans="1:10" x14ac:dyDescent="0.25">
      <c r="A88" s="34" t="str">
        <f t="shared" si="6"/>
        <v/>
      </c>
      <c r="B88" s="35"/>
      <c r="C88" s="36"/>
      <c r="D88" s="36"/>
      <c r="E88" s="36"/>
      <c r="F88" s="26"/>
      <c r="G88" s="26"/>
      <c r="H88" s="36"/>
      <c r="I88" s="38">
        <f t="shared" si="8"/>
        <v>23769.9</v>
      </c>
      <c r="J88" s="39" t="str">
        <f t="shared" si="7"/>
        <v/>
      </c>
    </row>
    <row r="89" spans="1:10" x14ac:dyDescent="0.25">
      <c r="A89" s="34" t="str">
        <f t="shared" si="6"/>
        <v/>
      </c>
      <c r="B89" s="35"/>
      <c r="C89" s="36"/>
      <c r="D89" s="36"/>
      <c r="E89" s="36"/>
      <c r="F89" s="26"/>
      <c r="G89" s="26"/>
      <c r="H89" s="36"/>
      <c r="I89" s="38">
        <f t="shared" si="8"/>
        <v>23769.9</v>
      </c>
      <c r="J89" s="39" t="str">
        <f t="shared" si="7"/>
        <v/>
      </c>
    </row>
    <row r="90" spans="1:10" x14ac:dyDescent="0.25">
      <c r="A90" s="34" t="str">
        <f t="shared" si="6"/>
        <v/>
      </c>
      <c r="B90" s="35"/>
      <c r="C90" s="36"/>
      <c r="D90" s="36"/>
      <c r="E90" s="36"/>
      <c r="F90" s="26"/>
      <c r="G90" s="26"/>
      <c r="H90" s="36"/>
      <c r="I90" s="38">
        <f t="shared" si="8"/>
        <v>23769.9</v>
      </c>
      <c r="J90" s="39" t="str">
        <f t="shared" si="7"/>
        <v/>
      </c>
    </row>
    <row r="91" spans="1:10" x14ac:dyDescent="0.25">
      <c r="A91" s="34" t="str">
        <f t="shared" si="6"/>
        <v/>
      </c>
      <c r="B91" s="35"/>
      <c r="C91" s="36"/>
      <c r="D91" s="36"/>
      <c r="E91" s="36"/>
      <c r="F91" s="26"/>
      <c r="G91" s="26"/>
      <c r="H91" s="36"/>
      <c r="I91" s="38">
        <f t="shared" si="8"/>
        <v>23769.9</v>
      </c>
      <c r="J91" s="39" t="str">
        <f t="shared" si="7"/>
        <v/>
      </c>
    </row>
    <row r="92" spans="1:10" x14ac:dyDescent="0.25">
      <c r="A92" s="34" t="str">
        <f t="shared" si="6"/>
        <v/>
      </c>
      <c r="B92" s="35"/>
      <c r="C92" s="36"/>
      <c r="D92" s="36"/>
      <c r="E92" s="36"/>
      <c r="F92" s="26"/>
      <c r="G92" s="26"/>
      <c r="H92" s="36"/>
      <c r="I92" s="38">
        <f t="shared" si="8"/>
        <v>23769.9</v>
      </c>
      <c r="J92" s="39" t="str">
        <f t="shared" si="7"/>
        <v/>
      </c>
    </row>
    <row r="93" spans="1:10" x14ac:dyDescent="0.25">
      <c r="A93" s="34" t="str">
        <f t="shared" si="6"/>
        <v/>
      </c>
      <c r="B93" s="35"/>
      <c r="C93" s="36"/>
      <c r="D93" s="36"/>
      <c r="E93" s="36"/>
      <c r="F93" s="26"/>
      <c r="G93" s="26"/>
      <c r="H93" s="36"/>
      <c r="I93" s="38">
        <f t="shared" si="8"/>
        <v>23769.9</v>
      </c>
      <c r="J93" s="39" t="str">
        <f t="shared" si="7"/>
        <v/>
      </c>
    </row>
    <row r="94" spans="1:10" x14ac:dyDescent="0.25">
      <c r="A94" s="34" t="str">
        <f t="shared" si="6"/>
        <v/>
      </c>
      <c r="B94" s="35"/>
      <c r="C94" s="36"/>
      <c r="D94" s="36"/>
      <c r="E94" s="36"/>
      <c r="F94" s="26"/>
      <c r="G94" s="26"/>
      <c r="H94" s="36"/>
      <c r="I94" s="38">
        <f t="shared" si="8"/>
        <v>23769.9</v>
      </c>
      <c r="J94" s="39" t="str">
        <f t="shared" si="7"/>
        <v/>
      </c>
    </row>
    <row r="95" spans="1:10" x14ac:dyDescent="0.25">
      <c r="A95" s="34" t="str">
        <f t="shared" si="6"/>
        <v/>
      </c>
      <c r="B95" s="35"/>
      <c r="C95" s="36"/>
      <c r="D95" s="36"/>
      <c r="E95" s="36"/>
      <c r="F95" s="26"/>
      <c r="G95" s="26"/>
      <c r="H95" s="36"/>
      <c r="I95" s="38">
        <f t="shared" si="8"/>
        <v>23769.9</v>
      </c>
      <c r="J95" s="39" t="str">
        <f t="shared" si="7"/>
        <v/>
      </c>
    </row>
    <row r="96" spans="1:10" x14ac:dyDescent="0.25">
      <c r="A96" s="34" t="str">
        <f t="shared" si="6"/>
        <v/>
      </c>
      <c r="B96" s="35"/>
      <c r="C96" s="36"/>
      <c r="D96" s="36"/>
      <c r="E96" s="36"/>
      <c r="F96" s="26"/>
      <c r="G96" s="26"/>
      <c r="H96" s="36"/>
      <c r="I96" s="38">
        <f t="shared" si="8"/>
        <v>23769.9</v>
      </c>
      <c r="J96" s="39" t="str">
        <f t="shared" si="7"/>
        <v/>
      </c>
    </row>
    <row r="97" spans="1:10" x14ac:dyDescent="0.25">
      <c r="A97" s="34" t="str">
        <f t="shared" si="6"/>
        <v/>
      </c>
      <c r="B97" s="35"/>
      <c r="C97" s="36"/>
      <c r="D97" s="36"/>
      <c r="E97" s="36"/>
      <c r="F97" s="26"/>
      <c r="G97" s="26"/>
      <c r="H97" s="36"/>
      <c r="I97" s="38">
        <f t="shared" si="8"/>
        <v>23769.9</v>
      </c>
      <c r="J97" s="39" t="str">
        <f t="shared" si="7"/>
        <v/>
      </c>
    </row>
    <row r="98" spans="1:10" x14ac:dyDescent="0.25">
      <c r="A98" s="34" t="str">
        <f t="shared" si="6"/>
        <v/>
      </c>
      <c r="B98" s="35"/>
      <c r="C98" s="36"/>
      <c r="D98" s="36"/>
      <c r="E98" s="36"/>
      <c r="F98" s="26"/>
      <c r="G98" s="26"/>
      <c r="H98" s="36"/>
      <c r="I98" s="38">
        <f t="shared" si="8"/>
        <v>23769.9</v>
      </c>
      <c r="J98" s="39" t="str">
        <f t="shared" si="7"/>
        <v/>
      </c>
    </row>
    <row r="99" spans="1:10" x14ac:dyDescent="0.25">
      <c r="A99" s="34" t="str">
        <f t="shared" si="6"/>
        <v/>
      </c>
      <c r="B99" s="35"/>
      <c r="C99" s="36"/>
      <c r="D99" s="36"/>
      <c r="E99" s="36"/>
      <c r="F99" s="26"/>
      <c r="G99" s="26"/>
      <c r="H99" s="36"/>
      <c r="I99" s="38">
        <f t="shared" si="8"/>
        <v>23769.9</v>
      </c>
      <c r="J99" s="39" t="str">
        <f t="shared" si="7"/>
        <v/>
      </c>
    </row>
    <row r="100" spans="1:10" x14ac:dyDescent="0.25">
      <c r="A100" s="34" t="str">
        <f t="shared" si="6"/>
        <v/>
      </c>
      <c r="B100" s="35"/>
      <c r="C100" s="36"/>
      <c r="D100" s="36"/>
      <c r="E100" s="36"/>
      <c r="F100" s="26"/>
      <c r="G100" s="26"/>
      <c r="H100" s="36"/>
      <c r="I100" s="38">
        <f t="shared" si="8"/>
        <v>23769.9</v>
      </c>
      <c r="J100" s="39" t="str">
        <f t="shared" si="7"/>
        <v/>
      </c>
    </row>
    <row r="101" spans="1:10" x14ac:dyDescent="0.25">
      <c r="A101" s="34" t="str">
        <f t="shared" si="6"/>
        <v/>
      </c>
      <c r="B101" s="35"/>
      <c r="C101" s="36"/>
      <c r="D101" s="36"/>
      <c r="E101" s="36"/>
      <c r="F101" s="26"/>
      <c r="G101" s="26"/>
      <c r="H101" s="36"/>
      <c r="I101" s="38">
        <f t="shared" si="8"/>
        <v>23769.9</v>
      </c>
      <c r="J101" s="39" t="str">
        <f t="shared" si="7"/>
        <v/>
      </c>
    </row>
    <row r="102" spans="1:10" x14ac:dyDescent="0.25">
      <c r="A102" s="34" t="str">
        <f t="shared" si="6"/>
        <v/>
      </c>
      <c r="B102" s="35"/>
      <c r="C102" s="36"/>
      <c r="D102" s="36"/>
      <c r="E102" s="36"/>
      <c r="F102" s="26"/>
      <c r="G102" s="26"/>
      <c r="H102" s="36"/>
      <c r="I102" s="38">
        <f t="shared" si="8"/>
        <v>23769.9</v>
      </c>
      <c r="J102" s="39" t="str">
        <f t="shared" si="7"/>
        <v/>
      </c>
    </row>
    <row r="103" spans="1:10" x14ac:dyDescent="0.25">
      <c r="A103" s="34" t="str">
        <f t="shared" si="6"/>
        <v/>
      </c>
      <c r="B103" s="35"/>
      <c r="C103" s="36"/>
      <c r="D103" s="36"/>
      <c r="E103" s="36"/>
      <c r="F103" s="26"/>
      <c r="G103" s="26"/>
      <c r="H103" s="36"/>
      <c r="I103" s="38">
        <f t="shared" si="8"/>
        <v>23769.9</v>
      </c>
      <c r="J103" s="39" t="str">
        <f t="shared" si="7"/>
        <v/>
      </c>
    </row>
    <row r="104" spans="1:10" x14ac:dyDescent="0.25">
      <c r="A104" s="34" t="str">
        <f t="shared" ref="A104:A135" si="9">IF(B104="","",TEXT(YEAR(B104),"0000")&amp;"-"&amp;TEXT(ROW()-7,"000"))</f>
        <v/>
      </c>
      <c r="B104" s="35"/>
      <c r="C104" s="36"/>
      <c r="D104" s="36"/>
      <c r="E104" s="36"/>
      <c r="F104" s="26"/>
      <c r="G104" s="26"/>
      <c r="H104" s="36"/>
      <c r="I104" s="38">
        <f t="shared" si="8"/>
        <v>23769.9</v>
      </c>
      <c r="J104" s="39" t="str">
        <f t="shared" ref="J104:J135" si="10">IF(B104="","",MONTH(B104))</f>
        <v/>
      </c>
    </row>
    <row r="105" spans="1:10" x14ac:dyDescent="0.25">
      <c r="A105" s="34" t="str">
        <f t="shared" si="9"/>
        <v/>
      </c>
      <c r="B105" s="35"/>
      <c r="C105" s="36"/>
      <c r="D105" s="36"/>
      <c r="E105" s="36"/>
      <c r="F105" s="26"/>
      <c r="G105" s="26"/>
      <c r="H105" s="36"/>
      <c r="I105" s="38">
        <f t="shared" ref="I105:I136" si="11">I104+IFERROR(F105,0)-IFERROR(G105,0)</f>
        <v>23769.9</v>
      </c>
      <c r="J105" s="39" t="str">
        <f t="shared" si="10"/>
        <v/>
      </c>
    </row>
    <row r="106" spans="1:10" x14ac:dyDescent="0.25">
      <c r="A106" s="34" t="str">
        <f t="shared" si="9"/>
        <v/>
      </c>
      <c r="B106" s="35"/>
      <c r="C106" s="36"/>
      <c r="D106" s="36"/>
      <c r="E106" s="36"/>
      <c r="F106" s="26"/>
      <c r="G106" s="26"/>
      <c r="H106" s="36"/>
      <c r="I106" s="38">
        <f t="shared" si="11"/>
        <v>23769.9</v>
      </c>
      <c r="J106" s="39" t="str">
        <f t="shared" si="10"/>
        <v/>
      </c>
    </row>
    <row r="107" spans="1:10" x14ac:dyDescent="0.25">
      <c r="A107" s="34" t="str">
        <f t="shared" si="9"/>
        <v/>
      </c>
      <c r="B107" s="35"/>
      <c r="C107" s="36"/>
      <c r="D107" s="36"/>
      <c r="E107" s="36"/>
      <c r="F107" s="26"/>
      <c r="G107" s="26"/>
      <c r="H107" s="36"/>
      <c r="I107" s="38">
        <f t="shared" si="11"/>
        <v>23769.9</v>
      </c>
      <c r="J107" s="39" t="str">
        <f t="shared" si="10"/>
        <v/>
      </c>
    </row>
    <row r="108" spans="1:10" x14ac:dyDescent="0.25">
      <c r="A108" s="34" t="str">
        <f t="shared" si="9"/>
        <v/>
      </c>
      <c r="B108" s="35"/>
      <c r="C108" s="36"/>
      <c r="D108" s="36"/>
      <c r="E108" s="36"/>
      <c r="F108" s="26"/>
      <c r="G108" s="26"/>
      <c r="H108" s="36"/>
      <c r="I108" s="38">
        <f t="shared" si="11"/>
        <v>23769.9</v>
      </c>
      <c r="J108" s="39" t="str">
        <f t="shared" si="10"/>
        <v/>
      </c>
    </row>
    <row r="109" spans="1:10" x14ac:dyDescent="0.25">
      <c r="A109" s="34" t="str">
        <f t="shared" si="9"/>
        <v/>
      </c>
      <c r="B109" s="35"/>
      <c r="C109" s="36"/>
      <c r="D109" s="36"/>
      <c r="E109" s="36"/>
      <c r="F109" s="26"/>
      <c r="G109" s="26"/>
      <c r="H109" s="36"/>
      <c r="I109" s="38">
        <f t="shared" si="11"/>
        <v>23769.9</v>
      </c>
      <c r="J109" s="39" t="str">
        <f t="shared" si="10"/>
        <v/>
      </c>
    </row>
    <row r="110" spans="1:10" x14ac:dyDescent="0.25">
      <c r="A110" s="34" t="str">
        <f t="shared" si="9"/>
        <v/>
      </c>
      <c r="B110" s="35"/>
      <c r="C110" s="36"/>
      <c r="D110" s="36"/>
      <c r="E110" s="36"/>
      <c r="F110" s="26"/>
      <c r="G110" s="26"/>
      <c r="H110" s="36"/>
      <c r="I110" s="38">
        <f t="shared" si="11"/>
        <v>23769.9</v>
      </c>
      <c r="J110" s="39" t="str">
        <f t="shared" si="10"/>
        <v/>
      </c>
    </row>
    <row r="111" spans="1:10" x14ac:dyDescent="0.25">
      <c r="A111" s="34" t="str">
        <f t="shared" si="9"/>
        <v/>
      </c>
      <c r="B111" s="35"/>
      <c r="C111" s="36"/>
      <c r="D111" s="36"/>
      <c r="E111" s="36"/>
      <c r="F111" s="26"/>
      <c r="G111" s="26"/>
      <c r="H111" s="36"/>
      <c r="I111" s="38">
        <f t="shared" si="11"/>
        <v>23769.9</v>
      </c>
      <c r="J111" s="39" t="str">
        <f t="shared" si="10"/>
        <v/>
      </c>
    </row>
    <row r="112" spans="1:10" x14ac:dyDescent="0.25">
      <c r="A112" s="34" t="str">
        <f t="shared" si="9"/>
        <v/>
      </c>
      <c r="B112" s="35"/>
      <c r="C112" s="36"/>
      <c r="D112" s="36"/>
      <c r="E112" s="36"/>
      <c r="F112" s="26"/>
      <c r="G112" s="26"/>
      <c r="H112" s="36"/>
      <c r="I112" s="38">
        <f t="shared" si="11"/>
        <v>23769.9</v>
      </c>
      <c r="J112" s="39" t="str">
        <f t="shared" si="10"/>
        <v/>
      </c>
    </row>
    <row r="113" spans="1:10" x14ac:dyDescent="0.25">
      <c r="A113" s="34" t="str">
        <f t="shared" si="9"/>
        <v/>
      </c>
      <c r="B113" s="35"/>
      <c r="C113" s="36"/>
      <c r="D113" s="36"/>
      <c r="E113" s="36"/>
      <c r="F113" s="26"/>
      <c r="G113" s="26"/>
      <c r="H113" s="36"/>
      <c r="I113" s="38">
        <f t="shared" si="11"/>
        <v>23769.9</v>
      </c>
      <c r="J113" s="39" t="str">
        <f t="shared" si="10"/>
        <v/>
      </c>
    </row>
    <row r="114" spans="1:10" x14ac:dyDescent="0.25">
      <c r="A114" s="34" t="str">
        <f t="shared" si="9"/>
        <v/>
      </c>
      <c r="B114" s="35"/>
      <c r="C114" s="36"/>
      <c r="D114" s="36"/>
      <c r="E114" s="36"/>
      <c r="F114" s="26"/>
      <c r="G114" s="26"/>
      <c r="H114" s="36"/>
      <c r="I114" s="38">
        <f t="shared" si="11"/>
        <v>23769.9</v>
      </c>
      <c r="J114" s="39" t="str">
        <f t="shared" si="10"/>
        <v/>
      </c>
    </row>
    <row r="115" spans="1:10" x14ac:dyDescent="0.25">
      <c r="A115" s="34" t="str">
        <f t="shared" si="9"/>
        <v/>
      </c>
      <c r="B115" s="35"/>
      <c r="C115" s="36"/>
      <c r="D115" s="36"/>
      <c r="E115" s="36"/>
      <c r="F115" s="26"/>
      <c r="G115" s="26"/>
      <c r="H115" s="36"/>
      <c r="I115" s="38">
        <f t="shared" si="11"/>
        <v>23769.9</v>
      </c>
      <c r="J115" s="39" t="str">
        <f t="shared" si="10"/>
        <v/>
      </c>
    </row>
    <row r="116" spans="1:10" x14ac:dyDescent="0.25">
      <c r="A116" s="34" t="str">
        <f t="shared" si="9"/>
        <v/>
      </c>
      <c r="B116" s="35"/>
      <c r="C116" s="36"/>
      <c r="D116" s="36"/>
      <c r="E116" s="36"/>
      <c r="F116" s="26"/>
      <c r="G116" s="26"/>
      <c r="H116" s="36"/>
      <c r="I116" s="38">
        <f t="shared" si="11"/>
        <v>23769.9</v>
      </c>
      <c r="J116" s="39" t="str">
        <f t="shared" si="10"/>
        <v/>
      </c>
    </row>
    <row r="117" spans="1:10" x14ac:dyDescent="0.25">
      <c r="A117" s="34" t="str">
        <f t="shared" si="9"/>
        <v/>
      </c>
      <c r="B117" s="35"/>
      <c r="C117" s="36"/>
      <c r="D117" s="36"/>
      <c r="E117" s="36"/>
      <c r="F117" s="26"/>
      <c r="G117" s="26"/>
      <c r="H117" s="36"/>
      <c r="I117" s="38">
        <f t="shared" si="11"/>
        <v>23769.9</v>
      </c>
      <c r="J117" s="39" t="str">
        <f t="shared" si="10"/>
        <v/>
      </c>
    </row>
    <row r="118" spans="1:10" x14ac:dyDescent="0.25">
      <c r="A118" s="34" t="str">
        <f t="shared" si="9"/>
        <v/>
      </c>
      <c r="B118" s="35"/>
      <c r="C118" s="36"/>
      <c r="D118" s="36"/>
      <c r="E118" s="36"/>
      <c r="F118" s="26"/>
      <c r="G118" s="26"/>
      <c r="H118" s="36"/>
      <c r="I118" s="38">
        <f t="shared" si="11"/>
        <v>23769.9</v>
      </c>
      <c r="J118" s="39" t="str">
        <f t="shared" si="10"/>
        <v/>
      </c>
    </row>
    <row r="119" spans="1:10" x14ac:dyDescent="0.25">
      <c r="A119" s="34" t="str">
        <f t="shared" si="9"/>
        <v/>
      </c>
      <c r="B119" s="35"/>
      <c r="C119" s="36"/>
      <c r="D119" s="36"/>
      <c r="E119" s="36"/>
      <c r="F119" s="26"/>
      <c r="G119" s="26"/>
      <c r="H119" s="36"/>
      <c r="I119" s="38">
        <f t="shared" si="11"/>
        <v>23769.9</v>
      </c>
      <c r="J119" s="39" t="str">
        <f t="shared" si="10"/>
        <v/>
      </c>
    </row>
    <row r="120" spans="1:10" x14ac:dyDescent="0.25">
      <c r="A120" s="34" t="str">
        <f t="shared" si="9"/>
        <v/>
      </c>
      <c r="B120" s="35"/>
      <c r="C120" s="36"/>
      <c r="D120" s="36"/>
      <c r="E120" s="36"/>
      <c r="F120" s="26"/>
      <c r="G120" s="26"/>
      <c r="H120" s="36"/>
      <c r="I120" s="38">
        <f t="shared" si="11"/>
        <v>23769.9</v>
      </c>
      <c r="J120" s="39" t="str">
        <f t="shared" si="10"/>
        <v/>
      </c>
    </row>
    <row r="121" spans="1:10" x14ac:dyDescent="0.25">
      <c r="A121" s="34" t="str">
        <f t="shared" si="9"/>
        <v/>
      </c>
      <c r="B121" s="35"/>
      <c r="C121" s="36"/>
      <c r="D121" s="36"/>
      <c r="E121" s="36"/>
      <c r="F121" s="26"/>
      <c r="G121" s="26"/>
      <c r="H121" s="36"/>
      <c r="I121" s="38">
        <f t="shared" si="11"/>
        <v>23769.9</v>
      </c>
      <c r="J121" s="39" t="str">
        <f t="shared" si="10"/>
        <v/>
      </c>
    </row>
    <row r="122" spans="1:10" x14ac:dyDescent="0.25">
      <c r="A122" s="34" t="str">
        <f t="shared" si="9"/>
        <v/>
      </c>
      <c r="B122" s="35"/>
      <c r="C122" s="36"/>
      <c r="D122" s="36"/>
      <c r="E122" s="36"/>
      <c r="F122" s="26"/>
      <c r="G122" s="26"/>
      <c r="H122" s="36"/>
      <c r="I122" s="38">
        <f t="shared" si="11"/>
        <v>23769.9</v>
      </c>
      <c r="J122" s="39" t="str">
        <f t="shared" si="10"/>
        <v/>
      </c>
    </row>
    <row r="123" spans="1:10" x14ac:dyDescent="0.25">
      <c r="A123" s="34" t="str">
        <f t="shared" si="9"/>
        <v/>
      </c>
      <c r="B123" s="35"/>
      <c r="C123" s="36"/>
      <c r="D123" s="36"/>
      <c r="E123" s="36"/>
      <c r="F123" s="26"/>
      <c r="G123" s="26"/>
      <c r="H123" s="36"/>
      <c r="I123" s="38">
        <f t="shared" si="11"/>
        <v>23769.9</v>
      </c>
      <c r="J123" s="39" t="str">
        <f t="shared" si="10"/>
        <v/>
      </c>
    </row>
    <row r="124" spans="1:10" x14ac:dyDescent="0.25">
      <c r="A124" s="34" t="str">
        <f t="shared" si="9"/>
        <v/>
      </c>
      <c r="B124" s="35"/>
      <c r="C124" s="36"/>
      <c r="D124" s="36"/>
      <c r="E124" s="36"/>
      <c r="F124" s="26"/>
      <c r="G124" s="26"/>
      <c r="H124" s="36"/>
      <c r="I124" s="38">
        <f t="shared" si="11"/>
        <v>23769.9</v>
      </c>
      <c r="J124" s="39" t="str">
        <f t="shared" si="10"/>
        <v/>
      </c>
    </row>
    <row r="125" spans="1:10" x14ac:dyDescent="0.25">
      <c r="A125" s="34" t="str">
        <f t="shared" si="9"/>
        <v/>
      </c>
      <c r="B125" s="35"/>
      <c r="C125" s="36"/>
      <c r="D125" s="36"/>
      <c r="E125" s="36"/>
      <c r="F125" s="26"/>
      <c r="G125" s="26"/>
      <c r="H125" s="36"/>
      <c r="I125" s="38">
        <f t="shared" si="11"/>
        <v>23769.9</v>
      </c>
      <c r="J125" s="39" t="str">
        <f t="shared" si="10"/>
        <v/>
      </c>
    </row>
    <row r="126" spans="1:10" x14ac:dyDescent="0.25">
      <c r="A126" s="34" t="str">
        <f t="shared" si="9"/>
        <v/>
      </c>
      <c r="B126" s="35"/>
      <c r="C126" s="36"/>
      <c r="D126" s="36"/>
      <c r="E126" s="36"/>
      <c r="F126" s="26"/>
      <c r="G126" s="26"/>
      <c r="H126" s="36"/>
      <c r="I126" s="38">
        <f t="shared" si="11"/>
        <v>23769.9</v>
      </c>
      <c r="J126" s="39" t="str">
        <f t="shared" si="10"/>
        <v/>
      </c>
    </row>
    <row r="127" spans="1:10" x14ac:dyDescent="0.25">
      <c r="A127" s="34" t="str">
        <f t="shared" si="9"/>
        <v/>
      </c>
      <c r="B127" s="35"/>
      <c r="C127" s="36"/>
      <c r="D127" s="36"/>
      <c r="E127" s="36"/>
      <c r="F127" s="26"/>
      <c r="G127" s="26"/>
      <c r="H127" s="36"/>
      <c r="I127" s="38">
        <f t="shared" si="11"/>
        <v>23769.9</v>
      </c>
      <c r="J127" s="39" t="str">
        <f t="shared" si="10"/>
        <v/>
      </c>
    </row>
    <row r="128" spans="1:10" x14ac:dyDescent="0.25">
      <c r="A128" s="34" t="str">
        <f t="shared" si="9"/>
        <v/>
      </c>
      <c r="B128" s="35"/>
      <c r="C128" s="36"/>
      <c r="D128" s="36"/>
      <c r="E128" s="36"/>
      <c r="F128" s="26"/>
      <c r="G128" s="26"/>
      <c r="H128" s="36"/>
      <c r="I128" s="38">
        <f t="shared" si="11"/>
        <v>23769.9</v>
      </c>
      <c r="J128" s="39" t="str">
        <f t="shared" si="10"/>
        <v/>
      </c>
    </row>
    <row r="129" spans="1:10" x14ac:dyDescent="0.25">
      <c r="A129" s="34" t="str">
        <f t="shared" si="9"/>
        <v/>
      </c>
      <c r="B129" s="35"/>
      <c r="C129" s="36"/>
      <c r="D129" s="36"/>
      <c r="E129" s="36"/>
      <c r="F129" s="26"/>
      <c r="G129" s="26"/>
      <c r="H129" s="36"/>
      <c r="I129" s="38">
        <f t="shared" si="11"/>
        <v>23769.9</v>
      </c>
      <c r="J129" s="39" t="str">
        <f t="shared" si="10"/>
        <v/>
      </c>
    </row>
    <row r="130" spans="1:10" x14ac:dyDescent="0.25">
      <c r="A130" s="34" t="str">
        <f t="shared" si="9"/>
        <v/>
      </c>
      <c r="B130" s="35"/>
      <c r="C130" s="36"/>
      <c r="D130" s="36"/>
      <c r="E130" s="36"/>
      <c r="F130" s="26"/>
      <c r="G130" s="26"/>
      <c r="H130" s="36"/>
      <c r="I130" s="38">
        <f t="shared" si="11"/>
        <v>23769.9</v>
      </c>
      <c r="J130" s="39" t="str">
        <f t="shared" si="10"/>
        <v/>
      </c>
    </row>
    <row r="131" spans="1:10" x14ac:dyDescent="0.25">
      <c r="A131" s="34" t="str">
        <f t="shared" si="9"/>
        <v/>
      </c>
      <c r="B131" s="35"/>
      <c r="C131" s="36"/>
      <c r="D131" s="36"/>
      <c r="E131" s="36"/>
      <c r="F131" s="26"/>
      <c r="G131" s="26"/>
      <c r="H131" s="36"/>
      <c r="I131" s="38">
        <f t="shared" si="11"/>
        <v>23769.9</v>
      </c>
      <c r="J131" s="39" t="str">
        <f t="shared" si="10"/>
        <v/>
      </c>
    </row>
    <row r="132" spans="1:10" x14ac:dyDescent="0.25">
      <c r="A132" s="34" t="str">
        <f t="shared" si="9"/>
        <v/>
      </c>
      <c r="B132" s="35"/>
      <c r="C132" s="36"/>
      <c r="D132" s="36"/>
      <c r="E132" s="36"/>
      <c r="F132" s="26"/>
      <c r="G132" s="26"/>
      <c r="H132" s="36"/>
      <c r="I132" s="38">
        <f t="shared" si="11"/>
        <v>23769.9</v>
      </c>
      <c r="J132" s="39" t="str">
        <f t="shared" si="10"/>
        <v/>
      </c>
    </row>
    <row r="133" spans="1:10" x14ac:dyDescent="0.25">
      <c r="A133" s="34" t="str">
        <f t="shared" si="9"/>
        <v/>
      </c>
      <c r="B133" s="35"/>
      <c r="C133" s="36"/>
      <c r="D133" s="36"/>
      <c r="E133" s="36"/>
      <c r="F133" s="26"/>
      <c r="G133" s="26"/>
      <c r="H133" s="36"/>
      <c r="I133" s="38">
        <f t="shared" si="11"/>
        <v>23769.9</v>
      </c>
      <c r="J133" s="39" t="str">
        <f t="shared" si="10"/>
        <v/>
      </c>
    </row>
    <row r="134" spans="1:10" x14ac:dyDescent="0.25">
      <c r="A134" s="34" t="str">
        <f t="shared" si="9"/>
        <v/>
      </c>
      <c r="B134" s="35"/>
      <c r="C134" s="36"/>
      <c r="D134" s="36"/>
      <c r="E134" s="36"/>
      <c r="F134" s="26"/>
      <c r="G134" s="26"/>
      <c r="H134" s="36"/>
      <c r="I134" s="38">
        <f t="shared" si="11"/>
        <v>23769.9</v>
      </c>
      <c r="J134" s="39" t="str">
        <f t="shared" si="10"/>
        <v/>
      </c>
    </row>
    <row r="135" spans="1:10" x14ac:dyDescent="0.25">
      <c r="A135" s="34" t="str">
        <f t="shared" si="9"/>
        <v/>
      </c>
      <c r="B135" s="35"/>
      <c r="C135" s="36"/>
      <c r="D135" s="36"/>
      <c r="E135" s="36"/>
      <c r="F135" s="26"/>
      <c r="G135" s="26"/>
      <c r="H135" s="36"/>
      <c r="I135" s="38">
        <f t="shared" si="11"/>
        <v>23769.9</v>
      </c>
      <c r="J135" s="39" t="str">
        <f t="shared" si="10"/>
        <v/>
      </c>
    </row>
    <row r="136" spans="1:10" x14ac:dyDescent="0.25">
      <c r="A136" s="34" t="str">
        <f t="shared" ref="A136:A167" si="12">IF(B136="","",TEXT(YEAR(B136),"0000")&amp;"-"&amp;TEXT(ROW()-7,"000"))</f>
        <v/>
      </c>
      <c r="B136" s="35"/>
      <c r="C136" s="36"/>
      <c r="D136" s="36"/>
      <c r="E136" s="36"/>
      <c r="F136" s="26"/>
      <c r="G136" s="26"/>
      <c r="H136" s="36"/>
      <c r="I136" s="38">
        <f t="shared" si="11"/>
        <v>23769.9</v>
      </c>
      <c r="J136" s="39" t="str">
        <f t="shared" ref="J136:J167" si="13">IF(B136="","",MONTH(B136))</f>
        <v/>
      </c>
    </row>
    <row r="137" spans="1:10" x14ac:dyDescent="0.25">
      <c r="A137" s="34" t="str">
        <f t="shared" si="12"/>
        <v/>
      </c>
      <c r="B137" s="35"/>
      <c r="C137" s="36"/>
      <c r="D137" s="36"/>
      <c r="E137" s="36"/>
      <c r="F137" s="26"/>
      <c r="G137" s="26"/>
      <c r="H137" s="36"/>
      <c r="I137" s="38">
        <f t="shared" ref="I137:I168" si="14">I136+IFERROR(F137,0)-IFERROR(G137,0)</f>
        <v>23769.9</v>
      </c>
      <c r="J137" s="39" t="str">
        <f t="shared" si="13"/>
        <v/>
      </c>
    </row>
    <row r="138" spans="1:10" x14ac:dyDescent="0.25">
      <c r="A138" s="34" t="str">
        <f t="shared" si="12"/>
        <v/>
      </c>
      <c r="B138" s="35"/>
      <c r="C138" s="36"/>
      <c r="D138" s="36"/>
      <c r="E138" s="36"/>
      <c r="F138" s="26"/>
      <c r="G138" s="26"/>
      <c r="H138" s="36"/>
      <c r="I138" s="38">
        <f t="shared" si="14"/>
        <v>23769.9</v>
      </c>
      <c r="J138" s="39" t="str">
        <f t="shared" si="13"/>
        <v/>
      </c>
    </row>
    <row r="139" spans="1:10" x14ac:dyDescent="0.25">
      <c r="A139" s="34" t="str">
        <f t="shared" si="12"/>
        <v/>
      </c>
      <c r="B139" s="35"/>
      <c r="C139" s="36"/>
      <c r="D139" s="36"/>
      <c r="E139" s="36"/>
      <c r="F139" s="26"/>
      <c r="G139" s="26"/>
      <c r="H139" s="36"/>
      <c r="I139" s="38">
        <f t="shared" si="14"/>
        <v>23769.9</v>
      </c>
      <c r="J139" s="39" t="str">
        <f t="shared" si="13"/>
        <v/>
      </c>
    </row>
    <row r="140" spans="1:10" x14ac:dyDescent="0.25">
      <c r="A140" s="34" t="str">
        <f t="shared" si="12"/>
        <v/>
      </c>
      <c r="B140" s="35"/>
      <c r="C140" s="36"/>
      <c r="D140" s="36"/>
      <c r="E140" s="36"/>
      <c r="F140" s="26"/>
      <c r="G140" s="26"/>
      <c r="H140" s="36"/>
      <c r="I140" s="38">
        <f t="shared" si="14"/>
        <v>23769.9</v>
      </c>
      <c r="J140" s="39" t="str">
        <f t="shared" si="13"/>
        <v/>
      </c>
    </row>
    <row r="141" spans="1:10" x14ac:dyDescent="0.25">
      <c r="A141" s="34" t="str">
        <f t="shared" si="12"/>
        <v/>
      </c>
      <c r="B141" s="35"/>
      <c r="C141" s="36"/>
      <c r="D141" s="36"/>
      <c r="E141" s="36"/>
      <c r="F141" s="26"/>
      <c r="G141" s="26"/>
      <c r="H141" s="36"/>
      <c r="I141" s="38">
        <f t="shared" si="14"/>
        <v>23769.9</v>
      </c>
      <c r="J141" s="39" t="str">
        <f t="shared" si="13"/>
        <v/>
      </c>
    </row>
    <row r="142" spans="1:10" x14ac:dyDescent="0.25">
      <c r="A142" s="34" t="str">
        <f t="shared" si="12"/>
        <v/>
      </c>
      <c r="B142" s="35"/>
      <c r="C142" s="36"/>
      <c r="D142" s="36"/>
      <c r="E142" s="36"/>
      <c r="F142" s="26"/>
      <c r="G142" s="26"/>
      <c r="H142" s="36"/>
      <c r="I142" s="38">
        <f t="shared" si="14"/>
        <v>23769.9</v>
      </c>
      <c r="J142" s="39" t="str">
        <f t="shared" si="13"/>
        <v/>
      </c>
    </row>
    <row r="143" spans="1:10" x14ac:dyDescent="0.25">
      <c r="A143" s="34" t="str">
        <f t="shared" si="12"/>
        <v/>
      </c>
      <c r="B143" s="35"/>
      <c r="C143" s="36"/>
      <c r="D143" s="36"/>
      <c r="E143" s="36"/>
      <c r="F143" s="26"/>
      <c r="G143" s="26"/>
      <c r="H143" s="36"/>
      <c r="I143" s="38">
        <f t="shared" si="14"/>
        <v>23769.9</v>
      </c>
      <c r="J143" s="39" t="str">
        <f t="shared" si="13"/>
        <v/>
      </c>
    </row>
    <row r="144" spans="1:10" x14ac:dyDescent="0.25">
      <c r="A144" s="34" t="str">
        <f t="shared" si="12"/>
        <v/>
      </c>
      <c r="B144" s="35"/>
      <c r="C144" s="36"/>
      <c r="D144" s="36"/>
      <c r="E144" s="36"/>
      <c r="F144" s="26"/>
      <c r="G144" s="26"/>
      <c r="H144" s="36"/>
      <c r="I144" s="38">
        <f t="shared" si="14"/>
        <v>23769.9</v>
      </c>
      <c r="J144" s="39" t="str">
        <f t="shared" si="13"/>
        <v/>
      </c>
    </row>
    <row r="145" spans="1:10" x14ac:dyDescent="0.25">
      <c r="A145" s="34" t="str">
        <f t="shared" si="12"/>
        <v/>
      </c>
      <c r="B145" s="35"/>
      <c r="C145" s="36"/>
      <c r="D145" s="36"/>
      <c r="E145" s="36"/>
      <c r="F145" s="26"/>
      <c r="G145" s="26"/>
      <c r="H145" s="36"/>
      <c r="I145" s="38">
        <f t="shared" si="14"/>
        <v>23769.9</v>
      </c>
      <c r="J145" s="39" t="str">
        <f t="shared" si="13"/>
        <v/>
      </c>
    </row>
    <row r="146" spans="1:10" x14ac:dyDescent="0.25">
      <c r="A146" s="34" t="str">
        <f t="shared" si="12"/>
        <v/>
      </c>
      <c r="B146" s="35"/>
      <c r="C146" s="36"/>
      <c r="D146" s="36"/>
      <c r="E146" s="36"/>
      <c r="F146" s="26"/>
      <c r="G146" s="26"/>
      <c r="H146" s="36"/>
      <c r="I146" s="38">
        <f t="shared" si="14"/>
        <v>23769.9</v>
      </c>
      <c r="J146" s="39" t="str">
        <f t="shared" si="13"/>
        <v/>
      </c>
    </row>
    <row r="147" spans="1:10" x14ac:dyDescent="0.25">
      <c r="A147" s="34" t="str">
        <f t="shared" si="12"/>
        <v/>
      </c>
      <c r="B147" s="35"/>
      <c r="C147" s="36"/>
      <c r="D147" s="36"/>
      <c r="E147" s="36"/>
      <c r="F147" s="26"/>
      <c r="G147" s="26"/>
      <c r="H147" s="36"/>
      <c r="I147" s="38">
        <f t="shared" si="14"/>
        <v>23769.9</v>
      </c>
      <c r="J147" s="39" t="str">
        <f t="shared" si="13"/>
        <v/>
      </c>
    </row>
    <row r="148" spans="1:10" x14ac:dyDescent="0.25">
      <c r="A148" s="34" t="str">
        <f t="shared" si="12"/>
        <v/>
      </c>
      <c r="B148" s="35"/>
      <c r="C148" s="36"/>
      <c r="D148" s="36"/>
      <c r="E148" s="36"/>
      <c r="F148" s="26"/>
      <c r="G148" s="26"/>
      <c r="H148" s="36"/>
      <c r="I148" s="38">
        <f t="shared" si="14"/>
        <v>23769.9</v>
      </c>
      <c r="J148" s="39" t="str">
        <f t="shared" si="13"/>
        <v/>
      </c>
    </row>
    <row r="149" spans="1:10" x14ac:dyDescent="0.25">
      <c r="A149" s="34" t="str">
        <f t="shared" si="12"/>
        <v/>
      </c>
      <c r="B149" s="35"/>
      <c r="C149" s="36"/>
      <c r="D149" s="36"/>
      <c r="E149" s="36"/>
      <c r="F149" s="26"/>
      <c r="G149" s="26"/>
      <c r="H149" s="36"/>
      <c r="I149" s="38">
        <f t="shared" si="14"/>
        <v>23769.9</v>
      </c>
      <c r="J149" s="39" t="str">
        <f t="shared" si="13"/>
        <v/>
      </c>
    </row>
    <row r="150" spans="1:10" x14ac:dyDescent="0.25">
      <c r="A150" s="34" t="str">
        <f t="shared" si="12"/>
        <v/>
      </c>
      <c r="B150" s="35"/>
      <c r="C150" s="36"/>
      <c r="D150" s="36"/>
      <c r="E150" s="36"/>
      <c r="F150" s="26"/>
      <c r="G150" s="26"/>
      <c r="H150" s="36"/>
      <c r="I150" s="38">
        <f t="shared" si="14"/>
        <v>23769.9</v>
      </c>
      <c r="J150" s="39" t="str">
        <f t="shared" si="13"/>
        <v/>
      </c>
    </row>
    <row r="151" spans="1:10" x14ac:dyDescent="0.25">
      <c r="A151" s="34" t="str">
        <f t="shared" si="12"/>
        <v/>
      </c>
      <c r="B151" s="35"/>
      <c r="C151" s="36"/>
      <c r="D151" s="36"/>
      <c r="E151" s="36"/>
      <c r="F151" s="26"/>
      <c r="G151" s="26"/>
      <c r="H151" s="36"/>
      <c r="I151" s="38">
        <f t="shared" si="14"/>
        <v>23769.9</v>
      </c>
      <c r="J151" s="39" t="str">
        <f t="shared" si="13"/>
        <v/>
      </c>
    </row>
    <row r="152" spans="1:10" x14ac:dyDescent="0.25">
      <c r="A152" s="34" t="str">
        <f t="shared" si="12"/>
        <v/>
      </c>
      <c r="B152" s="35"/>
      <c r="C152" s="36"/>
      <c r="D152" s="36"/>
      <c r="E152" s="36"/>
      <c r="F152" s="26"/>
      <c r="G152" s="26"/>
      <c r="H152" s="36"/>
      <c r="I152" s="38">
        <f t="shared" si="14"/>
        <v>23769.9</v>
      </c>
      <c r="J152" s="39" t="str">
        <f t="shared" si="13"/>
        <v/>
      </c>
    </row>
    <row r="153" spans="1:10" x14ac:dyDescent="0.25">
      <c r="A153" s="34" t="str">
        <f t="shared" si="12"/>
        <v/>
      </c>
      <c r="B153" s="35"/>
      <c r="C153" s="36"/>
      <c r="D153" s="36"/>
      <c r="E153" s="36"/>
      <c r="F153" s="26"/>
      <c r="G153" s="26"/>
      <c r="H153" s="36"/>
      <c r="I153" s="38">
        <f t="shared" si="14"/>
        <v>23769.9</v>
      </c>
      <c r="J153" s="39" t="str">
        <f t="shared" si="13"/>
        <v/>
      </c>
    </row>
    <row r="154" spans="1:10" x14ac:dyDescent="0.25">
      <c r="A154" s="34" t="str">
        <f t="shared" si="12"/>
        <v/>
      </c>
      <c r="B154" s="35"/>
      <c r="C154" s="36"/>
      <c r="D154" s="36"/>
      <c r="E154" s="36"/>
      <c r="F154" s="26"/>
      <c r="G154" s="26"/>
      <c r="H154" s="36"/>
      <c r="I154" s="38">
        <f t="shared" si="14"/>
        <v>23769.9</v>
      </c>
      <c r="J154" s="39" t="str">
        <f t="shared" si="13"/>
        <v/>
      </c>
    </row>
    <row r="155" spans="1:10" x14ac:dyDescent="0.25">
      <c r="A155" s="34" t="str">
        <f t="shared" si="12"/>
        <v/>
      </c>
      <c r="B155" s="35"/>
      <c r="C155" s="36"/>
      <c r="D155" s="36"/>
      <c r="E155" s="36"/>
      <c r="F155" s="26"/>
      <c r="G155" s="26"/>
      <c r="H155" s="36"/>
      <c r="I155" s="38">
        <f t="shared" si="14"/>
        <v>23769.9</v>
      </c>
      <c r="J155" s="39" t="str">
        <f t="shared" si="13"/>
        <v/>
      </c>
    </row>
    <row r="156" spans="1:10" x14ac:dyDescent="0.25">
      <c r="A156" s="34" t="str">
        <f t="shared" si="12"/>
        <v/>
      </c>
      <c r="B156" s="35"/>
      <c r="C156" s="36"/>
      <c r="D156" s="36"/>
      <c r="E156" s="36"/>
      <c r="F156" s="26"/>
      <c r="G156" s="26"/>
      <c r="H156" s="36"/>
      <c r="I156" s="38">
        <f t="shared" si="14"/>
        <v>23769.9</v>
      </c>
      <c r="J156" s="39" t="str">
        <f t="shared" si="13"/>
        <v/>
      </c>
    </row>
    <row r="157" spans="1:10" x14ac:dyDescent="0.25">
      <c r="A157" s="34" t="str">
        <f t="shared" si="12"/>
        <v/>
      </c>
      <c r="B157" s="35"/>
      <c r="C157" s="36"/>
      <c r="D157" s="36"/>
      <c r="E157" s="36"/>
      <c r="F157" s="26"/>
      <c r="G157" s="26"/>
      <c r="H157" s="36"/>
      <c r="I157" s="38">
        <f t="shared" si="14"/>
        <v>23769.9</v>
      </c>
      <c r="J157" s="39" t="str">
        <f t="shared" si="13"/>
        <v/>
      </c>
    </row>
    <row r="158" spans="1:10" x14ac:dyDescent="0.25">
      <c r="A158" s="34" t="str">
        <f t="shared" si="12"/>
        <v/>
      </c>
      <c r="B158" s="35"/>
      <c r="C158" s="36"/>
      <c r="D158" s="36"/>
      <c r="E158" s="36"/>
      <c r="F158" s="26"/>
      <c r="G158" s="26"/>
      <c r="H158" s="36"/>
      <c r="I158" s="38">
        <f t="shared" si="14"/>
        <v>23769.9</v>
      </c>
      <c r="J158" s="39" t="str">
        <f t="shared" si="13"/>
        <v/>
      </c>
    </row>
    <row r="159" spans="1:10" x14ac:dyDescent="0.25">
      <c r="A159" s="34" t="str">
        <f t="shared" si="12"/>
        <v/>
      </c>
      <c r="B159" s="35"/>
      <c r="C159" s="36"/>
      <c r="D159" s="36"/>
      <c r="E159" s="36"/>
      <c r="F159" s="26"/>
      <c r="G159" s="26"/>
      <c r="H159" s="36"/>
      <c r="I159" s="38">
        <f t="shared" si="14"/>
        <v>23769.9</v>
      </c>
      <c r="J159" s="39" t="str">
        <f t="shared" si="13"/>
        <v/>
      </c>
    </row>
    <row r="160" spans="1:10" x14ac:dyDescent="0.25">
      <c r="A160" s="34" t="str">
        <f t="shared" si="12"/>
        <v/>
      </c>
      <c r="B160" s="35"/>
      <c r="C160" s="36"/>
      <c r="D160" s="36"/>
      <c r="E160" s="36"/>
      <c r="F160" s="26"/>
      <c r="G160" s="26"/>
      <c r="H160" s="36"/>
      <c r="I160" s="38">
        <f t="shared" si="14"/>
        <v>23769.9</v>
      </c>
      <c r="J160" s="39" t="str">
        <f t="shared" si="13"/>
        <v/>
      </c>
    </row>
    <row r="161" spans="1:10" x14ac:dyDescent="0.25">
      <c r="A161" s="34" t="str">
        <f t="shared" si="12"/>
        <v/>
      </c>
      <c r="B161" s="35"/>
      <c r="C161" s="36"/>
      <c r="D161" s="36"/>
      <c r="E161" s="36"/>
      <c r="F161" s="26"/>
      <c r="G161" s="26"/>
      <c r="H161" s="36"/>
      <c r="I161" s="38">
        <f t="shared" si="14"/>
        <v>23769.9</v>
      </c>
      <c r="J161" s="39" t="str">
        <f t="shared" si="13"/>
        <v/>
      </c>
    </row>
    <row r="162" spans="1:10" x14ac:dyDescent="0.25">
      <c r="A162" s="34" t="str">
        <f t="shared" si="12"/>
        <v/>
      </c>
      <c r="B162" s="35"/>
      <c r="C162" s="36"/>
      <c r="D162" s="36"/>
      <c r="E162" s="36"/>
      <c r="F162" s="26"/>
      <c r="G162" s="26"/>
      <c r="H162" s="36"/>
      <c r="I162" s="38">
        <f t="shared" si="14"/>
        <v>23769.9</v>
      </c>
      <c r="J162" s="39" t="str">
        <f t="shared" si="13"/>
        <v/>
      </c>
    </row>
    <row r="163" spans="1:10" x14ac:dyDescent="0.25">
      <c r="A163" s="34" t="str">
        <f t="shared" si="12"/>
        <v/>
      </c>
      <c r="B163" s="35"/>
      <c r="C163" s="36"/>
      <c r="D163" s="36"/>
      <c r="E163" s="36"/>
      <c r="F163" s="26"/>
      <c r="G163" s="26"/>
      <c r="H163" s="36"/>
      <c r="I163" s="38">
        <f t="shared" si="14"/>
        <v>23769.9</v>
      </c>
      <c r="J163" s="39" t="str">
        <f t="shared" si="13"/>
        <v/>
      </c>
    </row>
    <row r="164" spans="1:10" x14ac:dyDescent="0.25">
      <c r="A164" s="34" t="str">
        <f t="shared" si="12"/>
        <v/>
      </c>
      <c r="B164" s="35"/>
      <c r="C164" s="36"/>
      <c r="D164" s="36"/>
      <c r="E164" s="36"/>
      <c r="F164" s="26"/>
      <c r="G164" s="26"/>
      <c r="H164" s="36"/>
      <c r="I164" s="38">
        <f t="shared" si="14"/>
        <v>23769.9</v>
      </c>
      <c r="J164" s="39" t="str">
        <f t="shared" si="13"/>
        <v/>
      </c>
    </row>
    <row r="165" spans="1:10" x14ac:dyDescent="0.25">
      <c r="A165" s="34" t="str">
        <f t="shared" si="12"/>
        <v/>
      </c>
      <c r="B165" s="35"/>
      <c r="C165" s="36"/>
      <c r="D165" s="36"/>
      <c r="E165" s="36"/>
      <c r="F165" s="26"/>
      <c r="G165" s="26"/>
      <c r="H165" s="36"/>
      <c r="I165" s="38">
        <f t="shared" si="14"/>
        <v>23769.9</v>
      </c>
      <c r="J165" s="39" t="str">
        <f t="shared" si="13"/>
        <v/>
      </c>
    </row>
    <row r="166" spans="1:10" x14ac:dyDescent="0.25">
      <c r="A166" s="34" t="str">
        <f t="shared" si="12"/>
        <v/>
      </c>
      <c r="B166" s="35"/>
      <c r="C166" s="36"/>
      <c r="D166" s="36"/>
      <c r="E166" s="36"/>
      <c r="F166" s="26"/>
      <c r="G166" s="26"/>
      <c r="H166" s="36"/>
      <c r="I166" s="38">
        <f t="shared" si="14"/>
        <v>23769.9</v>
      </c>
      <c r="J166" s="39" t="str">
        <f t="shared" si="13"/>
        <v/>
      </c>
    </row>
    <row r="167" spans="1:10" x14ac:dyDescent="0.25">
      <c r="A167" s="34" t="str">
        <f t="shared" si="12"/>
        <v/>
      </c>
      <c r="B167" s="35"/>
      <c r="C167" s="36"/>
      <c r="D167" s="36"/>
      <c r="E167" s="36"/>
      <c r="F167" s="26"/>
      <c r="G167" s="26"/>
      <c r="H167" s="36"/>
      <c r="I167" s="38">
        <f t="shared" si="14"/>
        <v>23769.9</v>
      </c>
      <c r="J167" s="39" t="str">
        <f t="shared" si="13"/>
        <v/>
      </c>
    </row>
    <row r="168" spans="1:10" x14ac:dyDescent="0.25">
      <c r="A168" s="34" t="str">
        <f t="shared" ref="A168:A199" si="15">IF(B168="","",TEXT(YEAR(B168),"0000")&amp;"-"&amp;TEXT(ROW()-7,"000"))</f>
        <v/>
      </c>
      <c r="B168" s="35"/>
      <c r="C168" s="36"/>
      <c r="D168" s="36"/>
      <c r="E168" s="36"/>
      <c r="F168" s="26"/>
      <c r="G168" s="26"/>
      <c r="H168" s="36"/>
      <c r="I168" s="38">
        <f t="shared" si="14"/>
        <v>23769.9</v>
      </c>
      <c r="J168" s="39" t="str">
        <f t="shared" ref="J168:J200" si="16">IF(B168="","",MONTH(B168))</f>
        <v/>
      </c>
    </row>
    <row r="169" spans="1:10" x14ac:dyDescent="0.25">
      <c r="A169" s="34" t="str">
        <f t="shared" si="15"/>
        <v/>
      </c>
      <c r="B169" s="35"/>
      <c r="C169" s="36"/>
      <c r="D169" s="36"/>
      <c r="E169" s="36"/>
      <c r="F169" s="26"/>
      <c r="G169" s="26"/>
      <c r="H169" s="36"/>
      <c r="I169" s="38">
        <f t="shared" ref="I169:I200" si="17">I168+IFERROR(F169,0)-IFERROR(G169,0)</f>
        <v>23769.9</v>
      </c>
      <c r="J169" s="39" t="str">
        <f t="shared" si="16"/>
        <v/>
      </c>
    </row>
    <row r="170" spans="1:10" x14ac:dyDescent="0.25">
      <c r="A170" s="34" t="str">
        <f t="shared" si="15"/>
        <v/>
      </c>
      <c r="B170" s="35"/>
      <c r="C170" s="36"/>
      <c r="D170" s="36"/>
      <c r="E170" s="36"/>
      <c r="F170" s="26"/>
      <c r="G170" s="26"/>
      <c r="H170" s="36"/>
      <c r="I170" s="38">
        <f t="shared" si="17"/>
        <v>23769.9</v>
      </c>
      <c r="J170" s="39" t="str">
        <f t="shared" si="16"/>
        <v/>
      </c>
    </row>
    <row r="171" spans="1:10" x14ac:dyDescent="0.25">
      <c r="A171" s="34" t="str">
        <f t="shared" si="15"/>
        <v/>
      </c>
      <c r="B171" s="35"/>
      <c r="C171" s="36"/>
      <c r="D171" s="36"/>
      <c r="E171" s="36"/>
      <c r="F171" s="26"/>
      <c r="G171" s="26"/>
      <c r="H171" s="36"/>
      <c r="I171" s="38">
        <f t="shared" si="17"/>
        <v>23769.9</v>
      </c>
      <c r="J171" s="39" t="str">
        <f t="shared" si="16"/>
        <v/>
      </c>
    </row>
    <row r="172" spans="1:10" x14ac:dyDescent="0.25">
      <c r="A172" s="34" t="str">
        <f t="shared" si="15"/>
        <v/>
      </c>
      <c r="B172" s="35"/>
      <c r="C172" s="36"/>
      <c r="D172" s="36"/>
      <c r="E172" s="36"/>
      <c r="F172" s="26"/>
      <c r="G172" s="26"/>
      <c r="H172" s="36"/>
      <c r="I172" s="38">
        <f t="shared" si="17"/>
        <v>23769.9</v>
      </c>
      <c r="J172" s="39" t="str">
        <f t="shared" si="16"/>
        <v/>
      </c>
    </row>
    <row r="173" spans="1:10" x14ac:dyDescent="0.25">
      <c r="A173" s="34" t="str">
        <f t="shared" si="15"/>
        <v/>
      </c>
      <c r="B173" s="35"/>
      <c r="C173" s="36"/>
      <c r="D173" s="36"/>
      <c r="E173" s="36"/>
      <c r="F173" s="26"/>
      <c r="G173" s="26"/>
      <c r="H173" s="36"/>
      <c r="I173" s="38">
        <f t="shared" si="17"/>
        <v>23769.9</v>
      </c>
      <c r="J173" s="39" t="str">
        <f t="shared" si="16"/>
        <v/>
      </c>
    </row>
    <row r="174" spans="1:10" x14ac:dyDescent="0.25">
      <c r="A174" s="34" t="str">
        <f t="shared" si="15"/>
        <v/>
      </c>
      <c r="B174" s="35"/>
      <c r="C174" s="36"/>
      <c r="D174" s="36"/>
      <c r="E174" s="36"/>
      <c r="F174" s="26"/>
      <c r="G174" s="26"/>
      <c r="H174" s="36"/>
      <c r="I174" s="38">
        <f t="shared" si="17"/>
        <v>23769.9</v>
      </c>
      <c r="J174" s="39" t="str">
        <f t="shared" si="16"/>
        <v/>
      </c>
    </row>
    <row r="175" spans="1:10" x14ac:dyDescent="0.25">
      <c r="A175" s="34" t="str">
        <f t="shared" si="15"/>
        <v/>
      </c>
      <c r="B175" s="35"/>
      <c r="C175" s="36"/>
      <c r="D175" s="36"/>
      <c r="E175" s="36"/>
      <c r="F175" s="26"/>
      <c r="G175" s="26"/>
      <c r="H175" s="36"/>
      <c r="I175" s="38">
        <f t="shared" si="17"/>
        <v>23769.9</v>
      </c>
      <c r="J175" s="39" t="str">
        <f t="shared" si="16"/>
        <v/>
      </c>
    </row>
    <row r="176" spans="1:10" x14ac:dyDescent="0.25">
      <c r="A176" s="34" t="str">
        <f t="shared" si="15"/>
        <v/>
      </c>
      <c r="B176" s="35"/>
      <c r="C176" s="36"/>
      <c r="D176" s="36"/>
      <c r="E176" s="36"/>
      <c r="F176" s="26"/>
      <c r="G176" s="26"/>
      <c r="H176" s="36"/>
      <c r="I176" s="38">
        <f t="shared" si="17"/>
        <v>23769.9</v>
      </c>
      <c r="J176" s="39" t="str">
        <f t="shared" si="16"/>
        <v/>
      </c>
    </row>
    <row r="177" spans="1:10" x14ac:dyDescent="0.25">
      <c r="A177" s="34" t="str">
        <f t="shared" si="15"/>
        <v/>
      </c>
      <c r="B177" s="35"/>
      <c r="C177" s="36"/>
      <c r="D177" s="36"/>
      <c r="E177" s="36"/>
      <c r="F177" s="26"/>
      <c r="G177" s="26"/>
      <c r="H177" s="36"/>
      <c r="I177" s="38">
        <f t="shared" si="17"/>
        <v>23769.9</v>
      </c>
      <c r="J177" s="39" t="str">
        <f t="shared" si="16"/>
        <v/>
      </c>
    </row>
    <row r="178" spans="1:10" x14ac:dyDescent="0.25">
      <c r="A178" s="34" t="str">
        <f t="shared" si="15"/>
        <v/>
      </c>
      <c r="B178" s="35"/>
      <c r="C178" s="36"/>
      <c r="D178" s="36"/>
      <c r="E178" s="36"/>
      <c r="F178" s="26"/>
      <c r="G178" s="26"/>
      <c r="H178" s="36"/>
      <c r="I178" s="38">
        <f t="shared" si="17"/>
        <v>23769.9</v>
      </c>
      <c r="J178" s="39" t="str">
        <f t="shared" si="16"/>
        <v/>
      </c>
    </row>
    <row r="179" spans="1:10" x14ac:dyDescent="0.25">
      <c r="A179" s="34" t="str">
        <f t="shared" si="15"/>
        <v/>
      </c>
      <c r="B179" s="35"/>
      <c r="C179" s="36"/>
      <c r="D179" s="36"/>
      <c r="E179" s="36"/>
      <c r="F179" s="26"/>
      <c r="G179" s="26"/>
      <c r="H179" s="36"/>
      <c r="I179" s="38">
        <f t="shared" si="17"/>
        <v>23769.9</v>
      </c>
      <c r="J179" s="39" t="str">
        <f t="shared" si="16"/>
        <v/>
      </c>
    </row>
    <row r="180" spans="1:10" x14ac:dyDescent="0.25">
      <c r="A180" s="34" t="str">
        <f t="shared" si="15"/>
        <v/>
      </c>
      <c r="B180" s="35"/>
      <c r="C180" s="36"/>
      <c r="D180" s="36"/>
      <c r="E180" s="36"/>
      <c r="F180" s="26"/>
      <c r="G180" s="26"/>
      <c r="H180" s="36"/>
      <c r="I180" s="38">
        <f t="shared" si="17"/>
        <v>23769.9</v>
      </c>
      <c r="J180" s="39" t="str">
        <f t="shared" si="16"/>
        <v/>
      </c>
    </row>
    <row r="181" spans="1:10" x14ac:dyDescent="0.25">
      <c r="A181" s="34" t="str">
        <f t="shared" si="15"/>
        <v/>
      </c>
      <c r="B181" s="35"/>
      <c r="C181" s="36"/>
      <c r="D181" s="36"/>
      <c r="E181" s="36"/>
      <c r="F181" s="26"/>
      <c r="G181" s="26"/>
      <c r="H181" s="36"/>
      <c r="I181" s="38">
        <f t="shared" si="17"/>
        <v>23769.9</v>
      </c>
      <c r="J181" s="39" t="str">
        <f t="shared" si="16"/>
        <v/>
      </c>
    </row>
    <row r="182" spans="1:10" x14ac:dyDescent="0.25">
      <c r="A182" s="34" t="str">
        <f t="shared" si="15"/>
        <v/>
      </c>
      <c r="B182" s="35"/>
      <c r="C182" s="36"/>
      <c r="D182" s="36"/>
      <c r="E182" s="36"/>
      <c r="F182" s="26"/>
      <c r="G182" s="26"/>
      <c r="H182" s="36"/>
      <c r="I182" s="38">
        <f t="shared" si="17"/>
        <v>23769.9</v>
      </c>
      <c r="J182" s="39" t="str">
        <f t="shared" si="16"/>
        <v/>
      </c>
    </row>
    <row r="183" spans="1:10" x14ac:dyDescent="0.25">
      <c r="A183" s="34" t="str">
        <f t="shared" si="15"/>
        <v/>
      </c>
      <c r="B183" s="35"/>
      <c r="C183" s="36"/>
      <c r="D183" s="36"/>
      <c r="E183" s="36"/>
      <c r="F183" s="26"/>
      <c r="G183" s="26"/>
      <c r="H183" s="36"/>
      <c r="I183" s="38">
        <f t="shared" si="17"/>
        <v>23769.9</v>
      </c>
      <c r="J183" s="39" t="str">
        <f t="shared" si="16"/>
        <v/>
      </c>
    </row>
    <row r="184" spans="1:10" x14ac:dyDescent="0.25">
      <c r="A184" s="34" t="str">
        <f t="shared" si="15"/>
        <v/>
      </c>
      <c r="B184" s="35"/>
      <c r="C184" s="36"/>
      <c r="D184" s="36"/>
      <c r="E184" s="36"/>
      <c r="F184" s="26"/>
      <c r="G184" s="26"/>
      <c r="H184" s="36"/>
      <c r="I184" s="38">
        <f t="shared" si="17"/>
        <v>23769.9</v>
      </c>
      <c r="J184" s="39" t="str">
        <f t="shared" si="16"/>
        <v/>
      </c>
    </row>
    <row r="185" spans="1:10" x14ac:dyDescent="0.25">
      <c r="A185" s="34" t="str">
        <f t="shared" si="15"/>
        <v/>
      </c>
      <c r="B185" s="35"/>
      <c r="C185" s="36"/>
      <c r="D185" s="36"/>
      <c r="E185" s="36"/>
      <c r="F185" s="26"/>
      <c r="G185" s="26"/>
      <c r="H185" s="36"/>
      <c r="I185" s="38">
        <f t="shared" si="17"/>
        <v>23769.9</v>
      </c>
      <c r="J185" s="39" t="str">
        <f t="shared" si="16"/>
        <v/>
      </c>
    </row>
    <row r="186" spans="1:10" x14ac:dyDescent="0.25">
      <c r="A186" s="34" t="str">
        <f t="shared" si="15"/>
        <v/>
      </c>
      <c r="B186" s="35"/>
      <c r="C186" s="36"/>
      <c r="D186" s="36"/>
      <c r="E186" s="36"/>
      <c r="F186" s="26"/>
      <c r="G186" s="26"/>
      <c r="H186" s="36"/>
      <c r="I186" s="38">
        <f t="shared" si="17"/>
        <v>23769.9</v>
      </c>
      <c r="J186" s="39" t="str">
        <f t="shared" si="16"/>
        <v/>
      </c>
    </row>
    <row r="187" spans="1:10" x14ac:dyDescent="0.25">
      <c r="A187" s="34" t="str">
        <f t="shared" si="15"/>
        <v/>
      </c>
      <c r="B187" s="35"/>
      <c r="C187" s="36"/>
      <c r="D187" s="36"/>
      <c r="E187" s="36"/>
      <c r="F187" s="26"/>
      <c r="G187" s="26"/>
      <c r="H187" s="36"/>
      <c r="I187" s="38">
        <f t="shared" si="17"/>
        <v>23769.9</v>
      </c>
      <c r="J187" s="39" t="str">
        <f t="shared" si="16"/>
        <v/>
      </c>
    </row>
    <row r="188" spans="1:10" x14ac:dyDescent="0.25">
      <c r="A188" s="34" t="str">
        <f t="shared" si="15"/>
        <v/>
      </c>
      <c r="B188" s="35"/>
      <c r="C188" s="36"/>
      <c r="D188" s="36"/>
      <c r="E188" s="36"/>
      <c r="F188" s="26"/>
      <c r="G188" s="26"/>
      <c r="H188" s="36"/>
      <c r="I188" s="38">
        <f t="shared" si="17"/>
        <v>23769.9</v>
      </c>
      <c r="J188" s="39" t="str">
        <f t="shared" si="16"/>
        <v/>
      </c>
    </row>
    <row r="189" spans="1:10" x14ac:dyDescent="0.25">
      <c r="A189" s="34" t="str">
        <f t="shared" si="15"/>
        <v/>
      </c>
      <c r="B189" s="35"/>
      <c r="C189" s="36"/>
      <c r="D189" s="36"/>
      <c r="E189" s="36"/>
      <c r="F189" s="26"/>
      <c r="G189" s="26"/>
      <c r="H189" s="36"/>
      <c r="I189" s="38">
        <f t="shared" si="17"/>
        <v>23769.9</v>
      </c>
      <c r="J189" s="39" t="str">
        <f t="shared" si="16"/>
        <v/>
      </c>
    </row>
    <row r="190" spans="1:10" x14ac:dyDescent="0.25">
      <c r="A190" s="34" t="str">
        <f t="shared" si="15"/>
        <v/>
      </c>
      <c r="B190" s="35"/>
      <c r="C190" s="36"/>
      <c r="D190" s="36"/>
      <c r="E190" s="36"/>
      <c r="F190" s="26"/>
      <c r="G190" s="26"/>
      <c r="H190" s="36"/>
      <c r="I190" s="38">
        <f t="shared" si="17"/>
        <v>23769.9</v>
      </c>
      <c r="J190" s="39" t="str">
        <f t="shared" si="16"/>
        <v/>
      </c>
    </row>
    <row r="191" spans="1:10" x14ac:dyDescent="0.25">
      <c r="A191" s="34" t="str">
        <f t="shared" si="15"/>
        <v/>
      </c>
      <c r="B191" s="35"/>
      <c r="C191" s="36"/>
      <c r="D191" s="36"/>
      <c r="E191" s="36"/>
      <c r="F191" s="26"/>
      <c r="G191" s="26"/>
      <c r="H191" s="36"/>
      <c r="I191" s="38">
        <f t="shared" si="17"/>
        <v>23769.9</v>
      </c>
      <c r="J191" s="39" t="str">
        <f t="shared" si="16"/>
        <v/>
      </c>
    </row>
    <row r="192" spans="1:10" x14ac:dyDescent="0.25">
      <c r="A192" s="34" t="str">
        <f t="shared" si="15"/>
        <v/>
      </c>
      <c r="B192" s="35"/>
      <c r="C192" s="36"/>
      <c r="D192" s="36"/>
      <c r="E192" s="36"/>
      <c r="F192" s="26"/>
      <c r="G192" s="26"/>
      <c r="H192" s="36"/>
      <c r="I192" s="38">
        <f t="shared" si="17"/>
        <v>23769.9</v>
      </c>
      <c r="J192" s="39" t="str">
        <f t="shared" si="16"/>
        <v/>
      </c>
    </row>
    <row r="193" spans="1:10" x14ac:dyDescent="0.25">
      <c r="A193" s="34" t="str">
        <f t="shared" si="15"/>
        <v/>
      </c>
      <c r="B193" s="35"/>
      <c r="C193" s="36"/>
      <c r="D193" s="36"/>
      <c r="E193" s="36"/>
      <c r="F193" s="26"/>
      <c r="G193" s="26"/>
      <c r="H193" s="36"/>
      <c r="I193" s="38">
        <f t="shared" si="17"/>
        <v>23769.9</v>
      </c>
      <c r="J193" s="39" t="str">
        <f t="shared" si="16"/>
        <v/>
      </c>
    </row>
    <row r="194" spans="1:10" x14ac:dyDescent="0.25">
      <c r="A194" s="34" t="str">
        <f t="shared" si="15"/>
        <v/>
      </c>
      <c r="B194" s="35"/>
      <c r="C194" s="36"/>
      <c r="D194" s="36"/>
      <c r="E194" s="36"/>
      <c r="F194" s="26"/>
      <c r="G194" s="26"/>
      <c r="H194" s="36"/>
      <c r="I194" s="38">
        <f t="shared" si="17"/>
        <v>23769.9</v>
      </c>
      <c r="J194" s="39" t="str">
        <f t="shared" si="16"/>
        <v/>
      </c>
    </row>
    <row r="195" spans="1:10" x14ac:dyDescent="0.25">
      <c r="A195" s="34" t="str">
        <f t="shared" si="15"/>
        <v/>
      </c>
      <c r="B195" s="35"/>
      <c r="C195" s="36"/>
      <c r="D195" s="36"/>
      <c r="E195" s="36"/>
      <c r="F195" s="26"/>
      <c r="G195" s="26"/>
      <c r="H195" s="36"/>
      <c r="I195" s="38">
        <f t="shared" si="17"/>
        <v>23769.9</v>
      </c>
      <c r="J195" s="39" t="str">
        <f t="shared" si="16"/>
        <v/>
      </c>
    </row>
    <row r="196" spans="1:10" x14ac:dyDescent="0.25">
      <c r="A196" s="34" t="str">
        <f t="shared" si="15"/>
        <v/>
      </c>
      <c r="B196" s="35"/>
      <c r="C196" s="36"/>
      <c r="D196" s="36"/>
      <c r="E196" s="36"/>
      <c r="F196" s="26"/>
      <c r="G196" s="26"/>
      <c r="H196" s="36"/>
      <c r="I196" s="38">
        <f t="shared" si="17"/>
        <v>23769.9</v>
      </c>
      <c r="J196" s="39" t="str">
        <f t="shared" si="16"/>
        <v/>
      </c>
    </row>
    <row r="197" spans="1:10" x14ac:dyDescent="0.25">
      <c r="A197" s="34" t="str">
        <f t="shared" si="15"/>
        <v/>
      </c>
      <c r="B197" s="35"/>
      <c r="C197" s="36"/>
      <c r="D197" s="36"/>
      <c r="E197" s="36"/>
      <c r="F197" s="26"/>
      <c r="G197" s="26"/>
      <c r="H197" s="36"/>
      <c r="I197" s="38">
        <f t="shared" si="17"/>
        <v>23769.9</v>
      </c>
      <c r="J197" s="39" t="str">
        <f t="shared" si="16"/>
        <v/>
      </c>
    </row>
    <row r="198" spans="1:10" x14ac:dyDescent="0.25">
      <c r="A198" s="34" t="str">
        <f t="shared" si="15"/>
        <v/>
      </c>
      <c r="B198" s="35"/>
      <c r="C198" s="36"/>
      <c r="D198" s="36"/>
      <c r="E198" s="36"/>
      <c r="F198" s="26"/>
      <c r="G198" s="26"/>
      <c r="H198" s="36"/>
      <c r="I198" s="38">
        <f t="shared" si="17"/>
        <v>23769.9</v>
      </c>
      <c r="J198" s="39" t="str">
        <f t="shared" si="16"/>
        <v/>
      </c>
    </row>
    <row r="199" spans="1:10" x14ac:dyDescent="0.25">
      <c r="A199" s="34" t="str">
        <f t="shared" si="15"/>
        <v/>
      </c>
      <c r="B199" s="35"/>
      <c r="C199" s="36"/>
      <c r="D199" s="36"/>
      <c r="E199" s="36"/>
      <c r="F199" s="26"/>
      <c r="G199" s="26"/>
      <c r="H199" s="36"/>
      <c r="I199" s="38">
        <f t="shared" si="17"/>
        <v>23769.9</v>
      </c>
      <c r="J199" s="39" t="str">
        <f t="shared" si="16"/>
        <v/>
      </c>
    </row>
    <row r="200" spans="1:10" x14ac:dyDescent="0.25">
      <c r="A200" s="34" t="str">
        <f t="shared" ref="A200:A231" si="18">IF(B200="","",TEXT(YEAR(B200),"0000")&amp;"-"&amp;TEXT(ROW()-7,"000"))</f>
        <v/>
      </c>
      <c r="B200" s="35"/>
      <c r="C200" s="36"/>
      <c r="D200" s="36"/>
      <c r="E200" s="36"/>
      <c r="F200" s="26"/>
      <c r="G200" s="26"/>
      <c r="H200" s="36"/>
      <c r="I200" s="38">
        <f t="shared" si="17"/>
        <v>23769.9</v>
      </c>
      <c r="J200" s="39" t="str">
        <f t="shared" si="16"/>
        <v/>
      </c>
    </row>
  </sheetData>
  <mergeCells count="4">
    <mergeCell ref="A2:J2"/>
    <mergeCell ref="A3:J3"/>
    <mergeCell ref="A5:E5"/>
    <mergeCell ref="F5:G5"/>
  </mergeCells>
  <conditionalFormatting sqref="I8:I200">
    <cfRule type="cellIs" dxfId="1" priority="2" operator="lessThan">
      <formula>0</formula>
    </cfRule>
  </conditionalFormatting>
  <dataValidations count="2">
    <dataValidation type="list" allowBlank="1" errorTitle="Ungültige Eingabe" error="Bitte wählen Sie einen der vier steuerlichen Bereiche aus." promptTitle="Steuerlicher Bereich" prompt="Bereich aus Dropdown wählen" sqref="D8:D200" xr:uid="{00000000-0002-0000-0100-000000000000}">
      <formula1>"1. Ideeller Bereich,2. Vermögensverwaltung,3. Zweckbetrieb,4. Wirtschaftl. Geschäftsbetrieb"</formula1>
      <formula2>0</formula2>
    </dataValidation>
    <dataValidation type="list" allowBlank="1" promptTitle="Konto" prompt="Konto wählen" sqref="H8:H200" xr:uid="{00000000-0002-0000-0100-000001000000}">
      <formula1>"Bank,Kasse,Tagesgeld"</formula1>
      <formula2>0</formula2>
    </dataValidation>
  </dataValidations>
  <printOptions horizontalCentered="1"/>
  <pageMargins left="0.3" right="0.3" top="0.5" bottom="0.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0"/>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baseColWidth="10" defaultColWidth="8.7109375" defaultRowHeight="15" x14ac:dyDescent="0.25"/>
  <cols>
    <col min="1" max="1" width="2" customWidth="1"/>
    <col min="2" max="2" width="32" customWidth="1"/>
    <col min="3" max="3" width="5" customWidth="1"/>
    <col min="4" max="15" width="10" customWidth="1"/>
    <col min="16" max="16" width="13" customWidth="1"/>
  </cols>
  <sheetData>
    <row r="1" spans="2:16" ht="6" customHeight="1" x14ac:dyDescent="0.25"/>
    <row r="2" spans="2:16" ht="31.5" customHeight="1" x14ac:dyDescent="0.25">
      <c r="B2" s="4" t="s">
        <v>128</v>
      </c>
      <c r="C2" s="4"/>
      <c r="D2" s="4"/>
      <c r="E2" s="4"/>
      <c r="F2" s="4"/>
      <c r="G2" s="4"/>
      <c r="H2" s="4"/>
      <c r="I2" s="4"/>
      <c r="J2" s="4"/>
      <c r="K2" s="4"/>
      <c r="L2" s="4"/>
      <c r="M2" s="4"/>
      <c r="N2" s="4"/>
      <c r="O2" s="4"/>
      <c r="P2" s="4"/>
    </row>
    <row r="3" spans="2:16" ht="19.5" customHeight="1" x14ac:dyDescent="0.25">
      <c r="B3" s="13" t="s">
        <v>129</v>
      </c>
      <c r="C3" s="13"/>
      <c r="D3" s="13"/>
      <c r="E3" s="13"/>
      <c r="F3" s="13"/>
      <c r="G3" s="13"/>
      <c r="H3" s="13"/>
      <c r="I3" s="13"/>
      <c r="J3" s="13"/>
      <c r="K3" s="13"/>
      <c r="L3" s="13"/>
      <c r="M3" s="13"/>
      <c r="N3" s="13"/>
      <c r="O3" s="13"/>
      <c r="P3" s="13"/>
    </row>
    <row r="4" spans="2:16" ht="7.5" customHeight="1" x14ac:dyDescent="0.25"/>
    <row r="5" spans="2:16" ht="30" customHeight="1" x14ac:dyDescent="0.25">
      <c r="B5" s="18" t="s">
        <v>58</v>
      </c>
      <c r="C5" s="18" t="s">
        <v>130</v>
      </c>
      <c r="D5" s="18" t="s">
        <v>131</v>
      </c>
      <c r="E5" s="18" t="s">
        <v>132</v>
      </c>
      <c r="F5" s="18" t="s">
        <v>133</v>
      </c>
      <c r="G5" s="18" t="s">
        <v>134</v>
      </c>
      <c r="H5" s="18" t="s">
        <v>135</v>
      </c>
      <c r="I5" s="18" t="s">
        <v>136</v>
      </c>
      <c r="J5" s="18" t="s">
        <v>137</v>
      </c>
      <c r="K5" s="18" t="s">
        <v>138</v>
      </c>
      <c r="L5" s="18" t="s">
        <v>139</v>
      </c>
      <c r="M5" s="18" t="s">
        <v>140</v>
      </c>
      <c r="N5" s="18" t="s">
        <v>141</v>
      </c>
      <c r="O5" s="18" t="s">
        <v>142</v>
      </c>
      <c r="P5" s="18" t="s">
        <v>143</v>
      </c>
    </row>
    <row r="6" spans="2:16" ht="21.75" customHeight="1" x14ac:dyDescent="0.25">
      <c r="B6" s="1" t="s">
        <v>26</v>
      </c>
      <c r="C6" s="1"/>
      <c r="D6" s="1"/>
      <c r="E6" s="1"/>
      <c r="F6" s="1"/>
      <c r="G6" s="1"/>
      <c r="H6" s="1"/>
      <c r="I6" s="1"/>
      <c r="J6" s="1"/>
      <c r="K6" s="1"/>
      <c r="L6" s="1"/>
      <c r="M6" s="1"/>
      <c r="N6" s="1"/>
      <c r="O6" s="1"/>
      <c r="P6" s="1"/>
    </row>
    <row r="7" spans="2:16" x14ac:dyDescent="0.25">
      <c r="B7" s="40" t="s">
        <v>65</v>
      </c>
      <c r="C7" s="41" t="s">
        <v>144</v>
      </c>
      <c r="D7" s="42">
        <f>SUMIFS(Buchungen!$F$8:$F$200,Buchungen!$D$8:$D$200,"1. Ideeller Bereich",Buchungen!$E$8:$E$200,"Mitgliedsbeiträge",Buchungen!$J$8:$J$200,1)</f>
        <v>5680</v>
      </c>
      <c r="E7" s="42">
        <f>SUMIFS(Buchungen!$F$8:$F$200,Buchungen!$D$8:$D$200,"1. Ideeller Bereich",Buchungen!$E$8:$E$200,"Mitgliedsbeiträge",Buchungen!$J$8:$J$200,2)</f>
        <v>0</v>
      </c>
      <c r="F7" s="42">
        <f>SUMIFS(Buchungen!$F$8:$F$200,Buchungen!$D$8:$D$200,"1. Ideeller Bereich",Buchungen!$E$8:$E$200,"Mitgliedsbeiträge",Buchungen!$J$8:$J$200,3)</f>
        <v>0</v>
      </c>
      <c r="G7" s="42">
        <f>SUMIFS(Buchungen!$F$8:$F$200,Buchungen!$D$8:$D$200,"1. Ideeller Bereich",Buchungen!$E$8:$E$200,"Mitgliedsbeiträge",Buchungen!$J$8:$J$200,4)</f>
        <v>0</v>
      </c>
      <c r="H7" s="42">
        <f>SUMIFS(Buchungen!$F$8:$F$200,Buchungen!$D$8:$D$200,"1. Ideeller Bereich",Buchungen!$E$8:$E$200,"Mitgliedsbeiträge",Buchungen!$J$8:$J$200,5)</f>
        <v>0</v>
      </c>
      <c r="I7" s="42">
        <f>SUMIFS(Buchungen!$F$8:$F$200,Buchungen!$D$8:$D$200,"1. Ideeller Bereich",Buchungen!$E$8:$E$200,"Mitgliedsbeiträge",Buchungen!$J$8:$J$200,6)</f>
        <v>240</v>
      </c>
      <c r="J7" s="42">
        <f>SUMIFS(Buchungen!$F$8:$F$200,Buchungen!$D$8:$D$200,"1. Ideeller Bereich",Buchungen!$E$8:$E$200,"Mitgliedsbeiträge",Buchungen!$J$8:$J$200,7)</f>
        <v>0</v>
      </c>
      <c r="K7" s="42">
        <f>SUMIFS(Buchungen!$F$8:$F$200,Buchungen!$D$8:$D$200,"1. Ideeller Bereich",Buchungen!$E$8:$E$200,"Mitgliedsbeiträge",Buchungen!$J$8:$J$200,8)</f>
        <v>0</v>
      </c>
      <c r="L7" s="42">
        <f>SUMIFS(Buchungen!$F$8:$F$200,Buchungen!$D$8:$D$200,"1. Ideeller Bereich",Buchungen!$E$8:$E$200,"Mitgliedsbeiträge",Buchungen!$J$8:$J$200,9)</f>
        <v>0</v>
      </c>
      <c r="M7" s="42">
        <f>SUMIFS(Buchungen!$F$8:$F$200,Buchungen!$D$8:$D$200,"1. Ideeller Bereich",Buchungen!$E$8:$E$200,"Mitgliedsbeiträge",Buchungen!$J$8:$J$200,10)</f>
        <v>0</v>
      </c>
      <c r="N7" s="42">
        <f>SUMIFS(Buchungen!$F$8:$F$200,Buchungen!$D$8:$D$200,"1. Ideeller Bereich",Buchungen!$E$8:$E$200,"Mitgliedsbeiträge",Buchungen!$J$8:$J$200,11)</f>
        <v>0</v>
      </c>
      <c r="O7" s="42">
        <f>SUMIFS(Buchungen!$F$8:$F$200,Buchungen!$D$8:$D$200,"1. Ideeller Bereich",Buchungen!$E$8:$E$200,"Mitgliedsbeiträge",Buchungen!$J$8:$J$200,12)</f>
        <v>0</v>
      </c>
      <c r="P7" s="43">
        <f t="shared" ref="P7:P16" si="0">SUM(D7:O7)</f>
        <v>5920</v>
      </c>
    </row>
    <row r="8" spans="2:16" x14ac:dyDescent="0.25">
      <c r="B8" s="40" t="s">
        <v>126</v>
      </c>
      <c r="C8" s="41" t="s">
        <v>144</v>
      </c>
      <c r="D8" s="42">
        <f>SUMIFS(Buchungen!$F$8:$F$200,Buchungen!$D$8:$D$200,"1. Ideeller Bereich",Buchungen!$E$8:$E$200,"Aufnahmegebühren",Buchungen!$J$8:$J$200,1)</f>
        <v>0</v>
      </c>
      <c r="E8" s="42">
        <f>SUMIFS(Buchungen!$F$8:$F$200,Buchungen!$D$8:$D$200,"1. Ideeller Bereich",Buchungen!$E$8:$E$200,"Aufnahmegebühren",Buchungen!$J$8:$J$200,2)</f>
        <v>0</v>
      </c>
      <c r="F8" s="42">
        <f>SUMIFS(Buchungen!$F$8:$F$200,Buchungen!$D$8:$D$200,"1. Ideeller Bereich",Buchungen!$E$8:$E$200,"Aufnahmegebühren",Buchungen!$J$8:$J$200,3)</f>
        <v>0</v>
      </c>
      <c r="G8" s="42">
        <f>SUMIFS(Buchungen!$F$8:$F$200,Buchungen!$D$8:$D$200,"1. Ideeller Bereich",Buchungen!$E$8:$E$200,"Aufnahmegebühren",Buchungen!$J$8:$J$200,4)</f>
        <v>0</v>
      </c>
      <c r="H8" s="42">
        <f>SUMIFS(Buchungen!$F$8:$F$200,Buchungen!$D$8:$D$200,"1. Ideeller Bereich",Buchungen!$E$8:$E$200,"Aufnahmegebühren",Buchungen!$J$8:$J$200,5)</f>
        <v>0</v>
      </c>
      <c r="I8" s="42">
        <f>SUMIFS(Buchungen!$F$8:$F$200,Buchungen!$D$8:$D$200,"1. Ideeller Bereich",Buchungen!$E$8:$E$200,"Aufnahmegebühren",Buchungen!$J$8:$J$200,6)</f>
        <v>0</v>
      </c>
      <c r="J8" s="42">
        <f>SUMIFS(Buchungen!$F$8:$F$200,Buchungen!$D$8:$D$200,"1. Ideeller Bereich",Buchungen!$E$8:$E$200,"Aufnahmegebühren",Buchungen!$J$8:$J$200,7)</f>
        <v>0</v>
      </c>
      <c r="K8" s="42">
        <f>SUMIFS(Buchungen!$F$8:$F$200,Buchungen!$D$8:$D$200,"1. Ideeller Bereich",Buchungen!$E$8:$E$200,"Aufnahmegebühren",Buchungen!$J$8:$J$200,8)</f>
        <v>0</v>
      </c>
      <c r="L8" s="42">
        <f>SUMIFS(Buchungen!$F$8:$F$200,Buchungen!$D$8:$D$200,"1. Ideeller Bereich",Buchungen!$E$8:$E$200,"Aufnahmegebühren",Buchungen!$J$8:$J$200,9)</f>
        <v>0</v>
      </c>
      <c r="M8" s="42">
        <f>SUMIFS(Buchungen!$F$8:$F$200,Buchungen!$D$8:$D$200,"1. Ideeller Bereich",Buchungen!$E$8:$E$200,"Aufnahmegebühren",Buchungen!$J$8:$J$200,10)</f>
        <v>0</v>
      </c>
      <c r="N8" s="42">
        <f>SUMIFS(Buchungen!$F$8:$F$200,Buchungen!$D$8:$D$200,"1. Ideeller Bereich",Buchungen!$E$8:$E$200,"Aufnahmegebühren",Buchungen!$J$8:$J$200,11)</f>
        <v>0</v>
      </c>
      <c r="O8" s="42">
        <f>SUMIFS(Buchungen!$F$8:$F$200,Buchungen!$D$8:$D$200,"1. Ideeller Bereich",Buchungen!$E$8:$E$200,"Aufnahmegebühren",Buchungen!$J$8:$J$200,12)</f>
        <v>105</v>
      </c>
      <c r="P8" s="43">
        <f t="shared" si="0"/>
        <v>105</v>
      </c>
    </row>
    <row r="9" spans="2:16" x14ac:dyDescent="0.25">
      <c r="B9" s="40" t="s">
        <v>70</v>
      </c>
      <c r="C9" s="41" t="s">
        <v>144</v>
      </c>
      <c r="D9" s="42">
        <f>SUMIFS(Buchungen!$F$8:$F$200,Buchungen!$D$8:$D$200,"1. Ideeller Bereich",Buchungen!$E$8:$E$200,"Spenden",Buchungen!$J$8:$J$200,1)</f>
        <v>250</v>
      </c>
      <c r="E9" s="42">
        <f>SUMIFS(Buchungen!$F$8:$F$200,Buchungen!$D$8:$D$200,"1. Ideeller Bereich",Buchungen!$E$8:$E$200,"Spenden",Buchungen!$J$8:$J$200,2)</f>
        <v>500</v>
      </c>
      <c r="F9" s="42">
        <f>SUMIFS(Buchungen!$F$8:$F$200,Buchungen!$D$8:$D$200,"1. Ideeller Bereich",Buchungen!$E$8:$E$200,"Spenden",Buchungen!$J$8:$J$200,3)</f>
        <v>0</v>
      </c>
      <c r="G9" s="42">
        <f>SUMIFS(Buchungen!$F$8:$F$200,Buchungen!$D$8:$D$200,"1. Ideeller Bereich",Buchungen!$E$8:$E$200,"Spenden",Buchungen!$J$8:$J$200,4)</f>
        <v>180</v>
      </c>
      <c r="H9" s="42">
        <f>SUMIFS(Buchungen!$F$8:$F$200,Buchungen!$D$8:$D$200,"1. Ideeller Bereich",Buchungen!$E$8:$E$200,"Spenden",Buchungen!$J$8:$J$200,5)</f>
        <v>0</v>
      </c>
      <c r="I9" s="42">
        <f>SUMIFS(Buchungen!$F$8:$F$200,Buchungen!$D$8:$D$200,"1. Ideeller Bereich",Buchungen!$E$8:$E$200,"Spenden",Buchungen!$J$8:$J$200,6)</f>
        <v>75</v>
      </c>
      <c r="J9" s="42">
        <f>SUMIFS(Buchungen!$F$8:$F$200,Buchungen!$D$8:$D$200,"1. Ideeller Bereich",Buchungen!$E$8:$E$200,"Spenden",Buchungen!$J$8:$J$200,7)</f>
        <v>0</v>
      </c>
      <c r="K9" s="42">
        <f>SUMIFS(Buchungen!$F$8:$F$200,Buchungen!$D$8:$D$200,"1. Ideeller Bereich",Buchungen!$E$8:$E$200,"Spenden",Buchungen!$J$8:$J$200,8)</f>
        <v>750</v>
      </c>
      <c r="L9" s="42">
        <f>SUMIFS(Buchungen!$F$8:$F$200,Buchungen!$D$8:$D$200,"1. Ideeller Bereich",Buchungen!$E$8:$E$200,"Spenden",Buchungen!$J$8:$J$200,9)</f>
        <v>0</v>
      </c>
      <c r="M9" s="42">
        <f>SUMIFS(Buchungen!$F$8:$F$200,Buchungen!$D$8:$D$200,"1. Ideeller Bereich",Buchungen!$E$8:$E$200,"Spenden",Buchungen!$J$8:$J$200,10)</f>
        <v>0</v>
      </c>
      <c r="N9" s="42">
        <f>SUMIFS(Buchungen!$F$8:$F$200,Buchungen!$D$8:$D$200,"1. Ideeller Bereich",Buchungen!$E$8:$E$200,"Spenden",Buchungen!$J$8:$J$200,11)</f>
        <v>1200</v>
      </c>
      <c r="O9" s="42">
        <f>SUMIFS(Buchungen!$F$8:$F$200,Buchungen!$D$8:$D$200,"1. Ideeller Bereich",Buchungen!$E$8:$E$200,"Spenden",Buchungen!$J$8:$J$200,12)</f>
        <v>380</v>
      </c>
      <c r="P9" s="43">
        <f t="shared" si="0"/>
        <v>3335</v>
      </c>
    </row>
    <row r="10" spans="2:16" x14ac:dyDescent="0.25">
      <c r="B10" s="40" t="s">
        <v>84</v>
      </c>
      <c r="C10" s="41" t="s">
        <v>144</v>
      </c>
      <c r="D10" s="42">
        <f>SUMIFS(Buchungen!$F$8:$F$200,Buchungen!$D$8:$D$200,"1. Ideeller Bereich",Buchungen!$E$8:$E$200,"Zuschüsse (öffentlich)",Buchungen!$J$8:$J$200,1)</f>
        <v>0</v>
      </c>
      <c r="E10" s="42">
        <f>SUMIFS(Buchungen!$F$8:$F$200,Buchungen!$D$8:$D$200,"1. Ideeller Bereich",Buchungen!$E$8:$E$200,"Zuschüsse (öffentlich)",Buchungen!$J$8:$J$200,2)</f>
        <v>0</v>
      </c>
      <c r="F10" s="42">
        <f>SUMIFS(Buchungen!$F$8:$F$200,Buchungen!$D$8:$D$200,"1. Ideeller Bereich",Buchungen!$E$8:$E$200,"Zuschüsse (öffentlich)",Buchungen!$J$8:$J$200,3)</f>
        <v>1500</v>
      </c>
      <c r="G10" s="42">
        <f>SUMIFS(Buchungen!$F$8:$F$200,Buchungen!$D$8:$D$200,"1. Ideeller Bereich",Buchungen!$E$8:$E$200,"Zuschüsse (öffentlich)",Buchungen!$J$8:$J$200,4)</f>
        <v>0</v>
      </c>
      <c r="H10" s="42">
        <f>SUMIFS(Buchungen!$F$8:$F$200,Buchungen!$D$8:$D$200,"1. Ideeller Bereich",Buchungen!$E$8:$E$200,"Zuschüsse (öffentlich)",Buchungen!$J$8:$J$200,5)</f>
        <v>0</v>
      </c>
      <c r="I10" s="42">
        <f>SUMIFS(Buchungen!$F$8:$F$200,Buchungen!$D$8:$D$200,"1. Ideeller Bereich",Buchungen!$E$8:$E$200,"Zuschüsse (öffentlich)",Buchungen!$J$8:$J$200,6)</f>
        <v>0</v>
      </c>
      <c r="J10" s="42">
        <f>SUMIFS(Buchungen!$F$8:$F$200,Buchungen!$D$8:$D$200,"1. Ideeller Bereich",Buchungen!$E$8:$E$200,"Zuschüsse (öffentlich)",Buchungen!$J$8:$J$200,7)</f>
        <v>0</v>
      </c>
      <c r="K10" s="42">
        <f>SUMIFS(Buchungen!$F$8:$F$200,Buchungen!$D$8:$D$200,"1. Ideeller Bereich",Buchungen!$E$8:$E$200,"Zuschüsse (öffentlich)",Buchungen!$J$8:$J$200,8)</f>
        <v>0</v>
      </c>
      <c r="L10" s="42">
        <f>SUMIFS(Buchungen!$F$8:$F$200,Buchungen!$D$8:$D$200,"1. Ideeller Bereich",Buchungen!$E$8:$E$200,"Zuschüsse (öffentlich)",Buchungen!$J$8:$J$200,9)</f>
        <v>0</v>
      </c>
      <c r="M10" s="42">
        <f>SUMIFS(Buchungen!$F$8:$F$200,Buchungen!$D$8:$D$200,"1. Ideeller Bereich",Buchungen!$E$8:$E$200,"Zuschüsse (öffentlich)",Buchungen!$J$8:$J$200,10)</f>
        <v>0</v>
      </c>
      <c r="N10" s="42">
        <f>SUMIFS(Buchungen!$F$8:$F$200,Buchungen!$D$8:$D$200,"1. Ideeller Bereich",Buchungen!$E$8:$E$200,"Zuschüsse (öffentlich)",Buchungen!$J$8:$J$200,11)</f>
        <v>0</v>
      </c>
      <c r="O10" s="42">
        <f>SUMIFS(Buchungen!$F$8:$F$200,Buchungen!$D$8:$D$200,"1. Ideeller Bereich",Buchungen!$E$8:$E$200,"Zuschüsse (öffentlich)",Buchungen!$J$8:$J$200,12)</f>
        <v>0</v>
      </c>
      <c r="P10" s="43">
        <f t="shared" si="0"/>
        <v>1500</v>
      </c>
    </row>
    <row r="11" spans="2:16" x14ac:dyDescent="0.25">
      <c r="B11" s="44" t="s">
        <v>96</v>
      </c>
      <c r="C11" s="45" t="s">
        <v>145</v>
      </c>
      <c r="D11" s="42">
        <f>SUMIFS(Buchungen!$G$8:$G$200,Buchungen!$D$8:$D$200,"1. Ideeller Bereich",Buchungen!$E$8:$E$200,"Verwaltungskosten",Buchungen!$J$8:$J$200,1)</f>
        <v>0</v>
      </c>
      <c r="E11" s="42">
        <f>SUMIFS(Buchungen!$G$8:$G$200,Buchungen!$D$8:$D$200,"1. Ideeller Bereich",Buchungen!$E$8:$E$200,"Verwaltungskosten",Buchungen!$J$8:$J$200,2)</f>
        <v>0</v>
      </c>
      <c r="F11" s="42">
        <f>SUMIFS(Buchungen!$G$8:$G$200,Buchungen!$D$8:$D$200,"1. Ideeller Bereich",Buchungen!$E$8:$E$200,"Verwaltungskosten",Buchungen!$J$8:$J$200,3)</f>
        <v>0</v>
      </c>
      <c r="G11" s="42">
        <f>SUMIFS(Buchungen!$G$8:$G$200,Buchungen!$D$8:$D$200,"1. Ideeller Bereich",Buchungen!$E$8:$E$200,"Verwaltungskosten",Buchungen!$J$8:$J$200,4)</f>
        <v>168</v>
      </c>
      <c r="H11" s="42">
        <f>SUMIFS(Buchungen!$G$8:$G$200,Buchungen!$D$8:$D$200,"1. Ideeller Bereich",Buchungen!$E$8:$E$200,"Verwaltungskosten",Buchungen!$J$8:$J$200,5)</f>
        <v>0</v>
      </c>
      <c r="I11" s="42">
        <f>SUMIFS(Buchungen!$G$8:$G$200,Buchungen!$D$8:$D$200,"1. Ideeller Bereich",Buchungen!$E$8:$E$200,"Verwaltungskosten",Buchungen!$J$8:$J$200,6)</f>
        <v>0</v>
      </c>
      <c r="J11" s="42">
        <f>SUMIFS(Buchungen!$G$8:$G$200,Buchungen!$D$8:$D$200,"1. Ideeller Bereich",Buchungen!$E$8:$E$200,"Verwaltungskosten",Buchungen!$J$8:$J$200,7)</f>
        <v>0</v>
      </c>
      <c r="K11" s="42">
        <f>SUMIFS(Buchungen!$G$8:$G$200,Buchungen!$D$8:$D$200,"1. Ideeller Bereich",Buchungen!$E$8:$E$200,"Verwaltungskosten",Buchungen!$J$8:$J$200,8)</f>
        <v>0</v>
      </c>
      <c r="L11" s="42">
        <f>SUMIFS(Buchungen!$G$8:$G$200,Buchungen!$D$8:$D$200,"1. Ideeller Bereich",Buchungen!$E$8:$E$200,"Verwaltungskosten",Buchungen!$J$8:$J$200,9)</f>
        <v>0</v>
      </c>
      <c r="M11" s="42">
        <f>SUMIFS(Buchungen!$G$8:$G$200,Buchungen!$D$8:$D$200,"1. Ideeller Bereich",Buchungen!$E$8:$E$200,"Verwaltungskosten",Buchungen!$J$8:$J$200,10)</f>
        <v>0</v>
      </c>
      <c r="N11" s="42">
        <f>SUMIFS(Buchungen!$G$8:$G$200,Buchungen!$D$8:$D$200,"1. Ideeller Bereich",Buchungen!$E$8:$E$200,"Verwaltungskosten",Buchungen!$J$8:$J$200,11)</f>
        <v>0</v>
      </c>
      <c r="O11" s="42">
        <f>SUMIFS(Buchungen!$G$8:$G$200,Buchungen!$D$8:$D$200,"1. Ideeller Bereich",Buchungen!$E$8:$E$200,"Verwaltungskosten",Buchungen!$J$8:$J$200,12)</f>
        <v>0</v>
      </c>
      <c r="P11" s="43">
        <f t="shared" si="0"/>
        <v>168</v>
      </c>
    </row>
    <row r="12" spans="2:16" x14ac:dyDescent="0.25">
      <c r="B12" s="44" t="s">
        <v>72</v>
      </c>
      <c r="C12" s="45" t="s">
        <v>145</v>
      </c>
      <c r="D12" s="42">
        <f>SUMIFS(Buchungen!$G$8:$G$200,Buchungen!$D$8:$D$200,"1. Ideeller Bereich",Buchungen!$E$8:$E$200,"Büromaterial",Buchungen!$J$8:$J$200,1)</f>
        <v>87.4</v>
      </c>
      <c r="E12" s="42">
        <f>SUMIFS(Buchungen!$G$8:$G$200,Buchungen!$D$8:$D$200,"1. Ideeller Bereich",Buchungen!$E$8:$E$200,"Büromaterial",Buchungen!$J$8:$J$200,2)</f>
        <v>0</v>
      </c>
      <c r="F12" s="42">
        <f>SUMIFS(Buchungen!$G$8:$G$200,Buchungen!$D$8:$D$200,"1. Ideeller Bereich",Buchungen!$E$8:$E$200,"Büromaterial",Buchungen!$J$8:$J$200,3)</f>
        <v>0</v>
      </c>
      <c r="G12" s="42">
        <f>SUMIFS(Buchungen!$G$8:$G$200,Buchungen!$D$8:$D$200,"1. Ideeller Bereich",Buchungen!$E$8:$E$200,"Büromaterial",Buchungen!$J$8:$J$200,4)</f>
        <v>0</v>
      </c>
      <c r="H12" s="42">
        <f>SUMIFS(Buchungen!$G$8:$G$200,Buchungen!$D$8:$D$200,"1. Ideeller Bereich",Buchungen!$E$8:$E$200,"Büromaterial",Buchungen!$J$8:$J$200,5)</f>
        <v>0</v>
      </c>
      <c r="I12" s="42">
        <f>SUMIFS(Buchungen!$G$8:$G$200,Buchungen!$D$8:$D$200,"1. Ideeller Bereich",Buchungen!$E$8:$E$200,"Büromaterial",Buchungen!$J$8:$J$200,6)</f>
        <v>0</v>
      </c>
      <c r="J12" s="42">
        <f>SUMIFS(Buchungen!$G$8:$G$200,Buchungen!$D$8:$D$200,"1. Ideeller Bereich",Buchungen!$E$8:$E$200,"Büromaterial",Buchungen!$J$8:$J$200,7)</f>
        <v>0</v>
      </c>
      <c r="K12" s="42">
        <f>SUMIFS(Buchungen!$G$8:$G$200,Buchungen!$D$8:$D$200,"1. Ideeller Bereich",Buchungen!$E$8:$E$200,"Büromaterial",Buchungen!$J$8:$J$200,8)</f>
        <v>0</v>
      </c>
      <c r="L12" s="42">
        <f>SUMIFS(Buchungen!$G$8:$G$200,Buchungen!$D$8:$D$200,"1. Ideeller Bereich",Buchungen!$E$8:$E$200,"Büromaterial",Buchungen!$J$8:$J$200,9)</f>
        <v>64.8</v>
      </c>
      <c r="M12" s="42">
        <f>SUMIFS(Buchungen!$G$8:$G$200,Buchungen!$D$8:$D$200,"1. Ideeller Bereich",Buchungen!$E$8:$E$200,"Büromaterial",Buchungen!$J$8:$J$200,10)</f>
        <v>0</v>
      </c>
      <c r="N12" s="42">
        <f>SUMIFS(Buchungen!$G$8:$G$200,Buchungen!$D$8:$D$200,"1. Ideeller Bereich",Buchungen!$E$8:$E$200,"Büromaterial",Buchungen!$J$8:$J$200,11)</f>
        <v>0</v>
      </c>
      <c r="O12" s="42">
        <f>SUMIFS(Buchungen!$G$8:$G$200,Buchungen!$D$8:$D$200,"1. Ideeller Bereich",Buchungen!$E$8:$E$200,"Büromaterial",Buchungen!$J$8:$J$200,12)</f>
        <v>0</v>
      </c>
      <c r="P12" s="43">
        <f t="shared" si="0"/>
        <v>152.19999999999999</v>
      </c>
    </row>
    <row r="13" spans="2:16" x14ac:dyDescent="0.25">
      <c r="B13" s="44" t="s">
        <v>77</v>
      </c>
      <c r="C13" s="45" t="s">
        <v>145</v>
      </c>
      <c r="D13" s="42">
        <f>SUMIFS(Buchungen!$G$8:$G$200,Buchungen!$D$8:$D$200,"1. Ideeller Bereich",Buchungen!$E$8:$E$200,"Porto/Telefon/Internet",Buchungen!$J$8:$J$200,1)</f>
        <v>0</v>
      </c>
      <c r="E13" s="42">
        <f>SUMIFS(Buchungen!$G$8:$G$200,Buchungen!$D$8:$D$200,"1. Ideeller Bereich",Buchungen!$E$8:$E$200,"Porto/Telefon/Internet",Buchungen!$J$8:$J$200,2)</f>
        <v>134.19999999999999</v>
      </c>
      <c r="F13" s="42">
        <f>SUMIFS(Buchungen!$G$8:$G$200,Buchungen!$D$8:$D$200,"1. Ideeller Bereich",Buchungen!$E$8:$E$200,"Porto/Telefon/Internet",Buchungen!$J$8:$J$200,3)</f>
        <v>0</v>
      </c>
      <c r="G13" s="42">
        <f>SUMIFS(Buchungen!$G$8:$G$200,Buchungen!$D$8:$D$200,"1. Ideeller Bereich",Buchungen!$E$8:$E$200,"Porto/Telefon/Internet",Buchungen!$J$8:$J$200,4)</f>
        <v>0</v>
      </c>
      <c r="H13" s="42">
        <f>SUMIFS(Buchungen!$G$8:$G$200,Buchungen!$D$8:$D$200,"1. Ideeller Bereich",Buchungen!$E$8:$E$200,"Porto/Telefon/Internet",Buchungen!$J$8:$J$200,5)</f>
        <v>0</v>
      </c>
      <c r="I13" s="42">
        <f>SUMIFS(Buchungen!$G$8:$G$200,Buchungen!$D$8:$D$200,"1. Ideeller Bereich",Buchungen!$E$8:$E$200,"Porto/Telefon/Internet",Buchungen!$J$8:$J$200,6)</f>
        <v>0</v>
      </c>
      <c r="J13" s="42">
        <f>SUMIFS(Buchungen!$G$8:$G$200,Buchungen!$D$8:$D$200,"1. Ideeller Bereich",Buchungen!$E$8:$E$200,"Porto/Telefon/Internet",Buchungen!$J$8:$J$200,7)</f>
        <v>0</v>
      </c>
      <c r="K13" s="42">
        <f>SUMIFS(Buchungen!$G$8:$G$200,Buchungen!$D$8:$D$200,"1. Ideeller Bereich",Buchungen!$E$8:$E$200,"Porto/Telefon/Internet",Buchungen!$J$8:$J$200,8)</f>
        <v>0</v>
      </c>
      <c r="L13" s="42">
        <f>SUMIFS(Buchungen!$G$8:$G$200,Buchungen!$D$8:$D$200,"1. Ideeller Bereich",Buchungen!$E$8:$E$200,"Porto/Telefon/Internet",Buchungen!$J$8:$J$200,9)</f>
        <v>0</v>
      </c>
      <c r="M13" s="42">
        <f>SUMIFS(Buchungen!$G$8:$G$200,Buchungen!$D$8:$D$200,"1. Ideeller Bereich",Buchungen!$E$8:$E$200,"Porto/Telefon/Internet",Buchungen!$J$8:$J$200,10)</f>
        <v>0</v>
      </c>
      <c r="N13" s="42">
        <f>SUMIFS(Buchungen!$G$8:$G$200,Buchungen!$D$8:$D$200,"1. Ideeller Bereich",Buchungen!$E$8:$E$200,"Porto/Telefon/Internet",Buchungen!$J$8:$J$200,11)</f>
        <v>245</v>
      </c>
      <c r="O13" s="42">
        <f>SUMIFS(Buchungen!$G$8:$G$200,Buchungen!$D$8:$D$200,"1. Ideeller Bereich",Buchungen!$E$8:$E$200,"Porto/Telefon/Internet",Buchungen!$J$8:$J$200,12)</f>
        <v>0</v>
      </c>
      <c r="P13" s="43">
        <f t="shared" si="0"/>
        <v>379.2</v>
      </c>
    </row>
    <row r="14" spans="2:16" x14ac:dyDescent="0.25">
      <c r="B14" s="44" t="s">
        <v>74</v>
      </c>
      <c r="C14" s="45" t="s">
        <v>145</v>
      </c>
      <c r="D14" s="42">
        <f>SUMIFS(Buchungen!$G$8:$G$200,Buchungen!$D$8:$D$200,"1. Ideeller Bereich",Buchungen!$E$8:$E$200,"Versicherungen",Buchungen!$J$8:$J$200,1)</f>
        <v>0</v>
      </c>
      <c r="E14" s="42">
        <f>SUMIFS(Buchungen!$G$8:$G$200,Buchungen!$D$8:$D$200,"1. Ideeller Bereich",Buchungen!$E$8:$E$200,"Versicherungen",Buchungen!$J$8:$J$200,2)</f>
        <v>312</v>
      </c>
      <c r="F14" s="42">
        <f>SUMIFS(Buchungen!$G$8:$G$200,Buchungen!$D$8:$D$200,"1. Ideeller Bereich",Buchungen!$E$8:$E$200,"Versicherungen",Buchungen!$J$8:$J$200,3)</f>
        <v>0</v>
      </c>
      <c r="G14" s="42">
        <f>SUMIFS(Buchungen!$G$8:$G$200,Buchungen!$D$8:$D$200,"1. Ideeller Bereich",Buchungen!$E$8:$E$200,"Versicherungen",Buchungen!$J$8:$J$200,4)</f>
        <v>0</v>
      </c>
      <c r="H14" s="42">
        <f>SUMIFS(Buchungen!$G$8:$G$200,Buchungen!$D$8:$D$200,"1. Ideeller Bereich",Buchungen!$E$8:$E$200,"Versicherungen",Buchungen!$J$8:$J$200,5)</f>
        <v>0</v>
      </c>
      <c r="I14" s="42">
        <f>SUMIFS(Buchungen!$G$8:$G$200,Buchungen!$D$8:$D$200,"1. Ideeller Bereich",Buchungen!$E$8:$E$200,"Versicherungen",Buchungen!$J$8:$J$200,6)</f>
        <v>0</v>
      </c>
      <c r="J14" s="42">
        <f>SUMIFS(Buchungen!$G$8:$G$200,Buchungen!$D$8:$D$200,"1. Ideeller Bereich",Buchungen!$E$8:$E$200,"Versicherungen",Buchungen!$J$8:$J$200,7)</f>
        <v>0</v>
      </c>
      <c r="K14" s="42">
        <f>SUMIFS(Buchungen!$G$8:$G$200,Buchungen!$D$8:$D$200,"1. Ideeller Bereich",Buchungen!$E$8:$E$200,"Versicherungen",Buchungen!$J$8:$J$200,8)</f>
        <v>0</v>
      </c>
      <c r="L14" s="42">
        <f>SUMIFS(Buchungen!$G$8:$G$200,Buchungen!$D$8:$D$200,"1. Ideeller Bereich",Buchungen!$E$8:$E$200,"Versicherungen",Buchungen!$J$8:$J$200,9)</f>
        <v>0</v>
      </c>
      <c r="M14" s="42">
        <f>SUMIFS(Buchungen!$G$8:$G$200,Buchungen!$D$8:$D$200,"1. Ideeller Bereich",Buchungen!$E$8:$E$200,"Versicherungen",Buchungen!$J$8:$J$200,10)</f>
        <v>0</v>
      </c>
      <c r="N14" s="42">
        <f>SUMIFS(Buchungen!$G$8:$G$200,Buchungen!$D$8:$D$200,"1. Ideeller Bereich",Buchungen!$E$8:$E$200,"Versicherungen",Buchungen!$J$8:$J$200,11)</f>
        <v>0</v>
      </c>
      <c r="O14" s="42">
        <f>SUMIFS(Buchungen!$G$8:$G$200,Buchungen!$D$8:$D$200,"1. Ideeller Bereich",Buchungen!$E$8:$E$200,"Versicherungen",Buchungen!$J$8:$J$200,12)</f>
        <v>138</v>
      </c>
      <c r="P14" s="43">
        <f t="shared" si="0"/>
        <v>450</v>
      </c>
    </row>
    <row r="15" spans="2:16" ht="19.5" customHeight="1" x14ac:dyDescent="0.25">
      <c r="B15" s="46" t="s">
        <v>146</v>
      </c>
      <c r="C15" s="47" t="s">
        <v>144</v>
      </c>
      <c r="D15" s="48">
        <f>SUMIFS(Buchungen!$F$8:$F$200,Buchungen!$D$8:$D$200,"1. Ideeller Bereich",Buchungen!$J$8:$J$200,1)</f>
        <v>5930</v>
      </c>
      <c r="E15" s="48">
        <f>SUMIFS(Buchungen!$F$8:$F$200,Buchungen!$D$8:$D$200,"1. Ideeller Bereich",Buchungen!$J$8:$J$200,2)</f>
        <v>500</v>
      </c>
      <c r="F15" s="48">
        <f>SUMIFS(Buchungen!$F$8:$F$200,Buchungen!$D$8:$D$200,"1. Ideeller Bereich",Buchungen!$J$8:$J$200,3)</f>
        <v>1500</v>
      </c>
      <c r="G15" s="48">
        <f>SUMIFS(Buchungen!$F$8:$F$200,Buchungen!$D$8:$D$200,"1. Ideeller Bereich",Buchungen!$J$8:$J$200,4)</f>
        <v>180</v>
      </c>
      <c r="H15" s="48">
        <f>SUMIFS(Buchungen!$F$8:$F$200,Buchungen!$D$8:$D$200,"1. Ideeller Bereich",Buchungen!$J$8:$J$200,5)</f>
        <v>0</v>
      </c>
      <c r="I15" s="48">
        <f>SUMIFS(Buchungen!$F$8:$F$200,Buchungen!$D$8:$D$200,"1. Ideeller Bereich",Buchungen!$J$8:$J$200,6)</f>
        <v>315</v>
      </c>
      <c r="J15" s="48">
        <f>SUMIFS(Buchungen!$F$8:$F$200,Buchungen!$D$8:$D$200,"1. Ideeller Bereich",Buchungen!$J$8:$J$200,7)</f>
        <v>0</v>
      </c>
      <c r="K15" s="48">
        <f>SUMIFS(Buchungen!$F$8:$F$200,Buchungen!$D$8:$D$200,"1. Ideeller Bereich",Buchungen!$J$8:$J$200,8)</f>
        <v>750</v>
      </c>
      <c r="L15" s="48">
        <f>SUMIFS(Buchungen!$F$8:$F$200,Buchungen!$D$8:$D$200,"1. Ideeller Bereich",Buchungen!$J$8:$J$200,9)</f>
        <v>0</v>
      </c>
      <c r="M15" s="48">
        <f>SUMIFS(Buchungen!$F$8:$F$200,Buchungen!$D$8:$D$200,"1. Ideeller Bereich",Buchungen!$J$8:$J$200,10)</f>
        <v>0</v>
      </c>
      <c r="N15" s="48">
        <f>SUMIFS(Buchungen!$F$8:$F$200,Buchungen!$D$8:$D$200,"1. Ideeller Bereich",Buchungen!$J$8:$J$200,11)</f>
        <v>1200</v>
      </c>
      <c r="O15" s="48">
        <f>SUMIFS(Buchungen!$F$8:$F$200,Buchungen!$D$8:$D$200,"1. Ideeller Bereich",Buchungen!$J$8:$J$200,12)</f>
        <v>485</v>
      </c>
      <c r="P15" s="49">
        <f t="shared" si="0"/>
        <v>10860</v>
      </c>
    </row>
    <row r="16" spans="2:16" ht="19.5" customHeight="1" x14ac:dyDescent="0.25">
      <c r="B16" s="50" t="s">
        <v>147</v>
      </c>
      <c r="C16" s="51" t="s">
        <v>145</v>
      </c>
      <c r="D16" s="52">
        <f>SUMIFS(Buchungen!$G$8:$G$200,Buchungen!$D$8:$D$200,"1. Ideeller Bereich",Buchungen!$J$8:$J$200,1)</f>
        <v>87.4</v>
      </c>
      <c r="E16" s="52">
        <f>SUMIFS(Buchungen!$G$8:$G$200,Buchungen!$D$8:$D$200,"1. Ideeller Bereich",Buchungen!$J$8:$J$200,2)</f>
        <v>446.2</v>
      </c>
      <c r="F16" s="52">
        <f>SUMIFS(Buchungen!$G$8:$G$200,Buchungen!$D$8:$D$200,"1. Ideeller Bereich",Buchungen!$J$8:$J$200,3)</f>
        <v>0</v>
      </c>
      <c r="G16" s="52">
        <f>SUMIFS(Buchungen!$G$8:$G$200,Buchungen!$D$8:$D$200,"1. Ideeller Bereich",Buchungen!$J$8:$J$200,4)</f>
        <v>168</v>
      </c>
      <c r="H16" s="52">
        <f>SUMIFS(Buchungen!$G$8:$G$200,Buchungen!$D$8:$D$200,"1. Ideeller Bereich",Buchungen!$J$8:$J$200,5)</f>
        <v>0</v>
      </c>
      <c r="I16" s="52">
        <f>SUMIFS(Buchungen!$G$8:$G$200,Buchungen!$D$8:$D$200,"1. Ideeller Bereich",Buchungen!$J$8:$J$200,6)</f>
        <v>0</v>
      </c>
      <c r="J16" s="52">
        <f>SUMIFS(Buchungen!$G$8:$G$200,Buchungen!$D$8:$D$200,"1. Ideeller Bereich",Buchungen!$J$8:$J$200,7)</f>
        <v>0</v>
      </c>
      <c r="K16" s="52">
        <f>SUMIFS(Buchungen!$G$8:$G$200,Buchungen!$D$8:$D$200,"1. Ideeller Bereich",Buchungen!$J$8:$J$200,8)</f>
        <v>0</v>
      </c>
      <c r="L16" s="52">
        <f>SUMIFS(Buchungen!$G$8:$G$200,Buchungen!$D$8:$D$200,"1. Ideeller Bereich",Buchungen!$J$8:$J$200,9)</f>
        <v>64.8</v>
      </c>
      <c r="M16" s="52">
        <f>SUMIFS(Buchungen!$G$8:$G$200,Buchungen!$D$8:$D$200,"1. Ideeller Bereich",Buchungen!$J$8:$J$200,10)</f>
        <v>0</v>
      </c>
      <c r="N16" s="52">
        <f>SUMIFS(Buchungen!$G$8:$G$200,Buchungen!$D$8:$D$200,"1. Ideeller Bereich",Buchungen!$J$8:$J$200,11)</f>
        <v>245</v>
      </c>
      <c r="O16" s="52">
        <f>SUMIFS(Buchungen!$G$8:$G$200,Buchungen!$D$8:$D$200,"1. Ideeller Bereich",Buchungen!$J$8:$J$200,12)</f>
        <v>138</v>
      </c>
      <c r="P16" s="53">
        <f t="shared" si="0"/>
        <v>1149.4000000000001</v>
      </c>
    </row>
    <row r="17" spans="2:16" ht="21.75" customHeight="1" x14ac:dyDescent="0.25">
      <c r="B17" s="54" t="s">
        <v>148</v>
      </c>
      <c r="C17" s="55"/>
      <c r="D17" s="56">
        <f t="shared" ref="D17:P17" si="1">D15-D16</f>
        <v>5842.6</v>
      </c>
      <c r="E17" s="56">
        <f t="shared" si="1"/>
        <v>53.800000000000011</v>
      </c>
      <c r="F17" s="56">
        <f t="shared" si="1"/>
        <v>1500</v>
      </c>
      <c r="G17" s="56">
        <f t="shared" si="1"/>
        <v>12</v>
      </c>
      <c r="H17" s="56">
        <f t="shared" si="1"/>
        <v>0</v>
      </c>
      <c r="I17" s="56">
        <f t="shared" si="1"/>
        <v>315</v>
      </c>
      <c r="J17" s="56">
        <f t="shared" si="1"/>
        <v>0</v>
      </c>
      <c r="K17" s="56">
        <f t="shared" si="1"/>
        <v>750</v>
      </c>
      <c r="L17" s="56">
        <f t="shared" si="1"/>
        <v>-64.8</v>
      </c>
      <c r="M17" s="56">
        <f t="shared" si="1"/>
        <v>0</v>
      </c>
      <c r="N17" s="56">
        <f t="shared" si="1"/>
        <v>955</v>
      </c>
      <c r="O17" s="56">
        <f t="shared" si="1"/>
        <v>347</v>
      </c>
      <c r="P17" s="57">
        <f t="shared" si="1"/>
        <v>9710.6</v>
      </c>
    </row>
    <row r="19" spans="2:16" ht="21.75" customHeight="1" x14ac:dyDescent="0.25">
      <c r="B19" s="1" t="s">
        <v>28</v>
      </c>
      <c r="C19" s="1"/>
      <c r="D19" s="1"/>
      <c r="E19" s="1"/>
      <c r="F19" s="1"/>
      <c r="G19" s="1"/>
      <c r="H19" s="1"/>
      <c r="I19" s="1"/>
      <c r="J19" s="1"/>
      <c r="K19" s="1"/>
      <c r="L19" s="1"/>
      <c r="M19" s="1"/>
      <c r="N19" s="1"/>
      <c r="O19" s="1"/>
      <c r="P19" s="1"/>
    </row>
    <row r="20" spans="2:16" x14ac:dyDescent="0.25">
      <c r="B20" s="40" t="s">
        <v>108</v>
      </c>
      <c r="C20" s="41" t="s">
        <v>144</v>
      </c>
      <c r="D20" s="42">
        <f>SUMIFS(Buchungen!$F$8:$F$200,Buchungen!$D$8:$D$200,"2. Vermögensverwaltung",Buchungen!$E$8:$E$200,"Zinserträge",Buchungen!$J$8:$J$200,1)</f>
        <v>0</v>
      </c>
      <c r="E20" s="42">
        <f>SUMIFS(Buchungen!$F$8:$F$200,Buchungen!$D$8:$D$200,"2. Vermögensverwaltung",Buchungen!$E$8:$E$200,"Zinserträge",Buchungen!$J$8:$J$200,2)</f>
        <v>0</v>
      </c>
      <c r="F20" s="42">
        <f>SUMIFS(Buchungen!$F$8:$F$200,Buchungen!$D$8:$D$200,"2. Vermögensverwaltung",Buchungen!$E$8:$E$200,"Zinserträge",Buchungen!$J$8:$J$200,3)</f>
        <v>0</v>
      </c>
      <c r="G20" s="42">
        <f>SUMIFS(Buchungen!$F$8:$F$200,Buchungen!$D$8:$D$200,"2. Vermögensverwaltung",Buchungen!$E$8:$E$200,"Zinserträge",Buchungen!$J$8:$J$200,4)</f>
        <v>0</v>
      </c>
      <c r="H20" s="42">
        <f>SUMIFS(Buchungen!$F$8:$F$200,Buchungen!$D$8:$D$200,"2. Vermögensverwaltung",Buchungen!$E$8:$E$200,"Zinserträge",Buchungen!$J$8:$J$200,5)</f>
        <v>0</v>
      </c>
      <c r="I20" s="42">
        <f>SUMIFS(Buchungen!$F$8:$F$200,Buchungen!$D$8:$D$200,"2. Vermögensverwaltung",Buchungen!$E$8:$E$200,"Zinserträge",Buchungen!$J$8:$J$200,6)</f>
        <v>28.75</v>
      </c>
      <c r="J20" s="42">
        <f>SUMIFS(Buchungen!$F$8:$F$200,Buchungen!$D$8:$D$200,"2. Vermögensverwaltung",Buchungen!$E$8:$E$200,"Zinserträge",Buchungen!$J$8:$J$200,7)</f>
        <v>0</v>
      </c>
      <c r="K20" s="42">
        <f>SUMIFS(Buchungen!$F$8:$F$200,Buchungen!$D$8:$D$200,"2. Vermögensverwaltung",Buchungen!$E$8:$E$200,"Zinserträge",Buchungen!$J$8:$J$200,8)</f>
        <v>0</v>
      </c>
      <c r="L20" s="42">
        <f>SUMIFS(Buchungen!$F$8:$F$200,Buchungen!$D$8:$D$200,"2. Vermögensverwaltung",Buchungen!$E$8:$E$200,"Zinserträge",Buchungen!$J$8:$J$200,9)</f>
        <v>0</v>
      </c>
      <c r="M20" s="42">
        <f>SUMIFS(Buchungen!$F$8:$F$200,Buchungen!$D$8:$D$200,"2. Vermögensverwaltung",Buchungen!$E$8:$E$200,"Zinserträge",Buchungen!$J$8:$J$200,10)</f>
        <v>0</v>
      </c>
      <c r="N20" s="42">
        <f>SUMIFS(Buchungen!$F$8:$F$200,Buchungen!$D$8:$D$200,"2. Vermögensverwaltung",Buchungen!$E$8:$E$200,"Zinserträge",Buchungen!$J$8:$J$200,11)</f>
        <v>0</v>
      </c>
      <c r="O20" s="42">
        <f>SUMIFS(Buchungen!$F$8:$F$200,Buchungen!$D$8:$D$200,"2. Vermögensverwaltung",Buchungen!$E$8:$E$200,"Zinserträge",Buchungen!$J$8:$J$200,12)</f>
        <v>24.4</v>
      </c>
      <c r="P20" s="43">
        <f>SUM(D20:O20)</f>
        <v>53.15</v>
      </c>
    </row>
    <row r="21" spans="2:16" x14ac:dyDescent="0.25">
      <c r="B21" s="40" t="s">
        <v>94</v>
      </c>
      <c r="C21" s="41" t="s">
        <v>144</v>
      </c>
      <c r="D21" s="42">
        <f>SUMIFS(Buchungen!$F$8:$F$200,Buchungen!$D$8:$D$200,"2. Vermögensverwaltung",Buchungen!$E$8:$E$200,"Mieteinnahmen",Buchungen!$J$8:$J$200,1)</f>
        <v>0</v>
      </c>
      <c r="E21" s="42">
        <f>SUMIFS(Buchungen!$F$8:$F$200,Buchungen!$D$8:$D$200,"2. Vermögensverwaltung",Buchungen!$E$8:$E$200,"Mieteinnahmen",Buchungen!$J$8:$J$200,2)</f>
        <v>0</v>
      </c>
      <c r="F21" s="42">
        <f>SUMIFS(Buchungen!$F$8:$F$200,Buchungen!$D$8:$D$200,"2. Vermögensverwaltung",Buchungen!$E$8:$E$200,"Mieteinnahmen",Buchungen!$J$8:$J$200,3)</f>
        <v>0</v>
      </c>
      <c r="G21" s="42">
        <f>SUMIFS(Buchungen!$F$8:$F$200,Buchungen!$D$8:$D$200,"2. Vermögensverwaltung",Buchungen!$E$8:$E$200,"Mieteinnahmen",Buchungen!$J$8:$J$200,4)</f>
        <v>350</v>
      </c>
      <c r="H21" s="42">
        <f>SUMIFS(Buchungen!$F$8:$F$200,Buchungen!$D$8:$D$200,"2. Vermögensverwaltung",Buchungen!$E$8:$E$200,"Mieteinnahmen",Buchungen!$J$8:$J$200,5)</f>
        <v>0</v>
      </c>
      <c r="I21" s="42">
        <f>SUMIFS(Buchungen!$F$8:$F$200,Buchungen!$D$8:$D$200,"2. Vermögensverwaltung",Buchungen!$E$8:$E$200,"Mieteinnahmen",Buchungen!$J$8:$J$200,6)</f>
        <v>0</v>
      </c>
      <c r="J21" s="42">
        <f>SUMIFS(Buchungen!$F$8:$F$200,Buchungen!$D$8:$D$200,"2. Vermögensverwaltung",Buchungen!$E$8:$E$200,"Mieteinnahmen",Buchungen!$J$8:$J$200,7)</f>
        <v>350</v>
      </c>
      <c r="K21" s="42">
        <f>SUMIFS(Buchungen!$F$8:$F$200,Buchungen!$D$8:$D$200,"2. Vermögensverwaltung",Buchungen!$E$8:$E$200,"Mieteinnahmen",Buchungen!$J$8:$J$200,8)</f>
        <v>0</v>
      </c>
      <c r="L21" s="42">
        <f>SUMIFS(Buchungen!$F$8:$F$200,Buchungen!$D$8:$D$200,"2. Vermögensverwaltung",Buchungen!$E$8:$E$200,"Mieteinnahmen",Buchungen!$J$8:$J$200,9)</f>
        <v>0</v>
      </c>
      <c r="M21" s="42">
        <f>SUMIFS(Buchungen!$F$8:$F$200,Buchungen!$D$8:$D$200,"2. Vermögensverwaltung",Buchungen!$E$8:$E$200,"Mieteinnahmen",Buchungen!$J$8:$J$200,10)</f>
        <v>0</v>
      </c>
      <c r="N21" s="42">
        <f>SUMIFS(Buchungen!$F$8:$F$200,Buchungen!$D$8:$D$200,"2. Vermögensverwaltung",Buchungen!$E$8:$E$200,"Mieteinnahmen",Buchungen!$J$8:$J$200,11)</f>
        <v>0</v>
      </c>
      <c r="O21" s="42">
        <f>SUMIFS(Buchungen!$F$8:$F$200,Buchungen!$D$8:$D$200,"2. Vermögensverwaltung",Buchungen!$E$8:$E$200,"Mieteinnahmen",Buchungen!$J$8:$J$200,12)</f>
        <v>0</v>
      </c>
      <c r="P21" s="43">
        <f>SUM(D21:O21)</f>
        <v>700</v>
      </c>
    </row>
    <row r="22" spans="2:16" x14ac:dyDescent="0.25">
      <c r="B22" s="44" t="s">
        <v>68</v>
      </c>
      <c r="C22" s="45" t="s">
        <v>145</v>
      </c>
      <c r="D22" s="42">
        <f>SUMIFS(Buchungen!$G$8:$G$200,Buchungen!$D$8:$D$200,"2. Vermögensverwaltung",Buchungen!$E$8:$E$200,"Bankgebühren",Buchungen!$J$8:$J$200,1)</f>
        <v>14.5</v>
      </c>
      <c r="E22" s="42">
        <f>SUMIFS(Buchungen!$G$8:$G$200,Buchungen!$D$8:$D$200,"2. Vermögensverwaltung",Buchungen!$E$8:$E$200,"Bankgebühren",Buchungen!$J$8:$J$200,2)</f>
        <v>0</v>
      </c>
      <c r="F22" s="42">
        <f>SUMIFS(Buchungen!$G$8:$G$200,Buchungen!$D$8:$D$200,"2. Vermögensverwaltung",Buchungen!$E$8:$E$200,"Bankgebühren",Buchungen!$J$8:$J$200,3)</f>
        <v>0</v>
      </c>
      <c r="G22" s="42">
        <f>SUMIFS(Buchungen!$G$8:$G$200,Buchungen!$D$8:$D$200,"2. Vermögensverwaltung",Buchungen!$E$8:$E$200,"Bankgebühren",Buchungen!$J$8:$J$200,4)</f>
        <v>14.5</v>
      </c>
      <c r="H22" s="42">
        <f>SUMIFS(Buchungen!$G$8:$G$200,Buchungen!$D$8:$D$200,"2. Vermögensverwaltung",Buchungen!$E$8:$E$200,"Bankgebühren",Buchungen!$J$8:$J$200,5)</f>
        <v>0</v>
      </c>
      <c r="I22" s="42">
        <f>SUMIFS(Buchungen!$G$8:$G$200,Buchungen!$D$8:$D$200,"2. Vermögensverwaltung",Buchungen!$E$8:$E$200,"Bankgebühren",Buchungen!$J$8:$J$200,6)</f>
        <v>0</v>
      </c>
      <c r="J22" s="42">
        <f>SUMIFS(Buchungen!$G$8:$G$200,Buchungen!$D$8:$D$200,"2. Vermögensverwaltung",Buchungen!$E$8:$E$200,"Bankgebühren",Buchungen!$J$8:$J$200,7)</f>
        <v>14.5</v>
      </c>
      <c r="K22" s="42">
        <f>SUMIFS(Buchungen!$G$8:$G$200,Buchungen!$D$8:$D$200,"2. Vermögensverwaltung",Buchungen!$E$8:$E$200,"Bankgebühren",Buchungen!$J$8:$J$200,8)</f>
        <v>0</v>
      </c>
      <c r="L22" s="42">
        <f>SUMIFS(Buchungen!$G$8:$G$200,Buchungen!$D$8:$D$200,"2. Vermögensverwaltung",Buchungen!$E$8:$E$200,"Bankgebühren",Buchungen!$J$8:$J$200,9)</f>
        <v>0</v>
      </c>
      <c r="M22" s="42">
        <f>SUMIFS(Buchungen!$G$8:$G$200,Buchungen!$D$8:$D$200,"2. Vermögensverwaltung",Buchungen!$E$8:$E$200,"Bankgebühren",Buchungen!$J$8:$J$200,10)</f>
        <v>14.5</v>
      </c>
      <c r="N22" s="42">
        <f>SUMIFS(Buchungen!$G$8:$G$200,Buchungen!$D$8:$D$200,"2. Vermögensverwaltung",Buchungen!$E$8:$E$200,"Bankgebühren",Buchungen!$J$8:$J$200,11)</f>
        <v>0</v>
      </c>
      <c r="O22" s="42">
        <f>SUMIFS(Buchungen!$G$8:$G$200,Buchungen!$D$8:$D$200,"2. Vermögensverwaltung",Buchungen!$E$8:$E$200,"Bankgebühren",Buchungen!$J$8:$J$200,12)</f>
        <v>0</v>
      </c>
      <c r="P22" s="43">
        <f>SUM(D22:O22)</f>
        <v>58</v>
      </c>
    </row>
    <row r="23" spans="2:16" ht="19.5" customHeight="1" x14ac:dyDescent="0.25">
      <c r="B23" s="46" t="s">
        <v>149</v>
      </c>
      <c r="C23" s="47" t="s">
        <v>144</v>
      </c>
      <c r="D23" s="48">
        <f>SUMIFS(Buchungen!$F$8:$F$200,Buchungen!$D$8:$D$200,"2. Vermögensverwaltung",Buchungen!$J$8:$J$200,1)</f>
        <v>0</v>
      </c>
      <c r="E23" s="48">
        <f>SUMIFS(Buchungen!$F$8:$F$200,Buchungen!$D$8:$D$200,"2. Vermögensverwaltung",Buchungen!$J$8:$J$200,2)</f>
        <v>0</v>
      </c>
      <c r="F23" s="48">
        <f>SUMIFS(Buchungen!$F$8:$F$200,Buchungen!$D$8:$D$200,"2. Vermögensverwaltung",Buchungen!$J$8:$J$200,3)</f>
        <v>0</v>
      </c>
      <c r="G23" s="48">
        <f>SUMIFS(Buchungen!$F$8:$F$200,Buchungen!$D$8:$D$200,"2. Vermögensverwaltung",Buchungen!$J$8:$J$200,4)</f>
        <v>350</v>
      </c>
      <c r="H23" s="48">
        <f>SUMIFS(Buchungen!$F$8:$F$200,Buchungen!$D$8:$D$200,"2. Vermögensverwaltung",Buchungen!$J$8:$J$200,5)</f>
        <v>0</v>
      </c>
      <c r="I23" s="48">
        <f>SUMIFS(Buchungen!$F$8:$F$200,Buchungen!$D$8:$D$200,"2. Vermögensverwaltung",Buchungen!$J$8:$J$200,6)</f>
        <v>28.75</v>
      </c>
      <c r="J23" s="48">
        <f>SUMIFS(Buchungen!$F$8:$F$200,Buchungen!$D$8:$D$200,"2. Vermögensverwaltung",Buchungen!$J$8:$J$200,7)</f>
        <v>350</v>
      </c>
      <c r="K23" s="48">
        <f>SUMIFS(Buchungen!$F$8:$F$200,Buchungen!$D$8:$D$200,"2. Vermögensverwaltung",Buchungen!$J$8:$J$200,8)</f>
        <v>0</v>
      </c>
      <c r="L23" s="48">
        <f>SUMIFS(Buchungen!$F$8:$F$200,Buchungen!$D$8:$D$200,"2. Vermögensverwaltung",Buchungen!$J$8:$J$200,9)</f>
        <v>0</v>
      </c>
      <c r="M23" s="48">
        <f>SUMIFS(Buchungen!$F$8:$F$200,Buchungen!$D$8:$D$200,"2. Vermögensverwaltung",Buchungen!$J$8:$J$200,10)</f>
        <v>0</v>
      </c>
      <c r="N23" s="48">
        <f>SUMIFS(Buchungen!$F$8:$F$200,Buchungen!$D$8:$D$200,"2. Vermögensverwaltung",Buchungen!$J$8:$J$200,11)</f>
        <v>0</v>
      </c>
      <c r="O23" s="48">
        <f>SUMIFS(Buchungen!$F$8:$F$200,Buchungen!$D$8:$D$200,"2. Vermögensverwaltung",Buchungen!$J$8:$J$200,12)</f>
        <v>24.4</v>
      </c>
      <c r="P23" s="49">
        <f>SUM(D23:O23)</f>
        <v>753.15</v>
      </c>
    </row>
    <row r="24" spans="2:16" ht="19.5" customHeight="1" x14ac:dyDescent="0.25">
      <c r="B24" s="50" t="s">
        <v>150</v>
      </c>
      <c r="C24" s="51" t="s">
        <v>145</v>
      </c>
      <c r="D24" s="52">
        <f>SUMIFS(Buchungen!$G$8:$G$200,Buchungen!$D$8:$D$200,"2. Vermögensverwaltung",Buchungen!$J$8:$J$200,1)</f>
        <v>14.5</v>
      </c>
      <c r="E24" s="52">
        <f>SUMIFS(Buchungen!$G$8:$G$200,Buchungen!$D$8:$D$200,"2. Vermögensverwaltung",Buchungen!$J$8:$J$200,2)</f>
        <v>0</v>
      </c>
      <c r="F24" s="52">
        <f>SUMIFS(Buchungen!$G$8:$G$200,Buchungen!$D$8:$D$200,"2. Vermögensverwaltung",Buchungen!$J$8:$J$200,3)</f>
        <v>0</v>
      </c>
      <c r="G24" s="52">
        <f>SUMIFS(Buchungen!$G$8:$G$200,Buchungen!$D$8:$D$200,"2. Vermögensverwaltung",Buchungen!$J$8:$J$200,4)</f>
        <v>14.5</v>
      </c>
      <c r="H24" s="52">
        <f>SUMIFS(Buchungen!$G$8:$G$200,Buchungen!$D$8:$D$200,"2. Vermögensverwaltung",Buchungen!$J$8:$J$200,5)</f>
        <v>0</v>
      </c>
      <c r="I24" s="52">
        <f>SUMIFS(Buchungen!$G$8:$G$200,Buchungen!$D$8:$D$200,"2. Vermögensverwaltung",Buchungen!$J$8:$J$200,6)</f>
        <v>0</v>
      </c>
      <c r="J24" s="52">
        <f>SUMIFS(Buchungen!$G$8:$G$200,Buchungen!$D$8:$D$200,"2. Vermögensverwaltung",Buchungen!$J$8:$J$200,7)</f>
        <v>14.5</v>
      </c>
      <c r="K24" s="52">
        <f>SUMIFS(Buchungen!$G$8:$G$200,Buchungen!$D$8:$D$200,"2. Vermögensverwaltung",Buchungen!$J$8:$J$200,8)</f>
        <v>0</v>
      </c>
      <c r="L24" s="52">
        <f>SUMIFS(Buchungen!$G$8:$G$200,Buchungen!$D$8:$D$200,"2. Vermögensverwaltung",Buchungen!$J$8:$J$200,9)</f>
        <v>0</v>
      </c>
      <c r="M24" s="52">
        <f>SUMIFS(Buchungen!$G$8:$G$200,Buchungen!$D$8:$D$200,"2. Vermögensverwaltung",Buchungen!$J$8:$J$200,10)</f>
        <v>14.5</v>
      </c>
      <c r="N24" s="52">
        <f>SUMIFS(Buchungen!$G$8:$G$200,Buchungen!$D$8:$D$200,"2. Vermögensverwaltung",Buchungen!$J$8:$J$200,11)</f>
        <v>0</v>
      </c>
      <c r="O24" s="52">
        <f>SUMIFS(Buchungen!$G$8:$G$200,Buchungen!$D$8:$D$200,"2. Vermögensverwaltung",Buchungen!$J$8:$J$200,12)</f>
        <v>0</v>
      </c>
      <c r="P24" s="53">
        <f>SUM(D24:O24)</f>
        <v>58</v>
      </c>
    </row>
    <row r="25" spans="2:16" ht="21.75" customHeight="1" x14ac:dyDescent="0.25">
      <c r="B25" s="54" t="s">
        <v>151</v>
      </c>
      <c r="C25" s="55"/>
      <c r="D25" s="56">
        <f t="shared" ref="D25:P25" si="2">D23-D24</f>
        <v>-14.5</v>
      </c>
      <c r="E25" s="56">
        <f t="shared" si="2"/>
        <v>0</v>
      </c>
      <c r="F25" s="56">
        <f t="shared" si="2"/>
        <v>0</v>
      </c>
      <c r="G25" s="56">
        <f t="shared" si="2"/>
        <v>335.5</v>
      </c>
      <c r="H25" s="56">
        <f t="shared" si="2"/>
        <v>0</v>
      </c>
      <c r="I25" s="56">
        <f t="shared" si="2"/>
        <v>28.75</v>
      </c>
      <c r="J25" s="56">
        <f t="shared" si="2"/>
        <v>335.5</v>
      </c>
      <c r="K25" s="56">
        <f t="shared" si="2"/>
        <v>0</v>
      </c>
      <c r="L25" s="56">
        <f t="shared" si="2"/>
        <v>0</v>
      </c>
      <c r="M25" s="56">
        <f t="shared" si="2"/>
        <v>-14.5</v>
      </c>
      <c r="N25" s="56">
        <f t="shared" si="2"/>
        <v>0</v>
      </c>
      <c r="O25" s="56">
        <f t="shared" si="2"/>
        <v>24.4</v>
      </c>
      <c r="P25" s="57">
        <f t="shared" si="2"/>
        <v>695.15</v>
      </c>
    </row>
    <row r="27" spans="2:16" ht="21.75" customHeight="1" x14ac:dyDescent="0.25">
      <c r="B27" s="1" t="s">
        <v>30</v>
      </c>
      <c r="C27" s="1"/>
      <c r="D27" s="1"/>
      <c r="E27" s="1"/>
      <c r="F27" s="1"/>
      <c r="G27" s="1"/>
      <c r="H27" s="1"/>
      <c r="I27" s="1"/>
      <c r="J27" s="1"/>
      <c r="K27" s="1"/>
      <c r="L27" s="1"/>
      <c r="M27" s="1"/>
      <c r="N27" s="1"/>
      <c r="O27" s="1"/>
      <c r="P27" s="1"/>
    </row>
    <row r="28" spans="2:16" x14ac:dyDescent="0.25">
      <c r="B28" s="40" t="s">
        <v>100</v>
      </c>
      <c r="C28" s="41" t="s">
        <v>144</v>
      </c>
      <c r="D28" s="42">
        <f>SUMIFS(Buchungen!$F$8:$F$200,Buchungen!$D$8:$D$200,"3. Zweckbetrieb",Buchungen!$E$8:$E$200,"Veranstaltungserlöse",Buchungen!$J$8:$J$200,1)</f>
        <v>0</v>
      </c>
      <c r="E28" s="42">
        <f>SUMIFS(Buchungen!$F$8:$F$200,Buchungen!$D$8:$D$200,"3. Zweckbetrieb",Buchungen!$E$8:$E$200,"Veranstaltungserlöse",Buchungen!$J$8:$J$200,2)</f>
        <v>0</v>
      </c>
      <c r="F28" s="42">
        <f>SUMIFS(Buchungen!$F$8:$F$200,Buchungen!$D$8:$D$200,"3. Zweckbetrieb",Buchungen!$E$8:$E$200,"Veranstaltungserlöse",Buchungen!$J$8:$J$200,3)</f>
        <v>0</v>
      </c>
      <c r="G28" s="42">
        <f>SUMIFS(Buchungen!$F$8:$F$200,Buchungen!$D$8:$D$200,"3. Zweckbetrieb",Buchungen!$E$8:$E$200,"Veranstaltungserlöse",Buchungen!$J$8:$J$200,4)</f>
        <v>0</v>
      </c>
      <c r="H28" s="42">
        <f>SUMIFS(Buchungen!$F$8:$F$200,Buchungen!$D$8:$D$200,"3. Zweckbetrieb",Buchungen!$E$8:$E$200,"Veranstaltungserlöse",Buchungen!$J$8:$J$200,5)</f>
        <v>425</v>
      </c>
      <c r="I28" s="42">
        <f>SUMIFS(Buchungen!$F$8:$F$200,Buchungen!$D$8:$D$200,"3. Zweckbetrieb",Buchungen!$E$8:$E$200,"Veranstaltungserlöse",Buchungen!$J$8:$J$200,6)</f>
        <v>0</v>
      </c>
      <c r="J28" s="42">
        <f>SUMIFS(Buchungen!$F$8:$F$200,Buchungen!$D$8:$D$200,"3. Zweckbetrieb",Buchungen!$E$8:$E$200,"Veranstaltungserlöse",Buchungen!$J$8:$J$200,7)</f>
        <v>0</v>
      </c>
      <c r="K28" s="42">
        <f>SUMIFS(Buchungen!$F$8:$F$200,Buchungen!$D$8:$D$200,"3. Zweckbetrieb",Buchungen!$E$8:$E$200,"Veranstaltungserlöse",Buchungen!$J$8:$J$200,8)</f>
        <v>0</v>
      </c>
      <c r="L28" s="42">
        <f>SUMIFS(Buchungen!$F$8:$F$200,Buchungen!$D$8:$D$200,"3. Zweckbetrieb",Buchungen!$E$8:$E$200,"Veranstaltungserlöse",Buchungen!$J$8:$J$200,9)</f>
        <v>0</v>
      </c>
      <c r="M28" s="42">
        <f>SUMIFS(Buchungen!$F$8:$F$200,Buchungen!$D$8:$D$200,"3. Zweckbetrieb",Buchungen!$E$8:$E$200,"Veranstaltungserlöse",Buchungen!$J$8:$J$200,10)</f>
        <v>0</v>
      </c>
      <c r="N28" s="42">
        <f>SUMIFS(Buchungen!$F$8:$F$200,Buchungen!$D$8:$D$200,"3. Zweckbetrieb",Buchungen!$E$8:$E$200,"Veranstaltungserlöse",Buchungen!$J$8:$J$200,11)</f>
        <v>0</v>
      </c>
      <c r="O28" s="42">
        <f>SUMIFS(Buchungen!$F$8:$F$200,Buchungen!$D$8:$D$200,"3. Zweckbetrieb",Buchungen!$E$8:$E$200,"Veranstaltungserlöse",Buchungen!$J$8:$J$200,12)</f>
        <v>0</v>
      </c>
      <c r="P28" s="43">
        <f t="shared" ref="P28:P34" si="3">SUM(D28:O28)</f>
        <v>425</v>
      </c>
    </row>
    <row r="29" spans="2:16" x14ac:dyDescent="0.25">
      <c r="B29" s="40" t="s">
        <v>80</v>
      </c>
      <c r="C29" s="41" t="s">
        <v>144</v>
      </c>
      <c r="D29" s="42">
        <f>SUMIFS(Buchungen!$F$8:$F$200,Buchungen!$D$8:$D$200,"3. Zweckbetrieb",Buchungen!$E$8:$E$200,"Kursgebühren",Buchungen!$J$8:$J$200,1)</f>
        <v>0</v>
      </c>
      <c r="E29" s="42">
        <f>SUMIFS(Buchungen!$F$8:$F$200,Buchungen!$D$8:$D$200,"3. Zweckbetrieb",Buchungen!$E$8:$E$200,"Kursgebühren",Buchungen!$J$8:$J$200,2)</f>
        <v>0</v>
      </c>
      <c r="F29" s="42">
        <f>SUMIFS(Buchungen!$F$8:$F$200,Buchungen!$D$8:$D$200,"3. Zweckbetrieb",Buchungen!$E$8:$E$200,"Kursgebühren",Buchungen!$J$8:$J$200,3)</f>
        <v>1240</v>
      </c>
      <c r="G29" s="42">
        <f>SUMIFS(Buchungen!$F$8:$F$200,Buchungen!$D$8:$D$200,"3. Zweckbetrieb",Buchungen!$E$8:$E$200,"Kursgebühren",Buchungen!$J$8:$J$200,4)</f>
        <v>0</v>
      </c>
      <c r="H29" s="42">
        <f>SUMIFS(Buchungen!$F$8:$F$200,Buchungen!$D$8:$D$200,"3. Zweckbetrieb",Buchungen!$E$8:$E$200,"Kursgebühren",Buchungen!$J$8:$J$200,5)</f>
        <v>0</v>
      </c>
      <c r="I29" s="42">
        <f>SUMIFS(Buchungen!$F$8:$F$200,Buchungen!$D$8:$D$200,"3. Zweckbetrieb",Buchungen!$E$8:$E$200,"Kursgebühren",Buchungen!$J$8:$J$200,6)</f>
        <v>0</v>
      </c>
      <c r="J29" s="42">
        <f>SUMIFS(Buchungen!$F$8:$F$200,Buchungen!$D$8:$D$200,"3. Zweckbetrieb",Buchungen!$E$8:$E$200,"Kursgebühren",Buchungen!$J$8:$J$200,7)</f>
        <v>0</v>
      </c>
      <c r="K29" s="42">
        <f>SUMIFS(Buchungen!$F$8:$F$200,Buchungen!$D$8:$D$200,"3. Zweckbetrieb",Buchungen!$E$8:$E$200,"Kursgebühren",Buchungen!$J$8:$J$200,8)</f>
        <v>0</v>
      </c>
      <c r="L29" s="42">
        <f>SUMIFS(Buchungen!$F$8:$F$200,Buchungen!$D$8:$D$200,"3. Zweckbetrieb",Buchungen!$E$8:$E$200,"Kursgebühren",Buchungen!$J$8:$J$200,9)</f>
        <v>0</v>
      </c>
      <c r="M29" s="42">
        <f>SUMIFS(Buchungen!$F$8:$F$200,Buchungen!$D$8:$D$200,"3. Zweckbetrieb",Buchungen!$E$8:$E$200,"Kursgebühren",Buchungen!$J$8:$J$200,10)</f>
        <v>0</v>
      </c>
      <c r="N29" s="42">
        <f>SUMIFS(Buchungen!$F$8:$F$200,Buchungen!$D$8:$D$200,"3. Zweckbetrieb",Buchungen!$E$8:$E$200,"Kursgebühren",Buchungen!$J$8:$J$200,11)</f>
        <v>0</v>
      </c>
      <c r="O29" s="42">
        <f>SUMIFS(Buchungen!$F$8:$F$200,Buchungen!$D$8:$D$200,"3. Zweckbetrieb",Buchungen!$E$8:$E$200,"Kursgebühren",Buchungen!$J$8:$J$200,12)</f>
        <v>0</v>
      </c>
      <c r="P29" s="43">
        <f t="shared" si="3"/>
        <v>1240</v>
      </c>
    </row>
    <row r="30" spans="2:16" x14ac:dyDescent="0.25">
      <c r="B30" s="40" t="s">
        <v>114</v>
      </c>
      <c r="C30" s="41" t="s">
        <v>144</v>
      </c>
      <c r="D30" s="42">
        <f>SUMIFS(Buchungen!$F$8:$F$200,Buchungen!$D$8:$D$200,"3. Zweckbetrieb",Buchungen!$E$8:$E$200,"Teilnahmegebühren",Buchungen!$J$8:$J$200,1)</f>
        <v>0</v>
      </c>
      <c r="E30" s="42">
        <f>SUMIFS(Buchungen!$F$8:$F$200,Buchungen!$D$8:$D$200,"3. Zweckbetrieb",Buchungen!$E$8:$E$200,"Teilnahmegebühren",Buchungen!$J$8:$J$200,2)</f>
        <v>0</v>
      </c>
      <c r="F30" s="42">
        <f>SUMIFS(Buchungen!$F$8:$F$200,Buchungen!$D$8:$D$200,"3. Zweckbetrieb",Buchungen!$E$8:$E$200,"Teilnahmegebühren",Buchungen!$J$8:$J$200,3)</f>
        <v>0</v>
      </c>
      <c r="G30" s="42">
        <f>SUMIFS(Buchungen!$F$8:$F$200,Buchungen!$D$8:$D$200,"3. Zweckbetrieb",Buchungen!$E$8:$E$200,"Teilnahmegebühren",Buchungen!$J$8:$J$200,4)</f>
        <v>0</v>
      </c>
      <c r="H30" s="42">
        <f>SUMIFS(Buchungen!$F$8:$F$200,Buchungen!$D$8:$D$200,"3. Zweckbetrieb",Buchungen!$E$8:$E$200,"Teilnahmegebühren",Buchungen!$J$8:$J$200,5)</f>
        <v>0</v>
      </c>
      <c r="I30" s="42">
        <f>SUMIFS(Buchungen!$F$8:$F$200,Buchungen!$D$8:$D$200,"3. Zweckbetrieb",Buchungen!$E$8:$E$200,"Teilnahmegebühren",Buchungen!$J$8:$J$200,6)</f>
        <v>0</v>
      </c>
      <c r="J30" s="42">
        <f>SUMIFS(Buchungen!$F$8:$F$200,Buchungen!$D$8:$D$200,"3. Zweckbetrieb",Buchungen!$E$8:$E$200,"Teilnahmegebühren",Buchungen!$J$8:$J$200,7)</f>
        <v>0</v>
      </c>
      <c r="K30" s="42">
        <f>SUMIFS(Buchungen!$F$8:$F$200,Buchungen!$D$8:$D$200,"3. Zweckbetrieb",Buchungen!$E$8:$E$200,"Teilnahmegebühren",Buchungen!$J$8:$J$200,8)</f>
        <v>0</v>
      </c>
      <c r="L30" s="42">
        <f>SUMIFS(Buchungen!$F$8:$F$200,Buchungen!$D$8:$D$200,"3. Zweckbetrieb",Buchungen!$E$8:$E$200,"Teilnahmegebühren",Buchungen!$J$8:$J$200,9)</f>
        <v>1860</v>
      </c>
      <c r="M30" s="42">
        <f>SUMIFS(Buchungen!$F$8:$F$200,Buchungen!$D$8:$D$200,"3. Zweckbetrieb",Buchungen!$E$8:$E$200,"Teilnahmegebühren",Buchungen!$J$8:$J$200,10)</f>
        <v>0</v>
      </c>
      <c r="N30" s="42">
        <f>SUMIFS(Buchungen!$F$8:$F$200,Buchungen!$D$8:$D$200,"3. Zweckbetrieb",Buchungen!$E$8:$E$200,"Teilnahmegebühren",Buchungen!$J$8:$J$200,11)</f>
        <v>0</v>
      </c>
      <c r="O30" s="42">
        <f>SUMIFS(Buchungen!$F$8:$F$200,Buchungen!$D$8:$D$200,"3. Zweckbetrieb",Buchungen!$E$8:$E$200,"Teilnahmegebühren",Buchungen!$J$8:$J$200,12)</f>
        <v>0</v>
      </c>
      <c r="P30" s="43">
        <f t="shared" si="3"/>
        <v>1860</v>
      </c>
    </row>
    <row r="31" spans="2:16" x14ac:dyDescent="0.25">
      <c r="B31" s="44" t="s">
        <v>82</v>
      </c>
      <c r="C31" s="45" t="s">
        <v>145</v>
      </c>
      <c r="D31" s="42">
        <f>SUMIFS(Buchungen!$G$8:$G$200,Buchungen!$D$8:$D$200,"3. Zweckbetrieb",Buchungen!$E$8:$E$200,"Honorare",Buchungen!$J$8:$J$200,1)</f>
        <v>0</v>
      </c>
      <c r="E31" s="42">
        <f>SUMIFS(Buchungen!$G$8:$G$200,Buchungen!$D$8:$D$200,"3. Zweckbetrieb",Buchungen!$E$8:$E$200,"Honorare",Buchungen!$J$8:$J$200,2)</f>
        <v>0</v>
      </c>
      <c r="F31" s="42">
        <f>SUMIFS(Buchungen!$G$8:$G$200,Buchungen!$D$8:$D$200,"3. Zweckbetrieb",Buchungen!$E$8:$E$200,"Honorare",Buchungen!$J$8:$J$200,3)</f>
        <v>480</v>
      </c>
      <c r="G31" s="42">
        <f>SUMIFS(Buchungen!$G$8:$G$200,Buchungen!$D$8:$D$200,"3. Zweckbetrieb",Buchungen!$E$8:$E$200,"Honorare",Buchungen!$J$8:$J$200,4)</f>
        <v>0</v>
      </c>
      <c r="H31" s="42">
        <f>SUMIFS(Buchungen!$G$8:$G$200,Buchungen!$D$8:$D$200,"3. Zweckbetrieb",Buchungen!$E$8:$E$200,"Honorare",Buchungen!$J$8:$J$200,5)</f>
        <v>350</v>
      </c>
      <c r="I31" s="42">
        <f>SUMIFS(Buchungen!$G$8:$G$200,Buchungen!$D$8:$D$200,"3. Zweckbetrieb",Buchungen!$E$8:$E$200,"Honorare",Buchungen!$J$8:$J$200,6)</f>
        <v>0</v>
      </c>
      <c r="J31" s="42">
        <f>SUMIFS(Buchungen!$G$8:$G$200,Buchungen!$D$8:$D$200,"3. Zweckbetrieb",Buchungen!$E$8:$E$200,"Honorare",Buchungen!$J$8:$J$200,7)</f>
        <v>0</v>
      </c>
      <c r="K31" s="42">
        <f>SUMIFS(Buchungen!$G$8:$G$200,Buchungen!$D$8:$D$200,"3. Zweckbetrieb",Buchungen!$E$8:$E$200,"Honorare",Buchungen!$J$8:$J$200,8)</f>
        <v>0</v>
      </c>
      <c r="L31" s="42">
        <f>SUMIFS(Buchungen!$G$8:$G$200,Buchungen!$D$8:$D$200,"3. Zweckbetrieb",Buchungen!$E$8:$E$200,"Honorare",Buchungen!$J$8:$J$200,9)</f>
        <v>980</v>
      </c>
      <c r="M31" s="42">
        <f>SUMIFS(Buchungen!$G$8:$G$200,Buchungen!$D$8:$D$200,"3. Zweckbetrieb",Buchungen!$E$8:$E$200,"Honorare",Buchungen!$J$8:$J$200,10)</f>
        <v>0</v>
      </c>
      <c r="N31" s="42">
        <f>SUMIFS(Buchungen!$G$8:$G$200,Buchungen!$D$8:$D$200,"3. Zweckbetrieb",Buchungen!$E$8:$E$200,"Honorare",Buchungen!$J$8:$J$200,11)</f>
        <v>0</v>
      </c>
      <c r="O31" s="42">
        <f>SUMIFS(Buchungen!$G$8:$G$200,Buchungen!$D$8:$D$200,"3. Zweckbetrieb",Buchungen!$E$8:$E$200,"Honorare",Buchungen!$J$8:$J$200,12)</f>
        <v>0</v>
      </c>
      <c r="P31" s="43">
        <f t="shared" si="3"/>
        <v>1810</v>
      </c>
    </row>
    <row r="32" spans="2:16" x14ac:dyDescent="0.25">
      <c r="B32" s="44" t="s">
        <v>112</v>
      </c>
      <c r="C32" s="45" t="s">
        <v>145</v>
      </c>
      <c r="D32" s="42">
        <f>SUMIFS(Buchungen!$G$8:$G$200,Buchungen!$D$8:$D$200,"3. Zweckbetrieb",Buchungen!$E$8:$E$200,"Materialkosten",Buchungen!$J$8:$J$200,1)</f>
        <v>0</v>
      </c>
      <c r="E32" s="42">
        <f>SUMIFS(Buchungen!$G$8:$G$200,Buchungen!$D$8:$D$200,"3. Zweckbetrieb",Buchungen!$E$8:$E$200,"Materialkosten",Buchungen!$J$8:$J$200,2)</f>
        <v>0</v>
      </c>
      <c r="F32" s="42">
        <f>SUMIFS(Buchungen!$G$8:$G$200,Buchungen!$D$8:$D$200,"3. Zweckbetrieb",Buchungen!$E$8:$E$200,"Materialkosten",Buchungen!$J$8:$J$200,3)</f>
        <v>0</v>
      </c>
      <c r="G32" s="42">
        <f>SUMIFS(Buchungen!$G$8:$G$200,Buchungen!$D$8:$D$200,"3. Zweckbetrieb",Buchungen!$E$8:$E$200,"Materialkosten",Buchungen!$J$8:$J$200,4)</f>
        <v>0</v>
      </c>
      <c r="H32" s="42">
        <f>SUMIFS(Buchungen!$G$8:$G$200,Buchungen!$D$8:$D$200,"3. Zweckbetrieb",Buchungen!$E$8:$E$200,"Materialkosten",Buchungen!$J$8:$J$200,5)</f>
        <v>0</v>
      </c>
      <c r="I32" s="42">
        <f>SUMIFS(Buchungen!$G$8:$G$200,Buchungen!$D$8:$D$200,"3. Zweckbetrieb",Buchungen!$E$8:$E$200,"Materialkosten",Buchungen!$J$8:$J$200,6)</f>
        <v>0</v>
      </c>
      <c r="J32" s="42">
        <f>SUMIFS(Buchungen!$G$8:$G$200,Buchungen!$D$8:$D$200,"3. Zweckbetrieb",Buchungen!$E$8:$E$200,"Materialkosten",Buchungen!$J$8:$J$200,7)</f>
        <v>0</v>
      </c>
      <c r="K32" s="42">
        <f>SUMIFS(Buchungen!$G$8:$G$200,Buchungen!$D$8:$D$200,"3. Zweckbetrieb",Buchungen!$E$8:$E$200,"Materialkosten",Buchungen!$J$8:$J$200,8)</f>
        <v>312.39999999999998</v>
      </c>
      <c r="L32" s="42">
        <f>SUMIFS(Buchungen!$G$8:$G$200,Buchungen!$D$8:$D$200,"3. Zweckbetrieb",Buchungen!$E$8:$E$200,"Materialkosten",Buchungen!$J$8:$J$200,9)</f>
        <v>0</v>
      </c>
      <c r="M32" s="42">
        <f>SUMIFS(Buchungen!$G$8:$G$200,Buchungen!$D$8:$D$200,"3. Zweckbetrieb",Buchungen!$E$8:$E$200,"Materialkosten",Buchungen!$J$8:$J$200,10)</f>
        <v>0</v>
      </c>
      <c r="N32" s="42">
        <f>SUMIFS(Buchungen!$G$8:$G$200,Buchungen!$D$8:$D$200,"3. Zweckbetrieb",Buchungen!$E$8:$E$200,"Materialkosten",Buchungen!$J$8:$J$200,11)</f>
        <v>0</v>
      </c>
      <c r="O32" s="42">
        <f>SUMIFS(Buchungen!$G$8:$G$200,Buchungen!$D$8:$D$200,"3. Zweckbetrieb",Buchungen!$E$8:$E$200,"Materialkosten",Buchungen!$J$8:$J$200,12)</f>
        <v>0</v>
      </c>
      <c r="P32" s="43">
        <f t="shared" si="3"/>
        <v>312.39999999999998</v>
      </c>
    </row>
    <row r="33" spans="2:16" ht="19.5" customHeight="1" x14ac:dyDescent="0.25">
      <c r="B33" s="46" t="s">
        <v>152</v>
      </c>
      <c r="C33" s="47" t="s">
        <v>144</v>
      </c>
      <c r="D33" s="48">
        <f>SUMIFS(Buchungen!$F$8:$F$200,Buchungen!$D$8:$D$200,"3. Zweckbetrieb",Buchungen!$J$8:$J$200,1)</f>
        <v>0</v>
      </c>
      <c r="E33" s="48">
        <f>SUMIFS(Buchungen!$F$8:$F$200,Buchungen!$D$8:$D$200,"3. Zweckbetrieb",Buchungen!$J$8:$J$200,2)</f>
        <v>0</v>
      </c>
      <c r="F33" s="48">
        <f>SUMIFS(Buchungen!$F$8:$F$200,Buchungen!$D$8:$D$200,"3. Zweckbetrieb",Buchungen!$J$8:$J$200,3)</f>
        <v>1240</v>
      </c>
      <c r="G33" s="48">
        <f>SUMIFS(Buchungen!$F$8:$F$200,Buchungen!$D$8:$D$200,"3. Zweckbetrieb",Buchungen!$J$8:$J$200,4)</f>
        <v>0</v>
      </c>
      <c r="H33" s="48">
        <f>SUMIFS(Buchungen!$F$8:$F$200,Buchungen!$D$8:$D$200,"3. Zweckbetrieb",Buchungen!$J$8:$J$200,5)</f>
        <v>425</v>
      </c>
      <c r="I33" s="48">
        <f>SUMIFS(Buchungen!$F$8:$F$200,Buchungen!$D$8:$D$200,"3. Zweckbetrieb",Buchungen!$J$8:$J$200,6)</f>
        <v>0</v>
      </c>
      <c r="J33" s="48">
        <f>SUMIFS(Buchungen!$F$8:$F$200,Buchungen!$D$8:$D$200,"3. Zweckbetrieb",Buchungen!$J$8:$J$200,7)</f>
        <v>0</v>
      </c>
      <c r="K33" s="48">
        <f>SUMIFS(Buchungen!$F$8:$F$200,Buchungen!$D$8:$D$200,"3. Zweckbetrieb",Buchungen!$J$8:$J$200,8)</f>
        <v>0</v>
      </c>
      <c r="L33" s="48">
        <f>SUMIFS(Buchungen!$F$8:$F$200,Buchungen!$D$8:$D$200,"3. Zweckbetrieb",Buchungen!$J$8:$J$200,9)</f>
        <v>1860</v>
      </c>
      <c r="M33" s="48">
        <f>SUMIFS(Buchungen!$F$8:$F$200,Buchungen!$D$8:$D$200,"3. Zweckbetrieb",Buchungen!$J$8:$J$200,10)</f>
        <v>0</v>
      </c>
      <c r="N33" s="48">
        <f>SUMIFS(Buchungen!$F$8:$F$200,Buchungen!$D$8:$D$200,"3. Zweckbetrieb",Buchungen!$J$8:$J$200,11)</f>
        <v>0</v>
      </c>
      <c r="O33" s="48">
        <f>SUMIFS(Buchungen!$F$8:$F$200,Buchungen!$D$8:$D$200,"3. Zweckbetrieb",Buchungen!$J$8:$J$200,12)</f>
        <v>0</v>
      </c>
      <c r="P33" s="49">
        <f t="shared" si="3"/>
        <v>3525</v>
      </c>
    </row>
    <row r="34" spans="2:16" ht="19.5" customHeight="1" x14ac:dyDescent="0.25">
      <c r="B34" s="50" t="s">
        <v>153</v>
      </c>
      <c r="C34" s="51" t="s">
        <v>145</v>
      </c>
      <c r="D34" s="52">
        <f>SUMIFS(Buchungen!$G$8:$G$200,Buchungen!$D$8:$D$200,"3. Zweckbetrieb",Buchungen!$J$8:$J$200,1)</f>
        <v>0</v>
      </c>
      <c r="E34" s="52">
        <f>SUMIFS(Buchungen!$G$8:$G$200,Buchungen!$D$8:$D$200,"3. Zweckbetrieb",Buchungen!$J$8:$J$200,2)</f>
        <v>0</v>
      </c>
      <c r="F34" s="52">
        <f>SUMIFS(Buchungen!$G$8:$G$200,Buchungen!$D$8:$D$200,"3. Zweckbetrieb",Buchungen!$J$8:$J$200,3)</f>
        <v>480</v>
      </c>
      <c r="G34" s="52">
        <f>SUMIFS(Buchungen!$G$8:$G$200,Buchungen!$D$8:$D$200,"3. Zweckbetrieb",Buchungen!$J$8:$J$200,4)</f>
        <v>0</v>
      </c>
      <c r="H34" s="52">
        <f>SUMIFS(Buchungen!$G$8:$G$200,Buchungen!$D$8:$D$200,"3. Zweckbetrieb",Buchungen!$J$8:$J$200,5)</f>
        <v>350</v>
      </c>
      <c r="I34" s="52">
        <f>SUMIFS(Buchungen!$G$8:$G$200,Buchungen!$D$8:$D$200,"3. Zweckbetrieb",Buchungen!$J$8:$J$200,6)</f>
        <v>0</v>
      </c>
      <c r="J34" s="52">
        <f>SUMIFS(Buchungen!$G$8:$G$200,Buchungen!$D$8:$D$200,"3. Zweckbetrieb",Buchungen!$J$8:$J$200,7)</f>
        <v>0</v>
      </c>
      <c r="K34" s="52">
        <f>SUMIFS(Buchungen!$G$8:$G$200,Buchungen!$D$8:$D$200,"3. Zweckbetrieb",Buchungen!$J$8:$J$200,8)</f>
        <v>312.39999999999998</v>
      </c>
      <c r="L34" s="52">
        <f>SUMIFS(Buchungen!$G$8:$G$200,Buchungen!$D$8:$D$200,"3. Zweckbetrieb",Buchungen!$J$8:$J$200,9)</f>
        <v>980</v>
      </c>
      <c r="M34" s="52">
        <f>SUMIFS(Buchungen!$G$8:$G$200,Buchungen!$D$8:$D$200,"3. Zweckbetrieb",Buchungen!$J$8:$J$200,10)</f>
        <v>0</v>
      </c>
      <c r="N34" s="52">
        <f>SUMIFS(Buchungen!$G$8:$G$200,Buchungen!$D$8:$D$200,"3. Zweckbetrieb",Buchungen!$J$8:$J$200,11)</f>
        <v>0</v>
      </c>
      <c r="O34" s="52">
        <f>SUMIFS(Buchungen!$G$8:$G$200,Buchungen!$D$8:$D$200,"3. Zweckbetrieb",Buchungen!$J$8:$J$200,12)</f>
        <v>0</v>
      </c>
      <c r="P34" s="53">
        <f t="shared" si="3"/>
        <v>2122.4</v>
      </c>
    </row>
    <row r="35" spans="2:16" ht="21.75" customHeight="1" x14ac:dyDescent="0.25">
      <c r="B35" s="54" t="s">
        <v>154</v>
      </c>
      <c r="C35" s="55"/>
      <c r="D35" s="56">
        <f t="shared" ref="D35:P35" si="4">D33-D34</f>
        <v>0</v>
      </c>
      <c r="E35" s="56">
        <f t="shared" si="4"/>
        <v>0</v>
      </c>
      <c r="F35" s="56">
        <f t="shared" si="4"/>
        <v>760</v>
      </c>
      <c r="G35" s="56">
        <f t="shared" si="4"/>
        <v>0</v>
      </c>
      <c r="H35" s="56">
        <f t="shared" si="4"/>
        <v>75</v>
      </c>
      <c r="I35" s="56">
        <f t="shared" si="4"/>
        <v>0</v>
      </c>
      <c r="J35" s="56">
        <f t="shared" si="4"/>
        <v>0</v>
      </c>
      <c r="K35" s="56">
        <f t="shared" si="4"/>
        <v>-312.39999999999998</v>
      </c>
      <c r="L35" s="56">
        <f t="shared" si="4"/>
        <v>880</v>
      </c>
      <c r="M35" s="56">
        <f t="shared" si="4"/>
        <v>0</v>
      </c>
      <c r="N35" s="56">
        <f t="shared" si="4"/>
        <v>0</v>
      </c>
      <c r="O35" s="56">
        <f t="shared" si="4"/>
        <v>0</v>
      </c>
      <c r="P35" s="57">
        <f t="shared" si="4"/>
        <v>1402.6</v>
      </c>
    </row>
    <row r="37" spans="2:16" ht="21.75" customHeight="1" x14ac:dyDescent="0.25">
      <c r="B37" s="1" t="s">
        <v>31</v>
      </c>
      <c r="C37" s="1"/>
      <c r="D37" s="1"/>
      <c r="E37" s="1"/>
      <c r="F37" s="1"/>
      <c r="G37" s="1"/>
      <c r="H37" s="1"/>
      <c r="I37" s="1"/>
      <c r="J37" s="1"/>
      <c r="K37" s="1"/>
      <c r="L37" s="1"/>
      <c r="M37" s="1"/>
      <c r="N37" s="1"/>
      <c r="O37" s="1"/>
      <c r="P37" s="1"/>
    </row>
    <row r="38" spans="2:16" x14ac:dyDescent="0.25">
      <c r="B38" s="40" t="s">
        <v>86</v>
      </c>
      <c r="C38" s="41" t="s">
        <v>144</v>
      </c>
      <c r="D38" s="42">
        <f>SUMIFS(Buchungen!$F$8:$F$200,Buchungen!$D$8:$D$200,"4. Wirtschaftl. Geschäftsbetrieb",Buchungen!$E$8:$E$200,"Getränkeverkauf",Buchungen!$J$8:$J$200,1)</f>
        <v>0</v>
      </c>
      <c r="E38" s="42">
        <f>SUMIFS(Buchungen!$F$8:$F$200,Buchungen!$D$8:$D$200,"4. Wirtschaftl. Geschäftsbetrieb",Buchungen!$E$8:$E$200,"Getränkeverkauf",Buchungen!$J$8:$J$200,2)</f>
        <v>0</v>
      </c>
      <c r="F38" s="42">
        <f>SUMIFS(Buchungen!$F$8:$F$200,Buchungen!$D$8:$D$200,"4. Wirtschaftl. Geschäftsbetrieb",Buchungen!$E$8:$E$200,"Getränkeverkauf",Buchungen!$J$8:$J$200,3)</f>
        <v>487.5</v>
      </c>
      <c r="G38" s="42">
        <f>SUMIFS(Buchungen!$F$8:$F$200,Buchungen!$D$8:$D$200,"4. Wirtschaftl. Geschäftsbetrieb",Buchungen!$E$8:$E$200,"Getränkeverkauf",Buchungen!$J$8:$J$200,4)</f>
        <v>0</v>
      </c>
      <c r="H38" s="42">
        <f>SUMIFS(Buchungen!$F$8:$F$200,Buchungen!$D$8:$D$200,"4. Wirtschaftl. Geschäftsbetrieb",Buchungen!$E$8:$E$200,"Getränkeverkauf",Buchungen!$J$8:$J$200,5)</f>
        <v>0</v>
      </c>
      <c r="I38" s="42">
        <f>SUMIFS(Buchungen!$F$8:$F$200,Buchungen!$D$8:$D$200,"4. Wirtschaftl. Geschäftsbetrieb",Buchungen!$E$8:$E$200,"Getränkeverkauf",Buchungen!$J$8:$J$200,6)</f>
        <v>892</v>
      </c>
      <c r="J38" s="42">
        <f>SUMIFS(Buchungen!$F$8:$F$200,Buchungen!$D$8:$D$200,"4. Wirtschaftl. Geschäftsbetrieb",Buchungen!$E$8:$E$200,"Getränkeverkauf",Buchungen!$J$8:$J$200,7)</f>
        <v>0</v>
      </c>
      <c r="K38" s="42">
        <f>SUMIFS(Buchungen!$F$8:$F$200,Buchungen!$D$8:$D$200,"4. Wirtschaftl. Geschäftsbetrieb",Buchungen!$E$8:$E$200,"Getränkeverkauf",Buchungen!$J$8:$J$200,8)</f>
        <v>0</v>
      </c>
      <c r="L38" s="42">
        <f>SUMIFS(Buchungen!$F$8:$F$200,Buchungen!$D$8:$D$200,"4. Wirtschaftl. Geschäftsbetrieb",Buchungen!$E$8:$E$200,"Getränkeverkauf",Buchungen!$J$8:$J$200,9)</f>
        <v>0</v>
      </c>
      <c r="M38" s="42">
        <f>SUMIFS(Buchungen!$F$8:$F$200,Buchungen!$D$8:$D$200,"4. Wirtschaftl. Geschäftsbetrieb",Buchungen!$E$8:$E$200,"Getränkeverkauf",Buchungen!$J$8:$J$200,10)</f>
        <v>540</v>
      </c>
      <c r="N38" s="42">
        <f>SUMIFS(Buchungen!$F$8:$F$200,Buchungen!$D$8:$D$200,"4. Wirtschaftl. Geschäftsbetrieb",Buchungen!$E$8:$E$200,"Getränkeverkauf",Buchungen!$J$8:$J$200,11)</f>
        <v>0</v>
      </c>
      <c r="O38" s="42">
        <f>SUMIFS(Buchungen!$F$8:$F$200,Buchungen!$D$8:$D$200,"4. Wirtschaftl. Geschäftsbetrieb",Buchungen!$E$8:$E$200,"Getränkeverkauf",Buchungen!$J$8:$J$200,12)</f>
        <v>0</v>
      </c>
      <c r="P38" s="43">
        <f t="shared" ref="P38:P43" si="5">SUM(D38:O38)</f>
        <v>1919.5</v>
      </c>
    </row>
    <row r="39" spans="2:16" x14ac:dyDescent="0.25">
      <c r="B39" s="40" t="s">
        <v>88</v>
      </c>
      <c r="C39" s="41" t="s">
        <v>144</v>
      </c>
      <c r="D39" s="42">
        <f>SUMIFS(Buchungen!$F$8:$F$200,Buchungen!$D$8:$D$200,"4. Wirtschaftl. Geschäftsbetrieb",Buchungen!$E$8:$E$200,"Speisenverkauf",Buchungen!$J$8:$J$200,1)</f>
        <v>0</v>
      </c>
      <c r="E39" s="42">
        <f>SUMIFS(Buchungen!$F$8:$F$200,Buchungen!$D$8:$D$200,"4. Wirtschaftl. Geschäftsbetrieb",Buchungen!$E$8:$E$200,"Speisenverkauf",Buchungen!$J$8:$J$200,2)</f>
        <v>0</v>
      </c>
      <c r="F39" s="42">
        <f>SUMIFS(Buchungen!$F$8:$F$200,Buchungen!$D$8:$D$200,"4. Wirtschaftl. Geschäftsbetrieb",Buchungen!$E$8:$E$200,"Speisenverkauf",Buchungen!$J$8:$J$200,3)</f>
        <v>312.8</v>
      </c>
      <c r="G39" s="42">
        <f>SUMIFS(Buchungen!$F$8:$F$200,Buchungen!$D$8:$D$200,"4. Wirtschaftl. Geschäftsbetrieb",Buchungen!$E$8:$E$200,"Speisenverkauf",Buchungen!$J$8:$J$200,4)</f>
        <v>0</v>
      </c>
      <c r="H39" s="42">
        <f>SUMIFS(Buchungen!$F$8:$F$200,Buchungen!$D$8:$D$200,"4. Wirtschaftl. Geschäftsbetrieb",Buchungen!$E$8:$E$200,"Speisenverkauf",Buchungen!$J$8:$J$200,5)</f>
        <v>0</v>
      </c>
      <c r="I39" s="42">
        <f>SUMIFS(Buchungen!$F$8:$F$200,Buchungen!$D$8:$D$200,"4. Wirtschaftl. Geschäftsbetrieb",Buchungen!$E$8:$E$200,"Speisenverkauf",Buchungen!$J$8:$J$200,6)</f>
        <v>645.29999999999995</v>
      </c>
      <c r="J39" s="42">
        <f>SUMIFS(Buchungen!$F$8:$F$200,Buchungen!$D$8:$D$200,"4. Wirtschaftl. Geschäftsbetrieb",Buchungen!$E$8:$E$200,"Speisenverkauf",Buchungen!$J$8:$J$200,7)</f>
        <v>0</v>
      </c>
      <c r="K39" s="42">
        <f>SUMIFS(Buchungen!$F$8:$F$200,Buchungen!$D$8:$D$200,"4. Wirtschaftl. Geschäftsbetrieb",Buchungen!$E$8:$E$200,"Speisenverkauf",Buchungen!$J$8:$J$200,8)</f>
        <v>0</v>
      </c>
      <c r="L39" s="42">
        <f>SUMIFS(Buchungen!$F$8:$F$200,Buchungen!$D$8:$D$200,"4. Wirtschaftl. Geschäftsbetrieb",Buchungen!$E$8:$E$200,"Speisenverkauf",Buchungen!$J$8:$J$200,9)</f>
        <v>0</v>
      </c>
      <c r="M39" s="42">
        <f>SUMIFS(Buchungen!$F$8:$F$200,Buchungen!$D$8:$D$200,"4. Wirtschaftl. Geschäftsbetrieb",Buchungen!$E$8:$E$200,"Speisenverkauf",Buchungen!$J$8:$J$200,10)</f>
        <v>398.5</v>
      </c>
      <c r="N39" s="42">
        <f>SUMIFS(Buchungen!$F$8:$F$200,Buchungen!$D$8:$D$200,"4. Wirtschaftl. Geschäftsbetrieb",Buchungen!$E$8:$E$200,"Speisenverkauf",Buchungen!$J$8:$J$200,11)</f>
        <v>0</v>
      </c>
      <c r="O39" s="42">
        <f>SUMIFS(Buchungen!$F$8:$F$200,Buchungen!$D$8:$D$200,"4. Wirtschaftl. Geschäftsbetrieb",Buchungen!$E$8:$E$200,"Speisenverkauf",Buchungen!$J$8:$J$200,12)</f>
        <v>0</v>
      </c>
      <c r="P39" s="43">
        <f t="shared" si="5"/>
        <v>1356.6</v>
      </c>
    </row>
    <row r="40" spans="2:16" x14ac:dyDescent="0.25">
      <c r="B40" s="40" t="s">
        <v>98</v>
      </c>
      <c r="C40" s="41" t="s">
        <v>144</v>
      </c>
      <c r="D40" s="42">
        <f>SUMIFS(Buchungen!$F$8:$F$200,Buchungen!$D$8:$D$200,"4. Wirtschaftl. Geschäftsbetrieb",Buchungen!$E$8:$E$200,"Werbung/Sponsoring",Buchungen!$J$8:$J$200,1)</f>
        <v>0</v>
      </c>
      <c r="E40" s="42">
        <f>SUMIFS(Buchungen!$F$8:$F$200,Buchungen!$D$8:$D$200,"4. Wirtschaftl. Geschäftsbetrieb",Buchungen!$E$8:$E$200,"Werbung/Sponsoring",Buchungen!$J$8:$J$200,2)</f>
        <v>0</v>
      </c>
      <c r="F40" s="42">
        <f>SUMIFS(Buchungen!$F$8:$F$200,Buchungen!$D$8:$D$200,"4. Wirtschaftl. Geschäftsbetrieb",Buchungen!$E$8:$E$200,"Werbung/Sponsoring",Buchungen!$J$8:$J$200,3)</f>
        <v>0</v>
      </c>
      <c r="G40" s="42">
        <f>SUMIFS(Buchungen!$F$8:$F$200,Buchungen!$D$8:$D$200,"4. Wirtschaftl. Geschäftsbetrieb",Buchungen!$E$8:$E$200,"Werbung/Sponsoring",Buchungen!$J$8:$J$200,4)</f>
        <v>0</v>
      </c>
      <c r="H40" s="42">
        <f>SUMIFS(Buchungen!$F$8:$F$200,Buchungen!$D$8:$D$200,"4. Wirtschaftl. Geschäftsbetrieb",Buchungen!$E$8:$E$200,"Werbung/Sponsoring",Buchungen!$J$8:$J$200,5)</f>
        <v>600</v>
      </c>
      <c r="I40" s="42">
        <f>SUMIFS(Buchungen!$F$8:$F$200,Buchungen!$D$8:$D$200,"4. Wirtschaftl. Geschäftsbetrieb",Buchungen!$E$8:$E$200,"Werbung/Sponsoring",Buchungen!$J$8:$J$200,6)</f>
        <v>0</v>
      </c>
      <c r="J40" s="42">
        <f>SUMIFS(Buchungen!$F$8:$F$200,Buchungen!$D$8:$D$200,"4. Wirtschaftl. Geschäftsbetrieb",Buchungen!$E$8:$E$200,"Werbung/Sponsoring",Buchungen!$J$8:$J$200,7)</f>
        <v>0</v>
      </c>
      <c r="K40" s="42">
        <f>SUMIFS(Buchungen!$F$8:$F$200,Buchungen!$D$8:$D$200,"4. Wirtschaftl. Geschäftsbetrieb",Buchungen!$E$8:$E$200,"Werbung/Sponsoring",Buchungen!$J$8:$J$200,8)</f>
        <v>0</v>
      </c>
      <c r="L40" s="42">
        <f>SUMIFS(Buchungen!$F$8:$F$200,Buchungen!$D$8:$D$200,"4. Wirtschaftl. Geschäftsbetrieb",Buchungen!$E$8:$E$200,"Werbung/Sponsoring",Buchungen!$J$8:$J$200,9)</f>
        <v>0</v>
      </c>
      <c r="M40" s="42">
        <f>SUMIFS(Buchungen!$F$8:$F$200,Buchungen!$D$8:$D$200,"4. Wirtschaftl. Geschäftsbetrieb",Buchungen!$E$8:$E$200,"Werbung/Sponsoring",Buchungen!$J$8:$J$200,10)</f>
        <v>0</v>
      </c>
      <c r="N40" s="42">
        <f>SUMIFS(Buchungen!$F$8:$F$200,Buchungen!$D$8:$D$200,"4. Wirtschaftl. Geschäftsbetrieb",Buchungen!$E$8:$E$200,"Werbung/Sponsoring",Buchungen!$J$8:$J$200,11)</f>
        <v>0</v>
      </c>
      <c r="O40" s="42">
        <f>SUMIFS(Buchungen!$F$8:$F$200,Buchungen!$D$8:$D$200,"4. Wirtschaftl. Geschäftsbetrieb",Buchungen!$E$8:$E$200,"Werbung/Sponsoring",Buchungen!$J$8:$J$200,12)</f>
        <v>0</v>
      </c>
      <c r="P40" s="43">
        <f t="shared" si="5"/>
        <v>600</v>
      </c>
    </row>
    <row r="41" spans="2:16" x14ac:dyDescent="0.25">
      <c r="B41" s="44" t="s">
        <v>90</v>
      </c>
      <c r="C41" s="45" t="s">
        <v>145</v>
      </c>
      <c r="D41" s="42">
        <f>SUMIFS(Buchungen!$G$8:$G$200,Buchungen!$D$8:$D$200,"4. Wirtschaftl. Geschäftsbetrieb",Buchungen!$E$8:$E$200,"Wareneinkauf",Buchungen!$J$8:$J$200,1)</f>
        <v>0</v>
      </c>
      <c r="E41" s="42">
        <f>SUMIFS(Buchungen!$G$8:$G$200,Buchungen!$D$8:$D$200,"4. Wirtschaftl. Geschäftsbetrieb",Buchungen!$E$8:$E$200,"Wareneinkauf",Buchungen!$J$8:$J$200,2)</f>
        <v>0</v>
      </c>
      <c r="F41" s="42">
        <f>SUMIFS(Buchungen!$G$8:$G$200,Buchungen!$D$8:$D$200,"4. Wirtschaftl. Geschäftsbetrieb",Buchungen!$E$8:$E$200,"Wareneinkauf",Buchungen!$J$8:$J$200,3)</f>
        <v>215.6</v>
      </c>
      <c r="G41" s="42">
        <f>SUMIFS(Buchungen!$G$8:$G$200,Buchungen!$D$8:$D$200,"4. Wirtschaftl. Geschäftsbetrieb",Buchungen!$E$8:$E$200,"Wareneinkauf",Buchungen!$J$8:$J$200,4)</f>
        <v>0</v>
      </c>
      <c r="H41" s="42">
        <f>SUMIFS(Buchungen!$G$8:$G$200,Buchungen!$D$8:$D$200,"4. Wirtschaftl. Geschäftsbetrieb",Buchungen!$E$8:$E$200,"Wareneinkauf",Buchungen!$J$8:$J$200,5)</f>
        <v>0</v>
      </c>
      <c r="I41" s="42">
        <f>SUMIFS(Buchungen!$G$8:$G$200,Buchungen!$D$8:$D$200,"4. Wirtschaftl. Geschäftsbetrieb",Buchungen!$E$8:$E$200,"Wareneinkauf",Buchungen!$J$8:$J$200,6)</f>
        <v>487.9</v>
      </c>
      <c r="J41" s="42">
        <f>SUMIFS(Buchungen!$G$8:$G$200,Buchungen!$D$8:$D$200,"4. Wirtschaftl. Geschäftsbetrieb",Buchungen!$E$8:$E$200,"Wareneinkauf",Buchungen!$J$8:$J$200,7)</f>
        <v>0</v>
      </c>
      <c r="K41" s="42">
        <f>SUMIFS(Buchungen!$G$8:$G$200,Buchungen!$D$8:$D$200,"4. Wirtschaftl. Geschäftsbetrieb",Buchungen!$E$8:$E$200,"Wareneinkauf",Buchungen!$J$8:$J$200,8)</f>
        <v>0</v>
      </c>
      <c r="L41" s="42">
        <f>SUMIFS(Buchungen!$G$8:$G$200,Buchungen!$D$8:$D$200,"4. Wirtschaftl. Geschäftsbetrieb",Buchungen!$E$8:$E$200,"Wareneinkauf",Buchungen!$J$8:$J$200,9)</f>
        <v>0</v>
      </c>
      <c r="M41" s="42">
        <f>SUMIFS(Buchungen!$G$8:$G$200,Buchungen!$D$8:$D$200,"4. Wirtschaftl. Geschäftsbetrieb",Buchungen!$E$8:$E$200,"Wareneinkauf",Buchungen!$J$8:$J$200,10)</f>
        <v>268.7</v>
      </c>
      <c r="N41" s="42">
        <f>SUMIFS(Buchungen!$G$8:$G$200,Buchungen!$D$8:$D$200,"4. Wirtschaftl. Geschäftsbetrieb",Buchungen!$E$8:$E$200,"Wareneinkauf",Buchungen!$J$8:$J$200,11)</f>
        <v>0</v>
      </c>
      <c r="O41" s="42">
        <f>SUMIFS(Buchungen!$G$8:$G$200,Buchungen!$D$8:$D$200,"4. Wirtschaftl. Geschäftsbetrieb",Buchungen!$E$8:$E$200,"Wareneinkauf",Buchungen!$J$8:$J$200,12)</f>
        <v>0</v>
      </c>
      <c r="P41" s="43">
        <f t="shared" si="5"/>
        <v>972.2</v>
      </c>
    </row>
    <row r="42" spans="2:16" ht="19.5" customHeight="1" x14ac:dyDescent="0.25">
      <c r="B42" s="46" t="s">
        <v>155</v>
      </c>
      <c r="C42" s="47" t="s">
        <v>144</v>
      </c>
      <c r="D42" s="48">
        <f>SUMIFS(Buchungen!$F$8:$F$200,Buchungen!$D$8:$D$200,"4. Wirtschaftl. Geschäftsbetrieb",Buchungen!$J$8:$J$200,1)</f>
        <v>0</v>
      </c>
      <c r="E42" s="48">
        <f>SUMIFS(Buchungen!$F$8:$F$200,Buchungen!$D$8:$D$200,"4. Wirtschaftl. Geschäftsbetrieb",Buchungen!$J$8:$J$200,2)</f>
        <v>0</v>
      </c>
      <c r="F42" s="48">
        <f>SUMIFS(Buchungen!$F$8:$F$200,Buchungen!$D$8:$D$200,"4. Wirtschaftl. Geschäftsbetrieb",Buchungen!$J$8:$J$200,3)</f>
        <v>800.3</v>
      </c>
      <c r="G42" s="48">
        <f>SUMIFS(Buchungen!$F$8:$F$200,Buchungen!$D$8:$D$200,"4. Wirtschaftl. Geschäftsbetrieb",Buchungen!$J$8:$J$200,4)</f>
        <v>0</v>
      </c>
      <c r="H42" s="48">
        <f>SUMIFS(Buchungen!$F$8:$F$200,Buchungen!$D$8:$D$200,"4. Wirtschaftl. Geschäftsbetrieb",Buchungen!$J$8:$J$200,5)</f>
        <v>600</v>
      </c>
      <c r="I42" s="48">
        <f>SUMIFS(Buchungen!$F$8:$F$200,Buchungen!$D$8:$D$200,"4. Wirtschaftl. Geschäftsbetrieb",Buchungen!$J$8:$J$200,6)</f>
        <v>1537.3</v>
      </c>
      <c r="J42" s="48">
        <f>SUMIFS(Buchungen!$F$8:$F$200,Buchungen!$D$8:$D$200,"4. Wirtschaftl. Geschäftsbetrieb",Buchungen!$J$8:$J$200,7)</f>
        <v>0</v>
      </c>
      <c r="K42" s="48">
        <f>SUMIFS(Buchungen!$F$8:$F$200,Buchungen!$D$8:$D$200,"4. Wirtschaftl. Geschäftsbetrieb",Buchungen!$J$8:$J$200,8)</f>
        <v>0</v>
      </c>
      <c r="L42" s="48">
        <f>SUMIFS(Buchungen!$F$8:$F$200,Buchungen!$D$8:$D$200,"4. Wirtschaftl. Geschäftsbetrieb",Buchungen!$J$8:$J$200,9)</f>
        <v>0</v>
      </c>
      <c r="M42" s="48">
        <f>SUMIFS(Buchungen!$F$8:$F$200,Buchungen!$D$8:$D$200,"4. Wirtschaftl. Geschäftsbetrieb",Buchungen!$J$8:$J$200,10)</f>
        <v>938.5</v>
      </c>
      <c r="N42" s="48">
        <f>SUMIFS(Buchungen!$F$8:$F$200,Buchungen!$D$8:$D$200,"4. Wirtschaftl. Geschäftsbetrieb",Buchungen!$J$8:$J$200,11)</f>
        <v>0</v>
      </c>
      <c r="O42" s="48">
        <f>SUMIFS(Buchungen!$F$8:$F$200,Buchungen!$D$8:$D$200,"4. Wirtschaftl. Geschäftsbetrieb",Buchungen!$J$8:$J$200,12)</f>
        <v>0</v>
      </c>
      <c r="P42" s="49">
        <f t="shared" si="5"/>
        <v>3876.1</v>
      </c>
    </row>
    <row r="43" spans="2:16" ht="19.5" customHeight="1" x14ac:dyDescent="0.25">
      <c r="B43" s="50" t="s">
        <v>156</v>
      </c>
      <c r="C43" s="51" t="s">
        <v>145</v>
      </c>
      <c r="D43" s="52">
        <f>SUMIFS(Buchungen!$G$8:$G$200,Buchungen!$D$8:$D$200,"4. Wirtschaftl. Geschäftsbetrieb",Buchungen!$J$8:$J$200,1)</f>
        <v>0</v>
      </c>
      <c r="E43" s="52">
        <f>SUMIFS(Buchungen!$G$8:$G$200,Buchungen!$D$8:$D$200,"4. Wirtschaftl. Geschäftsbetrieb",Buchungen!$J$8:$J$200,2)</f>
        <v>0</v>
      </c>
      <c r="F43" s="52">
        <f>SUMIFS(Buchungen!$G$8:$G$200,Buchungen!$D$8:$D$200,"4. Wirtschaftl. Geschäftsbetrieb",Buchungen!$J$8:$J$200,3)</f>
        <v>215.6</v>
      </c>
      <c r="G43" s="52">
        <f>SUMIFS(Buchungen!$G$8:$G$200,Buchungen!$D$8:$D$200,"4. Wirtschaftl. Geschäftsbetrieb",Buchungen!$J$8:$J$200,4)</f>
        <v>0</v>
      </c>
      <c r="H43" s="52">
        <f>SUMIFS(Buchungen!$G$8:$G$200,Buchungen!$D$8:$D$200,"4. Wirtschaftl. Geschäftsbetrieb",Buchungen!$J$8:$J$200,5)</f>
        <v>0</v>
      </c>
      <c r="I43" s="52">
        <f>SUMIFS(Buchungen!$G$8:$G$200,Buchungen!$D$8:$D$200,"4. Wirtschaftl. Geschäftsbetrieb",Buchungen!$J$8:$J$200,6)</f>
        <v>487.9</v>
      </c>
      <c r="J43" s="52">
        <f>SUMIFS(Buchungen!$G$8:$G$200,Buchungen!$D$8:$D$200,"4. Wirtschaftl. Geschäftsbetrieb",Buchungen!$J$8:$J$200,7)</f>
        <v>0</v>
      </c>
      <c r="K43" s="52">
        <f>SUMIFS(Buchungen!$G$8:$G$200,Buchungen!$D$8:$D$200,"4. Wirtschaftl. Geschäftsbetrieb",Buchungen!$J$8:$J$200,8)</f>
        <v>0</v>
      </c>
      <c r="L43" s="52">
        <f>SUMIFS(Buchungen!$G$8:$G$200,Buchungen!$D$8:$D$200,"4. Wirtschaftl. Geschäftsbetrieb",Buchungen!$J$8:$J$200,9)</f>
        <v>0</v>
      </c>
      <c r="M43" s="52">
        <f>SUMIFS(Buchungen!$G$8:$G$200,Buchungen!$D$8:$D$200,"4. Wirtschaftl. Geschäftsbetrieb",Buchungen!$J$8:$J$200,10)</f>
        <v>268.7</v>
      </c>
      <c r="N43" s="52">
        <f>SUMIFS(Buchungen!$G$8:$G$200,Buchungen!$D$8:$D$200,"4. Wirtschaftl. Geschäftsbetrieb",Buchungen!$J$8:$J$200,11)</f>
        <v>0</v>
      </c>
      <c r="O43" s="52">
        <f>SUMIFS(Buchungen!$G$8:$G$200,Buchungen!$D$8:$D$200,"4. Wirtschaftl. Geschäftsbetrieb",Buchungen!$J$8:$J$200,12)</f>
        <v>0</v>
      </c>
      <c r="P43" s="53">
        <f t="shared" si="5"/>
        <v>972.2</v>
      </c>
    </row>
    <row r="44" spans="2:16" ht="21.75" customHeight="1" x14ac:dyDescent="0.25">
      <c r="B44" s="54" t="s">
        <v>157</v>
      </c>
      <c r="C44" s="55"/>
      <c r="D44" s="56">
        <f t="shared" ref="D44:P44" si="6">D42-D43</f>
        <v>0</v>
      </c>
      <c r="E44" s="56">
        <f t="shared" si="6"/>
        <v>0</v>
      </c>
      <c r="F44" s="56">
        <f t="shared" si="6"/>
        <v>584.69999999999993</v>
      </c>
      <c r="G44" s="56">
        <f t="shared" si="6"/>
        <v>0</v>
      </c>
      <c r="H44" s="56">
        <f t="shared" si="6"/>
        <v>600</v>
      </c>
      <c r="I44" s="56">
        <f t="shared" si="6"/>
        <v>1049.4000000000001</v>
      </c>
      <c r="J44" s="56">
        <f t="shared" si="6"/>
        <v>0</v>
      </c>
      <c r="K44" s="56">
        <f t="shared" si="6"/>
        <v>0</v>
      </c>
      <c r="L44" s="56">
        <f t="shared" si="6"/>
        <v>0</v>
      </c>
      <c r="M44" s="56">
        <f t="shared" si="6"/>
        <v>669.8</v>
      </c>
      <c r="N44" s="56">
        <f t="shared" si="6"/>
        <v>0</v>
      </c>
      <c r="O44" s="56">
        <f t="shared" si="6"/>
        <v>0</v>
      </c>
      <c r="P44" s="57">
        <f t="shared" si="6"/>
        <v>2903.8999999999996</v>
      </c>
    </row>
    <row r="46" spans="2:16" ht="25.5" customHeight="1" x14ac:dyDescent="0.25">
      <c r="B46" s="24" t="s">
        <v>158</v>
      </c>
      <c r="C46" s="58" t="s">
        <v>144</v>
      </c>
      <c r="D46" s="25">
        <f>SUMIFS(Buchungen!$F$8:$F$200,Buchungen!$J$8:$J$200,1)</f>
        <v>5930</v>
      </c>
      <c r="E46" s="25">
        <f>SUMIFS(Buchungen!$F$8:$F$200,Buchungen!$J$8:$J$200,2)</f>
        <v>500</v>
      </c>
      <c r="F46" s="25">
        <f>SUMIFS(Buchungen!$F$8:$F$200,Buchungen!$J$8:$J$200,3)</f>
        <v>3540.3</v>
      </c>
      <c r="G46" s="25">
        <f>SUMIFS(Buchungen!$F$8:$F$200,Buchungen!$J$8:$J$200,4)</f>
        <v>530</v>
      </c>
      <c r="H46" s="25">
        <f>SUMIFS(Buchungen!$F$8:$F$200,Buchungen!$J$8:$J$200,5)</f>
        <v>1025</v>
      </c>
      <c r="I46" s="25">
        <f>SUMIFS(Buchungen!$F$8:$F$200,Buchungen!$J$8:$J$200,6)</f>
        <v>1881.05</v>
      </c>
      <c r="J46" s="25">
        <f>SUMIFS(Buchungen!$F$8:$F$200,Buchungen!$J$8:$J$200,7)</f>
        <v>350</v>
      </c>
      <c r="K46" s="25">
        <f>SUMIFS(Buchungen!$F$8:$F$200,Buchungen!$J$8:$J$200,8)</f>
        <v>750</v>
      </c>
      <c r="L46" s="25">
        <f>SUMIFS(Buchungen!$F$8:$F$200,Buchungen!$J$8:$J$200,9)</f>
        <v>1860</v>
      </c>
      <c r="M46" s="25">
        <f>SUMIFS(Buchungen!$F$8:$F$200,Buchungen!$J$8:$J$200,10)</f>
        <v>938.5</v>
      </c>
      <c r="N46" s="25">
        <f>SUMIFS(Buchungen!$F$8:$F$200,Buchungen!$J$8:$J$200,11)</f>
        <v>1200</v>
      </c>
      <c r="O46" s="25">
        <f>SUMIFS(Buchungen!$F$8:$F$200,Buchungen!$J$8:$J$200,12)</f>
        <v>509.4</v>
      </c>
      <c r="P46" s="25">
        <f>SUM(D46:O46)</f>
        <v>19014.25</v>
      </c>
    </row>
    <row r="47" spans="2:16" ht="25.5" customHeight="1" x14ac:dyDescent="0.25">
      <c r="B47" s="24" t="s">
        <v>159</v>
      </c>
      <c r="C47" s="59" t="s">
        <v>145</v>
      </c>
      <c r="D47" s="25">
        <f>SUMIFS(Buchungen!$G$8:$G$200,Buchungen!$J$8:$J$200,1)</f>
        <v>101.9</v>
      </c>
      <c r="E47" s="25">
        <f>SUMIFS(Buchungen!$G$8:$G$200,Buchungen!$J$8:$J$200,2)</f>
        <v>446.2</v>
      </c>
      <c r="F47" s="25">
        <f>SUMIFS(Buchungen!$G$8:$G$200,Buchungen!$J$8:$J$200,3)</f>
        <v>695.6</v>
      </c>
      <c r="G47" s="25">
        <f>SUMIFS(Buchungen!$G$8:$G$200,Buchungen!$J$8:$J$200,4)</f>
        <v>182.5</v>
      </c>
      <c r="H47" s="25">
        <f>SUMIFS(Buchungen!$G$8:$G$200,Buchungen!$J$8:$J$200,5)</f>
        <v>350</v>
      </c>
      <c r="I47" s="25">
        <f>SUMIFS(Buchungen!$G$8:$G$200,Buchungen!$J$8:$J$200,6)</f>
        <v>487.9</v>
      </c>
      <c r="J47" s="25">
        <f>SUMIFS(Buchungen!$G$8:$G$200,Buchungen!$J$8:$J$200,7)</f>
        <v>14.5</v>
      </c>
      <c r="K47" s="25">
        <f>SUMIFS(Buchungen!$G$8:$G$200,Buchungen!$J$8:$J$200,8)</f>
        <v>312.39999999999998</v>
      </c>
      <c r="L47" s="25">
        <f>SUMIFS(Buchungen!$G$8:$G$200,Buchungen!$J$8:$J$200,9)</f>
        <v>1044.8</v>
      </c>
      <c r="M47" s="25">
        <f>SUMIFS(Buchungen!$G$8:$G$200,Buchungen!$J$8:$J$200,10)</f>
        <v>283.2</v>
      </c>
      <c r="N47" s="25">
        <f>SUMIFS(Buchungen!$G$8:$G$200,Buchungen!$J$8:$J$200,11)</f>
        <v>245</v>
      </c>
      <c r="O47" s="25">
        <f>SUMIFS(Buchungen!$G$8:$G$200,Buchungen!$J$8:$J$200,12)</f>
        <v>138</v>
      </c>
      <c r="P47" s="25">
        <f>SUM(D47:O47)</f>
        <v>4302</v>
      </c>
    </row>
    <row r="48" spans="2:16" ht="27.75" customHeight="1" x14ac:dyDescent="0.25">
      <c r="B48" s="60" t="s">
        <v>160</v>
      </c>
      <c r="C48" s="61"/>
      <c r="D48" s="62">
        <f t="shared" ref="D48:P48" si="7">D46-D47</f>
        <v>5828.1</v>
      </c>
      <c r="E48" s="62">
        <f t="shared" si="7"/>
        <v>53.800000000000011</v>
      </c>
      <c r="F48" s="62">
        <f t="shared" si="7"/>
        <v>2844.7000000000003</v>
      </c>
      <c r="G48" s="62">
        <f t="shared" si="7"/>
        <v>347.5</v>
      </c>
      <c r="H48" s="62">
        <f t="shared" si="7"/>
        <v>675</v>
      </c>
      <c r="I48" s="62">
        <f t="shared" si="7"/>
        <v>1393.15</v>
      </c>
      <c r="J48" s="62">
        <f t="shared" si="7"/>
        <v>335.5</v>
      </c>
      <c r="K48" s="62">
        <f t="shared" si="7"/>
        <v>437.6</v>
      </c>
      <c r="L48" s="62">
        <f t="shared" si="7"/>
        <v>815.2</v>
      </c>
      <c r="M48" s="62">
        <f t="shared" si="7"/>
        <v>655.29999999999995</v>
      </c>
      <c r="N48" s="62">
        <f t="shared" si="7"/>
        <v>955</v>
      </c>
      <c r="O48" s="62">
        <f t="shared" si="7"/>
        <v>371.4</v>
      </c>
      <c r="P48" s="63">
        <f t="shared" si="7"/>
        <v>14712.25</v>
      </c>
    </row>
    <row r="50" spans="2:16" ht="37.5" customHeight="1" x14ac:dyDescent="0.25">
      <c r="B50" s="5" t="s">
        <v>161</v>
      </c>
      <c r="C50" s="5"/>
      <c r="D50" s="5"/>
      <c r="E50" s="5"/>
      <c r="F50" s="5"/>
      <c r="G50" s="5"/>
      <c r="H50" s="5"/>
      <c r="I50" s="5"/>
      <c r="J50" s="5"/>
      <c r="K50" s="5"/>
      <c r="L50" s="5"/>
      <c r="M50" s="5"/>
      <c r="N50" s="5"/>
      <c r="O50" s="5"/>
      <c r="P50" s="5"/>
    </row>
  </sheetData>
  <mergeCells count="7">
    <mergeCell ref="B37:P37"/>
    <mergeCell ref="B50:P50"/>
    <mergeCell ref="B2:P2"/>
    <mergeCell ref="B3:P3"/>
    <mergeCell ref="B6:P6"/>
    <mergeCell ref="B19:P19"/>
    <mergeCell ref="B27:P27"/>
  </mergeCells>
  <conditionalFormatting sqref="D48:P48">
    <cfRule type="cellIs" dxfId="0" priority="2" operator="lessThan">
      <formula>0</formula>
    </cfRule>
  </conditionalFormatting>
  <printOptions horizontalCentered="1"/>
  <pageMargins left="0.3" right="0.3" top="0.4" bottom="0.4"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Jahresabschluss</vt:lpstr>
      <vt:lpstr>Buchungen</vt:lpstr>
      <vt:lpstr>Monatsübersicht</vt:lpstr>
      <vt:lpstr>Jahresabschluss!Druckbereich</vt:lpstr>
      <vt:lpstr>Buchungen!Drucktitel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2026-06-10T05:22:10Z</dcterms:created>
  <dcterms:modified xsi:type="dcterms:W3CDTF">2026-06-10T06:21:07Z</dcterms:modified>
  <dc:language>en-US</dc:language>
</cp:coreProperties>
</file>