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Generador vertical\"/>
    </mc:Choice>
  </mc:AlternateContent>
  <xr:revisionPtr revIDLastSave="0" documentId="13_ncr:1_{647DE153-FEAD-42A8-ADBE-7F01D2A57ACF}" xr6:coauthVersionLast="47" xr6:coauthVersionMax="47" xr10:uidLastSave="{00000000-0000-0000-0000-000000000000}"/>
  <bookViews>
    <workbookView xWindow="1380" yWindow="1380" windowWidth="25500" windowHeight="13500" tabRatio="500" xr2:uid="{00000000-000D-0000-FFFF-FFFF00000000}"/>
  </bookViews>
  <sheets>
    <sheet name="Übersicht" sheetId="1" r:id="rId1"/>
    <sheet name="Eingaben" sheetId="2" r:id="rId2"/>
    <sheet name="Kaufnebenkosten" sheetId="3" r:id="rId3"/>
    <sheet name="Tilgungsplan" sheetId="4" r:id="rId4"/>
    <sheet name="Cashflow" sheetId="5" r:id="rId5"/>
    <sheet name="Rendite" sheetId="6" r:id="rId6"/>
    <sheet name="Anleitung" sheetId="7" r:id="rId7"/>
  </sheets>
  <definedNames>
    <definedName name="_xlnm.Print_Area" localSheetId="5">Rendite!$A$1:$E$35</definedName>
    <definedName name="_xlnm.Print_Titles" localSheetId="3">Tilgungsplan!$9:$9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6" l="1"/>
  <c r="C12" i="6"/>
  <c r="C11" i="6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P8" i="5"/>
  <c r="O8" i="5"/>
  <c r="O9" i="5" s="1"/>
  <c r="N8" i="5"/>
  <c r="N9" i="5" s="1"/>
  <c r="M8" i="5"/>
  <c r="M9" i="5" s="1"/>
  <c r="L8" i="5"/>
  <c r="K8" i="5"/>
  <c r="K9" i="5" s="1"/>
  <c r="F6" i="4"/>
  <c r="C6" i="4"/>
  <c r="D19" i="3"/>
  <c r="D18" i="3"/>
  <c r="D16" i="3"/>
  <c r="D12" i="3"/>
  <c r="C11" i="3"/>
  <c r="C10" i="3"/>
  <c r="C9" i="3"/>
  <c r="D5" i="3"/>
  <c r="D11" i="3" s="1"/>
  <c r="C29" i="2"/>
  <c r="F9" i="1" s="1"/>
  <c r="F28" i="2"/>
  <c r="C15" i="5" s="1"/>
  <c r="F26" i="2"/>
  <c r="O14" i="5" s="1"/>
  <c r="C24" i="2"/>
  <c r="D9" i="1" s="1"/>
  <c r="F19" i="2"/>
  <c r="J8" i="5" s="1"/>
  <c r="F18" i="2"/>
  <c r="C16" i="2"/>
  <c r="C17" i="2" s="1"/>
  <c r="F32" i="2" s="1"/>
  <c r="G25" i="1"/>
  <c r="B9" i="1"/>
  <c r="I5" i="1"/>
  <c r="G5" i="1"/>
  <c r="C5" i="1"/>
  <c r="J9" i="5" l="1"/>
  <c r="J10" i="5" s="1"/>
  <c r="L10" i="5"/>
  <c r="D16" i="5"/>
  <c r="D29" i="5" s="1"/>
  <c r="K16" i="5"/>
  <c r="K29" i="5" s="1"/>
  <c r="L16" i="5"/>
  <c r="L29" i="5" s="1"/>
  <c r="M16" i="5"/>
  <c r="M29" i="5" s="1"/>
  <c r="H16" i="5"/>
  <c r="H29" i="5" s="1"/>
  <c r="M31" i="5"/>
  <c r="K31" i="5"/>
  <c r="G31" i="5"/>
  <c r="J31" i="5"/>
  <c r="I31" i="5"/>
  <c r="H31" i="5"/>
  <c r="F31" i="5"/>
  <c r="E31" i="5"/>
  <c r="D31" i="5"/>
  <c r="C31" i="5"/>
  <c r="L31" i="5"/>
  <c r="Q31" i="5"/>
  <c r="P31" i="5"/>
  <c r="O31" i="5"/>
  <c r="N31" i="5"/>
  <c r="F29" i="2"/>
  <c r="E15" i="5"/>
  <c r="G15" i="5"/>
  <c r="G16" i="5" s="1"/>
  <c r="G29" i="5" s="1"/>
  <c r="C8" i="5"/>
  <c r="M10" i="5"/>
  <c r="C14" i="5"/>
  <c r="C16" i="5" s="1"/>
  <c r="C29" i="5" s="1"/>
  <c r="H15" i="5"/>
  <c r="C7" i="6"/>
  <c r="B14" i="1" s="1"/>
  <c r="P9" i="5"/>
  <c r="P10" i="5" s="1"/>
  <c r="L14" i="5"/>
  <c r="D15" i="5"/>
  <c r="K10" i="5"/>
  <c r="F15" i="5"/>
  <c r="F16" i="5" s="1"/>
  <c r="F29" i="5" s="1"/>
  <c r="D8" i="5"/>
  <c r="N10" i="5"/>
  <c r="D14" i="5"/>
  <c r="I15" i="5"/>
  <c r="E8" i="5"/>
  <c r="O10" i="5"/>
  <c r="E14" i="5"/>
  <c r="J15" i="5"/>
  <c r="C9" i="6"/>
  <c r="C10" i="6"/>
  <c r="F14" i="5"/>
  <c r="G8" i="5"/>
  <c r="L9" i="5"/>
  <c r="G14" i="5"/>
  <c r="L15" i="5"/>
  <c r="P14" i="5"/>
  <c r="P16" i="5" s="1"/>
  <c r="P29" i="5" s="1"/>
  <c r="Q8" i="5"/>
  <c r="Q14" i="5"/>
  <c r="Q16" i="5" s="1"/>
  <c r="Q29" i="5" s="1"/>
  <c r="D9" i="3"/>
  <c r="D10" i="3"/>
  <c r="F8" i="5"/>
  <c r="K15" i="5"/>
  <c r="H8" i="5"/>
  <c r="H14" i="5"/>
  <c r="M15" i="5"/>
  <c r="I8" i="5"/>
  <c r="I14" i="5"/>
  <c r="I16" i="5" s="1"/>
  <c r="I29" i="5" s="1"/>
  <c r="N15" i="5"/>
  <c r="N16" i="5" s="1"/>
  <c r="N29" i="5" s="1"/>
  <c r="J14" i="5"/>
  <c r="J16" i="5" s="1"/>
  <c r="J29" i="5" s="1"/>
  <c r="O15" i="5"/>
  <c r="O16" i="5" s="1"/>
  <c r="O29" i="5" s="1"/>
  <c r="K14" i="5"/>
  <c r="P15" i="5"/>
  <c r="M14" i="5"/>
  <c r="N14" i="5"/>
  <c r="Q15" i="5"/>
  <c r="P28" i="5" l="1"/>
  <c r="P18" i="5"/>
  <c r="J18" i="5"/>
  <c r="J28" i="5"/>
  <c r="F7" i="2"/>
  <c r="F8" i="2"/>
  <c r="E16" i="5"/>
  <c r="E29" i="5" s="1"/>
  <c r="I9" i="5"/>
  <c r="I10" i="5" s="1"/>
  <c r="E9" i="5"/>
  <c r="E10" i="5"/>
  <c r="E10" i="3"/>
  <c r="H10" i="5"/>
  <c r="H9" i="5"/>
  <c r="D9" i="5"/>
  <c r="D10" i="5" s="1"/>
  <c r="K28" i="5"/>
  <c r="K18" i="5"/>
  <c r="O28" i="5"/>
  <c r="O18" i="5"/>
  <c r="F9" i="5"/>
  <c r="F10" i="5" s="1"/>
  <c r="G9" i="5"/>
  <c r="G10" i="5" s="1"/>
  <c r="M18" i="5"/>
  <c r="M28" i="5"/>
  <c r="N28" i="5"/>
  <c r="N18" i="5"/>
  <c r="L18" i="5"/>
  <c r="L28" i="5"/>
  <c r="D13" i="3"/>
  <c r="E9" i="3"/>
  <c r="Q9" i="5"/>
  <c r="Q10" i="5" s="1"/>
  <c r="C9" i="5"/>
  <c r="C10" i="5" s="1"/>
  <c r="D18" i="5" l="1"/>
  <c r="D28" i="5"/>
  <c r="F18" i="5"/>
  <c r="F28" i="5"/>
  <c r="C18" i="5"/>
  <c r="C8" i="6"/>
  <c r="D14" i="1" s="1"/>
  <c r="B19" i="1"/>
  <c r="C28" i="5"/>
  <c r="Q28" i="5"/>
  <c r="Q18" i="5"/>
  <c r="G28" i="5"/>
  <c r="G18" i="5"/>
  <c r="I18" i="5"/>
  <c r="I28" i="5"/>
  <c r="E18" i="5"/>
  <c r="E28" i="5"/>
  <c r="H18" i="5"/>
  <c r="H28" i="5"/>
  <c r="D17" i="3"/>
  <c r="E13" i="3"/>
  <c r="E11" i="3"/>
  <c r="E12" i="3"/>
  <c r="C10" i="4"/>
  <c r="C5" i="4"/>
  <c r="D24" i="3"/>
  <c r="F13" i="2"/>
  <c r="C27" i="6"/>
  <c r="H9" i="1"/>
  <c r="D23" i="3"/>
  <c r="C51" i="6"/>
  <c r="G24" i="1"/>
  <c r="F5" i="4" l="1"/>
  <c r="F14" i="2"/>
  <c r="D20" i="3"/>
  <c r="D25" i="3"/>
  <c r="E25" i="3" s="1"/>
  <c r="E23" i="3"/>
  <c r="E10" i="4"/>
  <c r="D10" i="4"/>
  <c r="E20" i="3" l="1"/>
  <c r="E16" i="3"/>
  <c r="E18" i="3"/>
  <c r="E19" i="3"/>
  <c r="E17" i="3"/>
  <c r="E24" i="3"/>
  <c r="C21" i="5"/>
  <c r="F10" i="4"/>
  <c r="C30" i="5" l="1"/>
  <c r="C32" i="5" s="1"/>
  <c r="C33" i="5" s="1"/>
  <c r="C22" i="5"/>
  <c r="C23" i="5" s="1"/>
  <c r="G10" i="4"/>
  <c r="C11" i="4" s="1"/>
  <c r="D19" i="1" l="1"/>
  <c r="C25" i="5"/>
  <c r="E11" i="4"/>
  <c r="D11" i="4"/>
  <c r="F19" i="1" l="1"/>
  <c r="C35" i="5"/>
  <c r="F14" i="1"/>
  <c r="C17" i="6"/>
  <c r="F11" i="4"/>
  <c r="D21" i="5"/>
  <c r="D22" i="5" l="1"/>
  <c r="G11" i="4"/>
  <c r="C12" i="4" s="1"/>
  <c r="D30" i="5"/>
  <c r="D32" i="5" s="1"/>
  <c r="D33" i="5" s="1"/>
  <c r="D23" i="5"/>
  <c r="D25" i="5" s="1"/>
  <c r="D35" i="5" s="1"/>
  <c r="C53" i="6" s="1"/>
  <c r="H19" i="1"/>
  <c r="C19" i="6"/>
  <c r="C18" i="6"/>
  <c r="C38" i="5"/>
  <c r="C52" i="6"/>
  <c r="C22" i="6"/>
  <c r="D38" i="5" l="1"/>
  <c r="E12" i="4"/>
  <c r="D12" i="4"/>
  <c r="F12" i="4" l="1"/>
  <c r="E21" i="5"/>
  <c r="E30" i="5" l="1"/>
  <c r="E32" i="5" s="1"/>
  <c r="E33" i="5" s="1"/>
  <c r="E22" i="5"/>
  <c r="E23" i="5" s="1"/>
  <c r="E25" i="5" s="1"/>
  <c r="E35" i="5" s="1"/>
  <c r="G12" i="4"/>
  <c r="C13" i="4" s="1"/>
  <c r="C54" i="6" l="1"/>
  <c r="E38" i="5"/>
  <c r="E13" i="4"/>
  <c r="D13" i="4"/>
  <c r="F13" i="4" l="1"/>
  <c r="F21" i="5"/>
  <c r="F30" i="5" l="1"/>
  <c r="F32" i="5" s="1"/>
  <c r="F33" i="5" s="1"/>
  <c r="F22" i="5"/>
  <c r="F23" i="5" s="1"/>
  <c r="F25" i="5" s="1"/>
  <c r="F35" i="5" s="1"/>
  <c r="G13" i="4"/>
  <c r="C14" i="4" s="1"/>
  <c r="C55" i="6" l="1"/>
  <c r="F38" i="5"/>
  <c r="D14" i="4"/>
  <c r="E14" i="4"/>
  <c r="F14" i="4" l="1"/>
  <c r="G21" i="5"/>
  <c r="G30" i="5" l="1"/>
  <c r="G32" i="5" s="1"/>
  <c r="G33" i="5" s="1"/>
  <c r="G22" i="5"/>
  <c r="G23" i="5" s="1"/>
  <c r="G25" i="5" s="1"/>
  <c r="G35" i="5" s="1"/>
  <c r="G14" i="4"/>
  <c r="C15" i="4" s="1"/>
  <c r="C56" i="6" l="1"/>
  <c r="G38" i="5"/>
  <c r="E15" i="4"/>
  <c r="H21" i="5" s="1"/>
  <c r="D15" i="4"/>
  <c r="F15" i="4" s="1"/>
  <c r="H22" i="5" s="1"/>
  <c r="G15" i="4" l="1"/>
  <c r="C16" i="4" s="1"/>
  <c r="H30" i="5"/>
  <c r="H32" i="5" s="1"/>
  <c r="H33" i="5" s="1"/>
  <c r="H23" i="5"/>
  <c r="H25" i="5" s="1"/>
  <c r="H35" i="5" s="1"/>
  <c r="C57" i="6" s="1"/>
  <c r="H38" i="5" l="1"/>
  <c r="E16" i="4"/>
  <c r="I21" i="5" s="1"/>
  <c r="D16" i="4"/>
  <c r="F16" i="4" s="1"/>
  <c r="I22" i="5" s="1"/>
  <c r="G16" i="4" l="1"/>
  <c r="C17" i="4" s="1"/>
  <c r="I30" i="5"/>
  <c r="I32" i="5" s="1"/>
  <c r="I33" i="5" s="1"/>
  <c r="I23" i="5"/>
  <c r="I25" i="5" s="1"/>
  <c r="I35" i="5" s="1"/>
  <c r="C58" i="6" s="1"/>
  <c r="I38" i="5"/>
  <c r="E17" i="4" l="1"/>
  <c r="J21" i="5" s="1"/>
  <c r="D17" i="4"/>
  <c r="F17" i="4" s="1"/>
  <c r="J22" i="5" s="1"/>
  <c r="J30" i="5" l="1"/>
  <c r="J32" i="5" s="1"/>
  <c r="J33" i="5" s="1"/>
  <c r="J23" i="5"/>
  <c r="J25" i="5" s="1"/>
  <c r="J35" i="5" s="1"/>
  <c r="G17" i="4"/>
  <c r="C18" i="4" s="1"/>
  <c r="E18" i="4" l="1"/>
  <c r="K21" i="5" s="1"/>
  <c r="D18" i="4"/>
  <c r="F18" i="4" s="1"/>
  <c r="K22" i="5" s="1"/>
  <c r="G18" i="4"/>
  <c r="C19" i="4" s="1"/>
  <c r="C59" i="6"/>
  <c r="J38" i="5"/>
  <c r="E19" i="4" l="1"/>
  <c r="L21" i="5" s="1"/>
  <c r="D19" i="4"/>
  <c r="F19" i="4" s="1"/>
  <c r="L22" i="5" s="1"/>
  <c r="K30" i="5"/>
  <c r="K32" i="5" s="1"/>
  <c r="K33" i="5" s="1"/>
  <c r="K23" i="5"/>
  <c r="K25" i="5" s="1"/>
  <c r="K35" i="5" l="1"/>
  <c r="G19" i="4"/>
  <c r="C20" i="4" s="1"/>
  <c r="L30" i="5"/>
  <c r="L32" i="5" s="1"/>
  <c r="L33" i="5" s="1"/>
  <c r="L23" i="5"/>
  <c r="L25" i="5" s="1"/>
  <c r="L35" i="5" s="1"/>
  <c r="C61" i="6" s="1"/>
  <c r="E20" i="4" l="1"/>
  <c r="M21" i="5" s="1"/>
  <c r="D20" i="4"/>
  <c r="F20" i="4" s="1"/>
  <c r="M22" i="5" s="1"/>
  <c r="C60" i="6"/>
  <c r="K38" i="5"/>
  <c r="L38" i="5" s="1"/>
  <c r="M30" i="5" l="1"/>
  <c r="M32" i="5" s="1"/>
  <c r="M33" i="5" s="1"/>
  <c r="M23" i="5"/>
  <c r="M25" i="5" s="1"/>
  <c r="M35" i="5" s="1"/>
  <c r="C62" i="6" s="1"/>
  <c r="G20" i="4"/>
  <c r="C21" i="4" s="1"/>
  <c r="D21" i="4" l="1"/>
  <c r="F21" i="4" s="1"/>
  <c r="N22" i="5" s="1"/>
  <c r="E21" i="4"/>
  <c r="N21" i="5" s="1"/>
  <c r="M38" i="5"/>
  <c r="N30" i="5" l="1"/>
  <c r="N32" i="5" s="1"/>
  <c r="N33" i="5" s="1"/>
  <c r="N23" i="5"/>
  <c r="N25" i="5" s="1"/>
  <c r="N35" i="5" s="1"/>
  <c r="C63" i="6" s="1"/>
  <c r="G21" i="4"/>
  <c r="C22" i="4" s="1"/>
  <c r="E22" i="4" l="1"/>
  <c r="O21" i="5" s="1"/>
  <c r="D22" i="4"/>
  <c r="F22" i="4" s="1"/>
  <c r="O22" i="5" s="1"/>
  <c r="N38" i="5"/>
  <c r="G22" i="4" l="1"/>
  <c r="C23" i="4" s="1"/>
  <c r="O30" i="5"/>
  <c r="O32" i="5" s="1"/>
  <c r="O33" i="5" s="1"/>
  <c r="O23" i="5"/>
  <c r="O25" i="5" s="1"/>
  <c r="O35" i="5" l="1"/>
  <c r="E23" i="4"/>
  <c r="P21" i="5" s="1"/>
  <c r="D23" i="4"/>
  <c r="F23" i="4" s="1"/>
  <c r="P22" i="5" s="1"/>
  <c r="G23" i="4" l="1"/>
  <c r="C24" i="4" s="1"/>
  <c r="P30" i="5"/>
  <c r="P32" i="5" s="1"/>
  <c r="P33" i="5" s="1"/>
  <c r="P23" i="5"/>
  <c r="P25" i="5" s="1"/>
  <c r="P35" i="5" s="1"/>
  <c r="C65" i="6" s="1"/>
  <c r="C64" i="6"/>
  <c r="O38" i="5"/>
  <c r="P38" i="5" s="1"/>
  <c r="E24" i="4" l="1"/>
  <c r="Q21" i="5" s="1"/>
  <c r="D24" i="4"/>
  <c r="F24" i="4" s="1"/>
  <c r="Q22" i="5" s="1"/>
  <c r="Q30" i="5" l="1"/>
  <c r="Q32" i="5" s="1"/>
  <c r="Q33" i="5" s="1"/>
  <c r="Q23" i="5"/>
  <c r="Q25" i="5" s="1"/>
  <c r="Q35" i="5" s="1"/>
  <c r="G24" i="4"/>
  <c r="C30" i="6" l="1"/>
  <c r="C29" i="6"/>
  <c r="C25" i="4"/>
  <c r="G26" i="1"/>
  <c r="C66" i="6"/>
  <c r="Q38" i="5"/>
  <c r="G27" i="1" l="1"/>
  <c r="G28" i="1" s="1"/>
  <c r="G29" i="1" s="1"/>
  <c r="C31" i="6"/>
  <c r="C32" i="6"/>
  <c r="C34" i="6"/>
  <c r="C21" i="6"/>
  <c r="C20" i="6"/>
  <c r="H14" i="1"/>
  <c r="C33" i="6"/>
  <c r="E25" i="4"/>
  <c r="D25" i="4"/>
  <c r="F25" i="4" l="1"/>
  <c r="G25" i="4" s="1"/>
  <c r="C26" i="4" s="1"/>
  <c r="D26" i="4" l="1"/>
  <c r="E26" i="4"/>
  <c r="F26" i="4" l="1"/>
  <c r="G26" i="4" s="1"/>
  <c r="C27" i="4" s="1"/>
  <c r="E27" i="4" l="1"/>
  <c r="D27" i="4"/>
  <c r="F27" i="4" s="1"/>
  <c r="G27" i="4" s="1"/>
  <c r="C28" i="4" s="1"/>
  <c r="E28" i="4" l="1"/>
  <c r="D28" i="4"/>
  <c r="F28" i="4" s="1"/>
  <c r="G28" i="4" s="1"/>
  <c r="C29" i="4" s="1"/>
  <c r="E29" i="4" l="1"/>
  <c r="D29" i="4"/>
  <c r="F29" i="4" s="1"/>
  <c r="G29" i="4" s="1"/>
  <c r="C30" i="4" s="1"/>
  <c r="D30" i="4" l="1"/>
  <c r="E30" i="4"/>
  <c r="F30" i="4" l="1"/>
  <c r="G30" i="4" s="1"/>
  <c r="C31" i="4" s="1"/>
  <c r="E31" i="4" l="1"/>
  <c r="D31" i="4"/>
  <c r="F31" i="4" s="1"/>
  <c r="G31" i="4" s="1"/>
  <c r="C32" i="4" s="1"/>
  <c r="E32" i="4" l="1"/>
  <c r="D32" i="4"/>
  <c r="F32" i="4" s="1"/>
  <c r="G32" i="4" s="1"/>
  <c r="C33" i="4" s="1"/>
  <c r="E33" i="4" l="1"/>
  <c r="D33" i="4"/>
  <c r="F33" i="4" s="1"/>
  <c r="G33" i="4" s="1"/>
  <c r="C34" i="4" s="1"/>
  <c r="D34" i="4" l="1"/>
  <c r="E34" i="4"/>
  <c r="F34" i="4" l="1"/>
  <c r="G34" i="4" s="1"/>
  <c r="C35" i="4" s="1"/>
  <c r="E35" i="4" l="1"/>
  <c r="D35" i="4"/>
  <c r="F35" i="4" s="1"/>
  <c r="G35" i="4" s="1"/>
  <c r="C36" i="4" s="1"/>
  <c r="E36" i="4" l="1"/>
  <c r="D36" i="4"/>
  <c r="F36" i="4" s="1"/>
  <c r="G36" i="4" s="1"/>
  <c r="C37" i="4" s="1"/>
  <c r="E37" i="4" l="1"/>
  <c r="D37" i="4"/>
  <c r="F37" i="4" s="1"/>
  <c r="G37" i="4" s="1"/>
  <c r="C38" i="4" s="1"/>
  <c r="D38" i="4" l="1"/>
  <c r="E38" i="4"/>
  <c r="F38" i="4" l="1"/>
  <c r="G38" i="4" s="1"/>
  <c r="C39" i="4" s="1"/>
  <c r="E39" i="4" l="1"/>
  <c r="E40" i="4" s="1"/>
  <c r="D39" i="4"/>
  <c r="F39" i="4" l="1"/>
  <c r="D40" i="4"/>
  <c r="F40" i="4" l="1"/>
  <c r="G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F12" authorId="0" shapeId="0" xr:uid="{00000000-0006-0000-0100-000008000000}">
      <text>
        <r>
          <rPr>
            <sz val="10"/>
            <rFont val="Arial"/>
            <family val="2"/>
          </rPr>
          <t>Maximale Berechnungslaufzeit.</t>
        </r>
      </text>
    </comment>
    <comment ref="C15" authorId="0" shapeId="0" xr:uid="{00000000-0006-0000-0100-000001000000}">
      <text>
        <r>
          <rPr>
            <sz val="10"/>
            <rFont val="Arial"/>
            <family val="2"/>
          </rPr>
          <t>Wert des Grundstücks, der nicht abschreibungsfähig ist.</t>
        </r>
      </text>
    </comment>
    <comment ref="C20" authorId="0" shapeId="0" xr:uid="{00000000-0006-0000-0100-000002000000}">
      <text>
        <r>
          <rPr>
            <sz val="10"/>
            <rFont val="Arial"/>
            <family val="2"/>
          </rPr>
          <t>Je nach Bundesland 3,5%–6,5%.</t>
        </r>
      </text>
    </comment>
    <comment ref="F21" authorId="0" shapeId="0" xr:uid="{00000000-0006-0000-0100-000009000000}">
      <text>
        <r>
          <rPr>
            <sz val="10"/>
            <rFont val="Arial"/>
            <family val="2"/>
          </rPr>
          <t>Empfohlen: 3-5% als Sicherheitspuffer.</t>
        </r>
      </text>
    </comment>
    <comment ref="C22" authorId="0" shapeId="0" xr:uid="{00000000-0006-0000-0100-000003000000}">
      <text>
        <r>
          <rPr>
            <sz val="10"/>
            <rFont val="Arial"/>
            <family val="2"/>
          </rPr>
          <t>Üblicherweise 3,57% inkl. MwSt. (Käuferanteil).</t>
        </r>
      </text>
    </comment>
    <comment ref="C23" authorId="0" shapeId="0" xr:uid="{00000000-0006-0000-0100-000004000000}">
      <text>
        <r>
          <rPr>
            <sz val="10"/>
            <rFont val="Arial"/>
            <family val="2"/>
          </rPr>
          <t>Gutachter, Bewertungskosten, etc.</t>
        </r>
      </text>
    </comment>
    <comment ref="F24" authorId="0" shapeId="0" xr:uid="{00000000-0006-0000-0100-00000A000000}">
      <text>
        <r>
          <rPr>
            <sz val="10"/>
            <rFont val="Arial"/>
            <family val="2"/>
          </rPr>
          <t>Hausverwaltung, nicht umlagefähige Versicherungen, etc.</t>
        </r>
      </text>
    </comment>
    <comment ref="C32" authorId="0" shapeId="0" xr:uid="{00000000-0006-0000-0100-000005000000}">
      <text>
        <r>
          <rPr>
            <sz val="10"/>
            <rFont val="Arial"/>
            <family val="2"/>
          </rPr>
          <t>2% linear für Gebäude nach 1925 (§ 7 Abs. 4 EStG).</t>
        </r>
      </text>
    </comment>
    <comment ref="C33" authorId="0" shapeId="0" xr:uid="{00000000-0006-0000-0100-000006000000}">
      <text>
        <r>
          <rPr>
            <sz val="10"/>
            <rFont val="Arial"/>
            <family val="2"/>
          </rPr>
          <t>Grenzsteuersatz inkl. Solidaritätszuschlag.</t>
        </r>
      </text>
    </comment>
    <comment ref="F33" authorId="0" shapeId="0" xr:uid="{00000000-0006-0000-0100-00000B000000}">
      <text>
        <r>
          <rPr>
            <sz val="10"/>
            <rFont val="Arial"/>
            <family val="2"/>
          </rPr>
          <t>Erwartete Inflationsrate, für Bewirtschaftungskosten-Steigerung.</t>
        </r>
      </text>
    </comment>
    <comment ref="C34" authorId="0" shapeId="0" xr:uid="{00000000-0006-0000-0100-000007000000}">
      <text>
        <r>
          <rPr>
            <sz val="10"/>
            <rFont val="Arial"/>
            <family val="2"/>
          </rPr>
          <t>Konservative Annahme für die Immobilienpreisentwicklung.</t>
        </r>
      </text>
    </comment>
    <comment ref="F34" authorId="0" shapeId="0" xr:uid="{00000000-0006-0000-0100-00000C000000}">
      <text>
        <r>
          <rPr>
            <sz val="10"/>
            <rFont val="Arial"/>
            <family val="2"/>
          </rPr>
          <t>Geforderte Mindestrendite des Investors.</t>
        </r>
      </text>
    </comment>
  </commentList>
</comments>
</file>

<file path=xl/sharedStrings.xml><?xml version="1.0" encoding="utf-8"?>
<sst xmlns="http://schemas.openxmlformats.org/spreadsheetml/2006/main" count="299" uniqueCount="285">
  <si>
    <t>Objekt:</t>
  </si>
  <si>
    <t>Wohnfläche:</t>
  </si>
  <si>
    <t>Wohneinheiten:</t>
  </si>
  <si>
    <t>INVESTITIONSSTRUKTUR</t>
  </si>
  <si>
    <t>KAUFPREIS</t>
  </si>
  <si>
    <t>KAUFNEBENKOSTEN</t>
  </si>
  <si>
    <t>INVESTITIONSSUMME</t>
  </si>
  <si>
    <t>EIGENKAPITAL</t>
  </si>
  <si>
    <t>RENDITEKENNZAHLEN</t>
  </si>
  <si>
    <t>BRUTTORENDITE</t>
  </si>
  <si>
    <t>NETTORENDITE</t>
  </si>
  <si>
    <t>EK-RENDITE (Jahr 1)</t>
  </si>
  <si>
    <t>IRR (15 Jahre)</t>
  </si>
  <si>
    <t>CASHFLOW JAHR 1</t>
  </si>
  <si>
    <t>MIETEINNAHMEN</t>
  </si>
  <si>
    <t>KAPITALDIENST</t>
  </si>
  <si>
    <t>CF VOR STEUERN</t>
  </si>
  <si>
    <t>CF NACH STEUERN</t>
  </si>
  <si>
    <t>VERMÖGENSAUFBAU NACH 15 JAHREN</t>
  </si>
  <si>
    <t>Position</t>
  </si>
  <si>
    <t>Wert</t>
  </si>
  <si>
    <t>Eingesetztes Eigenkapital</t>
  </si>
  <si>
    <t>Verkaufswert (geschätzt)</t>
  </si>
  <si>
    <t>Restschuld</t>
  </si>
  <si>
    <t>Kumulierte Cashflows nach Steuern</t>
  </si>
  <si>
    <t>Gesamtvermögen</t>
  </si>
  <si>
    <t>Vermögenszuwachs</t>
  </si>
  <si>
    <t>EINGABEN &amp; ANNAHMEN</t>
  </si>
  <si>
    <t>1. OBJEKTDATEN</t>
  </si>
  <si>
    <t>5. FINANZIERUNG</t>
  </si>
  <si>
    <t>Objektbezeichnung</t>
  </si>
  <si>
    <t>Mehrfamilienhaus Beispielstadt</t>
  </si>
  <si>
    <t>Eigenkapitalanteil (%)</t>
  </si>
  <si>
    <t>Objekttyp</t>
  </si>
  <si>
    <t>Mehrfamilienhaus</t>
  </si>
  <si>
    <t>Eigenkapital (€)</t>
  </si>
  <si>
    <t>Wohnfläche gesamt</t>
  </si>
  <si>
    <t>Darlehensbetrag (€)</t>
  </si>
  <si>
    <t>Anzahl Wohneinheiten</t>
  </si>
  <si>
    <t>Nominalzinssatz p.a. (%)</t>
  </si>
  <si>
    <t>Baujahr</t>
  </si>
  <si>
    <t>Anfangstilgung p.a. (%)</t>
  </si>
  <si>
    <t>Anschaffungsjahr</t>
  </si>
  <si>
    <t>Zinsbindung (Jahre)</t>
  </si>
  <si>
    <t>Gesamtlaufzeit (Jahre)</t>
  </si>
  <si>
    <t>2. KAUFPREIS &amp; ANSCHAFFUNGSKOSTEN</t>
  </si>
  <si>
    <t>Annuität p.a. (€)</t>
  </si>
  <si>
    <t>Kaufpreis (gesamt)</t>
  </si>
  <si>
    <t>Annuität monatlich (€)</t>
  </si>
  <si>
    <t xml:space="preserve">  davon Grundstücksanteil (%)</t>
  </si>
  <si>
    <t xml:space="preserve">  Grundstückswert (€)</t>
  </si>
  <si>
    <t>6. MIETEINNAHMEN</t>
  </si>
  <si>
    <t xml:space="preserve">  Gebäudewert (AfA-Basis)</t>
  </si>
  <si>
    <t>Kaltmiete pro m² pro Monat (€)</t>
  </si>
  <si>
    <t>Kaltmiete pro Monat (€)</t>
  </si>
  <si>
    <t>3. KAUFNEBENKOSTEN</t>
  </si>
  <si>
    <t>Jahres-Kaltmiete (€)</t>
  </si>
  <si>
    <t>Grunderwerbsteuer (%)</t>
  </si>
  <si>
    <t>Erwartete Mietsteigerung p.a. (%)</t>
  </si>
  <si>
    <t>Notar &amp; Grundbuch (%)</t>
  </si>
  <si>
    <t>Leerstand &amp; Mietausfall (%)</t>
  </si>
  <si>
    <t>Maklerprovision (%)</t>
  </si>
  <si>
    <t>Sonstige Erwerbskosten (€)</t>
  </si>
  <si>
    <t>7. BEWIRTSCHAFTUNGSKOSTEN</t>
  </si>
  <si>
    <t>Kaufnebenkosten gesamt (€)</t>
  </si>
  <si>
    <t>Nicht umlagefähige Nebenkosten (€/Jahr)</t>
  </si>
  <si>
    <t>Instandhaltungsrücklage (€/m²/Jahr)</t>
  </si>
  <si>
    <t>4. MODERNISIERUNG &amp; RESERVEN</t>
  </si>
  <si>
    <t>Instandhaltung gesamt (€/Jahr)</t>
  </si>
  <si>
    <t>Modernisierungskosten initial (€)</t>
  </si>
  <si>
    <t>Verwaltungskosten (€/Wohnung/Jahr)</t>
  </si>
  <si>
    <t>Liquiditätsreserve (€)</t>
  </si>
  <si>
    <t>Verwaltung gesamt (€/Jahr)</t>
  </si>
  <si>
    <t>Initiale Investition gesamt (€)</t>
  </si>
  <si>
    <t>Initiale Investition gesamt (€):</t>
  </si>
  <si>
    <t>8. STEUERLICHE ANNAHMEN</t>
  </si>
  <si>
    <t>AfA-Satz Gebäude (%/Jahr)</t>
  </si>
  <si>
    <t>Jährliche AfA (€)</t>
  </si>
  <si>
    <t>Persönlicher Steuersatz (%)</t>
  </si>
  <si>
    <t>Inflation p.a. (%) für Kostensteigerung</t>
  </si>
  <si>
    <t>Erwartete Wertsteigerung p.a. (%)</t>
  </si>
  <si>
    <t>Diskontierungszinssatz für NPV (%)</t>
  </si>
  <si>
    <t>HINWEIS: Alle gelben Zellen sind Eingabefelder. Blaue Zellen werden automatisch berechnet. Diese Vorlage dient zur Orientierung und ersetzt keine professionelle Beratung. Steuerliche Werte sind vereinfachte Annahmen — bitte mit Ihrem Steuerberater abstimmen.</t>
  </si>
  <si>
    <t>KAUFNEBENKOSTEN — DETAIL</t>
  </si>
  <si>
    <t>Kaufpreis (von Eingaben):</t>
  </si>
  <si>
    <t>POSITIONEN DER KAUFNEBENKOSTEN</t>
  </si>
  <si>
    <t>Prozentsatz</t>
  </si>
  <si>
    <t>Betrag (€)</t>
  </si>
  <si>
    <t>Anteil</t>
  </si>
  <si>
    <t>Grunderwerbsteuer</t>
  </si>
  <si>
    <t>Notar- und Grundbuchkosten</t>
  </si>
  <si>
    <t>Maklerprovision (Käuferanteil)</t>
  </si>
  <si>
    <t>—</t>
  </si>
  <si>
    <t>KAUFNEBENKOSTEN GESAMT</t>
  </si>
  <si>
    <t>GESAMTE INVESTITIONSSUMME</t>
  </si>
  <si>
    <t>Kaufpreis</t>
  </si>
  <si>
    <t>Kaufnebenkosten</t>
  </si>
  <si>
    <t>Modernisierungskosten</t>
  </si>
  <si>
    <t>Liquiditätsreserve</t>
  </si>
  <si>
    <t>GESAMT-INVESTITIONSSUMME</t>
  </si>
  <si>
    <t>FINANZIERUNGSSTRUKTUR</t>
  </si>
  <si>
    <t>Eigenkapital</t>
  </si>
  <si>
    <t>Fremdkapital (Darlehen)</t>
  </si>
  <si>
    <t>GESAMT-FINANZIERUNG</t>
  </si>
  <si>
    <t>TILGUNGSPLAN (Annuitätendarlehen)</t>
  </si>
  <si>
    <t>Darlehensbetrag:</t>
  </si>
  <si>
    <t>Annuität p.a.:</t>
  </si>
  <si>
    <t>Zinssatz:</t>
  </si>
  <si>
    <t>Anfangstilgung:</t>
  </si>
  <si>
    <t>JÄHRLICHE TILGUNGSÜBERSICHT</t>
  </si>
  <si>
    <t>Jahr</t>
  </si>
  <si>
    <t>Restschuld
Anfang</t>
  </si>
  <si>
    <t>Annuität</t>
  </si>
  <si>
    <t>Zinsanteil</t>
  </si>
  <si>
    <t>Tilgungsanteil</t>
  </si>
  <si>
    <t>Restschuld
Ende</t>
  </si>
  <si>
    <t>SUMME</t>
  </si>
  <si>
    <t>CASHFLOW-PROGNOSE 2026–2040</t>
  </si>
  <si>
    <t>EINNAHMEN</t>
  </si>
  <si>
    <t>Jahres-Kaltmiete (Soll)</t>
  </si>
  <si>
    <t xml:space="preserve">  abzgl. Leerstand &amp; Ausfall</t>
  </si>
  <si>
    <t>Effektive Mieteinnahmen (= NETTOMIETE)</t>
  </si>
  <si>
    <t>BEWIRTSCHAFTUNGSKOSTEN</t>
  </si>
  <si>
    <t>Nicht umlagefähige Nebenkosten</t>
  </si>
  <si>
    <t>Instandhaltungsrücklage</t>
  </si>
  <si>
    <t>Verwaltungskosten</t>
  </si>
  <si>
    <t>Bewirtschaftungskosten gesamt</t>
  </si>
  <si>
    <t>NETTO-MIETERTRAG (NOI)</t>
  </si>
  <si>
    <t>FINANZIERUNG</t>
  </si>
  <si>
    <t>Zinsen (aus Tilgungsplan)</t>
  </si>
  <si>
    <t>Tilgung (aus Tilgungsplan)</t>
  </si>
  <si>
    <t>Kapitaldienst gesamt</t>
  </si>
  <si>
    <t>CASHFLOW VOR STEUERN</t>
  </si>
  <si>
    <t>STEUERLICHE BERECHNUNG</t>
  </si>
  <si>
    <t>Mieteinnahmen (effektiv)</t>
  </si>
  <si>
    <t xml:space="preserve">  abzgl. Bewirtschaftung</t>
  </si>
  <si>
    <t xml:space="preserve">  abzgl. Zinsen</t>
  </si>
  <si>
    <t xml:space="preserve">  abzgl. AfA</t>
  </si>
  <si>
    <t>Steuerliches Ergebnis</t>
  </si>
  <si>
    <t>Steuerbelastung / Steuerersparnis</t>
  </si>
  <si>
    <t>CASHFLOW NACH STEUERN</t>
  </si>
  <si>
    <t>KUMULIERTE CASHFLOWS</t>
  </si>
  <si>
    <t>Kumulierter Cashflow nach Steuern</t>
  </si>
  <si>
    <t>STATISCHE KENNZAHLEN (Erstes Jahr)</t>
  </si>
  <si>
    <t>Kennzahl</t>
  </si>
  <si>
    <t>Erklärung</t>
  </si>
  <si>
    <t>Bruttomietrendite</t>
  </si>
  <si>
    <t>Jahres-Kaltmiete / Kaufpreis</t>
  </si>
  <si>
    <t>Nettomietrendite (vor Steuern)</t>
  </si>
  <si>
    <t>NOI / Investitionssumme</t>
  </si>
  <si>
    <t>Faktor (Vervielfältiger)</t>
  </si>
  <si>
    <t>Kaufpreis / Jahres-Kaltmiete</t>
  </si>
  <si>
    <t>Mietpreismultiplikator</t>
  </si>
  <si>
    <t>Wie viele Jahres-Kaltmieten der Kaufpreis kostet</t>
  </si>
  <si>
    <t>Kaufpreis pro m²</t>
  </si>
  <si>
    <t>Kaufpreis / Wohnfläche</t>
  </si>
  <si>
    <t>Anfangstilgung effektiv</t>
  </si>
  <si>
    <t>Anfänglicher Tilgungsanteil der Annuität</t>
  </si>
  <si>
    <t>DYNAMISCHE KENNZAHLEN (über Gesamtlaufzeit)</t>
  </si>
  <si>
    <t>Eigenkapitalrendite Jahr 1 (vor Steuern)</t>
  </si>
  <si>
    <t>Cashflow vor Steuern / Eigenkapital (auch Cash-on-Cash Return)</t>
  </si>
  <si>
    <t>Eigenkapitalrendite Jahr 1 (nach Steuern)</t>
  </si>
  <si>
    <t>Cashflow nach Steuern / Eigenkapital</t>
  </si>
  <si>
    <t>Gesamtrendite p.a. (inkl. Tilgung &amp; Wertsteigerung)</t>
  </si>
  <si>
    <t>Cashflow + Vermögenszuwachs durch Tilgung + Wertsteigerung</t>
  </si>
  <si>
    <t>Interner Zinsfuß (IRR) — 15 Jahre</t>
  </si>
  <si>
    <t>Berücksichtigt alle Cashflows + Verkaufserlös am Ende</t>
  </si>
  <si>
    <t>Nettobarwert (NPV) — 15 Jahre</t>
  </si>
  <si>
    <t>Barwert aller zukünftigen Cashflows abzüglich Anfangsinvestition</t>
  </si>
  <si>
    <t>Amortisationszeit (statisch)</t>
  </si>
  <si>
    <t>Jahre, bis das Eigenkapital durch Cashflows zurückfließt</t>
  </si>
  <si>
    <t>VERMÖGENSENTWICKLUNG (15 Jahre)</t>
  </si>
  <si>
    <t>Initialer Kapitaleinsatz</t>
  </si>
  <si>
    <t>Verkaufswert nach 15 Jahren (geschätzt)</t>
  </si>
  <si>
    <t>Kaufpreis × (1 + Wertsteigerung)^15</t>
  </si>
  <si>
    <t>Restschuld nach 15 Jahren</t>
  </si>
  <si>
    <t>Aus Tilgungsplan</t>
  </si>
  <si>
    <t>Verkaufserlös netto</t>
  </si>
  <si>
    <t>Verkaufswert − Restschuld</t>
  </si>
  <si>
    <t>Kumulierte Cashflows (15 Jahre)</t>
  </si>
  <si>
    <t>Summe aller Cashflows nach Steuern</t>
  </si>
  <si>
    <t>Gesamtvermögen nach 15 Jahren</t>
  </si>
  <si>
    <t>Verkaufserlös netto + kumulierte Cashflows</t>
  </si>
  <si>
    <t>Vermögenszuwachs absolut</t>
  </si>
  <si>
    <t>Gesamtvermögen − eingesetztes Eigenkapital</t>
  </si>
  <si>
    <t>Vermögenszuwachs relativ</t>
  </si>
  <si>
    <t>Vermögenszuwachs / Eigenkapital</t>
  </si>
  <si>
    <t>Hilfsdaten (für IRR/NPV)</t>
  </si>
  <si>
    <t>Jahr 0 (Initial)</t>
  </si>
  <si>
    <t>Jahr 1</t>
  </si>
  <si>
    <t>Jahr 2</t>
  </si>
  <si>
    <t>Jahr 3</t>
  </si>
  <si>
    <t>Jahr 4</t>
  </si>
  <si>
    <t>Jahr 5</t>
  </si>
  <si>
    <t>Jahr 6</t>
  </si>
  <si>
    <t>Jahr 7</t>
  </si>
  <si>
    <t>Jahr 8</t>
  </si>
  <si>
    <t>Jahr 9</t>
  </si>
  <si>
    <t>Jahr 10</t>
  </si>
  <si>
    <t>Jahr 11</t>
  </si>
  <si>
    <t>Jahr 12</t>
  </si>
  <si>
    <t>Jahr 13</t>
  </si>
  <si>
    <t>Jahr 14</t>
  </si>
  <si>
    <t>Jahr 15</t>
  </si>
  <si>
    <t>ANLEITUNG — INVESTITIONSRECHNUNG IMMOBILIEN</t>
  </si>
  <si>
    <t>⚠ WICHTIGER HINWEIS</t>
  </si>
  <si>
    <t>Diese Vorlage dient zur überschlägigen Investitionsanalyse und ersetzt KEINE professionelle Beratung. Ergebnisse hängen stark von den eingegebenen Annahmen ab. Insbesondere steuerliche Berechnungen sind vereinfacht — konsultieren Sie für eine konkrete Investitionsentscheidung Ihren Steuerberater, Finanzberater und Immobiliensachverständigen.</t>
  </si>
  <si>
    <t>1. ÜBERSICHT DER ARBEITSBLÄTTER</t>
  </si>
  <si>
    <t>Übersicht</t>
  </si>
  <si>
    <t>Dashboard mit allen wichtigen Kennzahlen auf einen Blick: Investitionssumme, Renditen, Cashflow und Vermögensaufbau.</t>
  </si>
  <si>
    <t>Eingaben</t>
  </si>
  <si>
    <t>Alle Eingaben in einem Blatt: Objektdaten, Kaufpreis, Kaufnebenkosten, Finanzierung, Mieteinnahmen, Bewirtschaftungskosten, steuerliche Annahmen. Gelbe Zellen sind Eingabefelder.</t>
  </si>
  <si>
    <t>Detaillierte Aufschlüsselung der Erwerbskosten und der gesamten Investitionssumme inkl. Finanzierungsstruktur.</t>
  </si>
  <si>
    <t>Tilgungsplan</t>
  </si>
  <si>
    <t>Annuitätendarlehen mit jährlicher Aufstellung von Zins- und Tilgungsanteil über 30 Jahre.</t>
  </si>
  <si>
    <t>Cashflow</t>
  </si>
  <si>
    <t>15-jährige Cashflow-Prognose mit Steigerung der Mieten und Kosten, Steuerberechnung und kumulierten Cashflows.</t>
  </si>
  <si>
    <t>Rendite</t>
  </si>
  <si>
    <t>Statische und dynamische Renditekennzahlen: Bruttorendite, Nettorendite, EK-Rendite, IRR, NPV und Vermögensentwicklung.</t>
  </si>
  <si>
    <t>Anleitung</t>
  </si>
  <si>
    <t>Diese Seite — Anweisungen, Erklärungen und wichtige Hinweise.</t>
  </si>
  <si>
    <t>2. SCHRITT-FÜR-SCHRITT-VORGEHEN</t>
  </si>
  <si>
    <t>Schritt 1: Objektdaten erfassen</t>
  </si>
  <si>
    <t>Im Blatt 'Eingaben' Objekttyp, Wohnfläche, Anzahl Einheiten und Baujahr eintragen.</t>
  </si>
  <si>
    <t>Schritt 2: Kaufpreis &amp; Anteile</t>
  </si>
  <si>
    <t>Kaufpreis eingeben und den Grundstücksanteil schätzen (typisch 15-25%). Wichtig für die korrekte AfA-Basis.</t>
  </si>
  <si>
    <t>Schritt 3: Kaufnebenkosten anpassen</t>
  </si>
  <si>
    <t>Grunderwerbsteuer je nach Bundesland (3,5%-6,5%), Notar/Grundbuch ca. 2%, Makler je nach Vertrag.</t>
  </si>
  <si>
    <t>Schritt 4: Finanzierung definieren</t>
  </si>
  <si>
    <t>Eigenkapitalanteil festlegen, Zinssatz und Anfangstilgung Ihrer Konditionen eintragen.</t>
  </si>
  <si>
    <t>Schritt 5: Mieten realistisch ansetzen</t>
  </si>
  <si>
    <t>Marktübliche Kaltmiete pro m² recherchieren. Lieber vorsichtig schätzen und einen Leerstandspuffer einplanen.</t>
  </si>
  <si>
    <t>Schritt 6: Bewirtschaftungskosten</t>
  </si>
  <si>
    <t>Nicht umlagefähige Nebenkosten, Instandhaltungsrücklage (€/m²) und Verwaltungskosten ehrlich einplanen.</t>
  </si>
  <si>
    <t>Schritt 7: Steuerliche Annahmen</t>
  </si>
  <si>
    <t>AfA-Satz (2% für Gebäude nach 1925, 2,5% für vor 1925), persönlichen Grenzsteuersatz, Inflations- und Wertsteigerungsannahmen anpassen.</t>
  </si>
  <si>
    <t>Schritt 8: Ergebnisse prüfen</t>
  </si>
  <si>
    <t>Blatt 'Übersicht' und 'Rendite' für die wichtigsten Kennzahlen. Cashflow-Verlauf im Detail prüfen.</t>
  </si>
  <si>
    <t>3. WICHTIGE KENNZAHLEN — ERKLÄRT</t>
  </si>
  <si>
    <t>Jahres-Kaltmiete geteilt durch Kaufpreis. Schnelle Faustkennzahl. Faustregel: ab 4-5% beginnt es interessant zu werden.</t>
  </si>
  <si>
    <t>Nettomietrendite</t>
  </si>
  <si>
    <t>(Mieten minus Bewirtschaftung) geteilt durch Investitionssumme. Realistischer als die Brutto. Berücksichtigt auch Nebenkosten und Reserven.</t>
  </si>
  <si>
    <t>Eigenkapitalrendite</t>
  </si>
  <si>
    <t>Cashflow geteilt durch Eigenkapital. Zeigt die Rendite auf das tatsächlich eingesetzte Kapital. Profitiert von Fremdkapital-Hebel.</t>
  </si>
  <si>
    <t>IRR (Interner Zinsfuß)</t>
  </si>
  <si>
    <t>Effektive Rendite über die gesamte Haltedauer inkl. Verkaufserlös. Wichtigste dynamische Kennzahl.</t>
  </si>
  <si>
    <t>NPV (Nettobarwert)</t>
  </si>
  <si>
    <t>Barwert aller zukünftigen Cashflows. NPV größer als 0 bedeutet: Investition lohnt sich beim gewählten Diskontzins.</t>
  </si>
  <si>
    <t>Faktor / Vervielfältiger</t>
  </si>
  <si>
    <t>Kaufpreis geteilt durch Jahres-Kaltmiete. Sagt: nach wievielen Jahres-Mieten ist der Kaufpreis verdient. Niedriger = besser.</t>
  </si>
  <si>
    <t>Cashflow vor Steuern</t>
  </si>
  <si>
    <t>Mieten minus Bewirtschaftung minus Zinsen minus Tilgung. Das, was nach allen Zahlungen übrig bleibt.</t>
  </si>
  <si>
    <t>Cashflow nach Steuern</t>
  </si>
  <si>
    <t>Zusätzlich Steuerersparnis (durch AfA und Zinsen) bzw. Steuerbelastung berücksichtigt.</t>
  </si>
  <si>
    <t>4. FARBCODIERUNG</t>
  </si>
  <si>
    <t>Gelb (Eingabe)</t>
  </si>
  <si>
    <t>Eingabefelder. Hier passen Sie die Annahmen an. Schrift in Blau.</t>
  </si>
  <si>
    <t>Hellblau (Ergebnis)</t>
  </si>
  <si>
    <t>Automatisch berechnete Werte. Nicht überschreiben.</t>
  </si>
  <si>
    <t>Dunkelblau</t>
  </si>
  <si>
    <t>Titel und Hauptergebnisse.</t>
  </si>
  <si>
    <t>Gold/Akzent</t>
  </si>
  <si>
    <t>Wichtige Kennzahlen, Vermögensbilanz und steuerliche Annahmen.</t>
  </si>
  <si>
    <t>Grün</t>
  </si>
  <si>
    <t>Positive Werte (NOI, Cashflow positiv).</t>
  </si>
  <si>
    <t>Rot</t>
  </si>
  <si>
    <t>Negative Werte (Verluste, Drawdown).</t>
  </si>
  <si>
    <t>5. BEST PRACTICES</t>
  </si>
  <si>
    <t>Realistisch kalkulieren</t>
  </si>
  <si>
    <t>Lieber konservative Mieten und höhere Kosten ansetzen. Die meisten Investitionen scheitern an zu optimistischen Annahmen.</t>
  </si>
  <si>
    <t>Leerstand einrechnen</t>
  </si>
  <si>
    <t>Auch bei Top-Lagen mindestens 2-3% Leerstand annehmen. Bei B/C-Lagen eher 5%.</t>
  </si>
  <si>
    <t>Instandhaltung nicht unterschätzen</t>
  </si>
  <si>
    <t>Faustregel Petersche Formel: 1,5%-2% des Gebäudewerts pro Jahr für Instandhaltung. Oder 10-15€/m² als Daumenregel.</t>
  </si>
  <si>
    <t>Steuern nicht vergessen</t>
  </si>
  <si>
    <t>Mieteinnahmen sind einkommensteuerpflichtig. AfA und Zinsen mindern aber das zu versteuernde Einkommen.</t>
  </si>
  <si>
    <t>Zinsbindung beachten</t>
  </si>
  <si>
    <t>Nach Ende der Zinsbindung muss neu finanziert werden. Anschlusszinsen können deutlich höher sein — Risiko einplanen.</t>
  </si>
  <si>
    <t>Mehrere Szenarien rechnen</t>
  </si>
  <si>
    <t>Erstellen Sie Kopien dieser Datei für Best-, Base- und Worst-Case (z.B. höhere Zinsen, mehr Leerstand).</t>
  </si>
  <si>
    <t>Standort und Lage prüfen</t>
  </si>
  <si>
    <t>Beste Kennzahlen helfen nicht bei schlechter Lage. Demografie, Infrastruktur und lokale Wirtschaft prüfen.</t>
  </si>
  <si>
    <t>Eigene Arbeit einrechnen</t>
  </si>
  <si>
    <t>Wenn Sie selbst verwalten, sparen Sie Verwaltungskosten — aber Ihre Zeit hat auch einen Wert.</t>
  </si>
  <si>
    <t>INVESTITIONSRECHNUNG IMMOBILIEN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</si>
</sst>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&quot; m²&quot;"/>
    <numFmt numFmtId="165" formatCode="#,##0&quot; €&quot;;[Red]\-#,##0&quot; €&quot;;\-"/>
    <numFmt numFmtId="166" formatCode="0.00%;[Red]\-0.00%;\-"/>
    <numFmt numFmtId="167" formatCode="0.0%;[Red]\-0.0%;\-"/>
    <numFmt numFmtId="168" formatCode="#,##0.00&quot; €&quot;;[Red]\-#,##0.00&quot; €&quot;;\-"/>
    <numFmt numFmtId="169" formatCode="#,##0.00;[Red]\-#,##0.00;\-"/>
    <numFmt numFmtId="170" formatCode="#,##0&quot;  Jahre&quot;"/>
  </numFmts>
  <fonts count="17" x14ac:knownFonts="1">
    <font>
      <sz val="11"/>
      <color theme="1"/>
      <name val="Calibri"/>
      <family val="2"/>
      <charset val="1"/>
    </font>
    <font>
      <b/>
      <sz val="20"/>
      <color rgb="FFFFFFFF"/>
      <name val="Calibri"/>
      <charset val="1"/>
    </font>
    <font>
      <b/>
      <sz val="10"/>
      <name val="Calibri"/>
      <charset val="1"/>
    </font>
    <font>
      <b/>
      <sz val="10"/>
      <color rgb="FF1B3A5C"/>
      <name val="Calibri"/>
      <charset val="1"/>
    </font>
    <font>
      <b/>
      <sz val="11"/>
      <color rgb="FFFFFFFF"/>
      <name val="Calibri"/>
      <charset val="1"/>
    </font>
    <font>
      <b/>
      <sz val="10"/>
      <color rgb="FF424242"/>
      <name val="Calibri"/>
      <charset val="1"/>
    </font>
    <font>
      <b/>
      <sz val="24"/>
      <color rgb="FF1B3A5C"/>
      <name val="Calibri"/>
      <charset val="1"/>
    </font>
    <font>
      <sz val="10"/>
      <name val="Calibri"/>
      <charset val="1"/>
    </font>
    <font>
      <sz val="10"/>
      <color rgb="FF0000FF"/>
      <name val="Calibri"/>
      <charset val="1"/>
    </font>
    <font>
      <i/>
      <sz val="9"/>
      <color rgb="FF616161"/>
      <name val="Calibri"/>
      <charset val="1"/>
    </font>
    <font>
      <sz val="10"/>
      <name val="Arial"/>
      <family val="2"/>
    </font>
    <font>
      <sz val="10"/>
      <color rgb="FF1B3A5C"/>
      <name val="Calibri"/>
      <charset val="1"/>
    </font>
    <font>
      <sz val="10"/>
      <color rgb="FFC62828"/>
      <name val="Calibri"/>
      <charset val="1"/>
    </font>
    <font>
      <b/>
      <sz val="10"/>
      <color rgb="FFFFFFFF"/>
      <name val="Calibri"/>
      <charset val="1"/>
    </font>
    <font>
      <b/>
      <sz val="12"/>
      <color rgb="FFC62828"/>
      <name val="Calibri"/>
      <charset val="1"/>
    </font>
    <font>
      <i/>
      <sz val="10"/>
      <color rgb="FF424242"/>
      <name val="Calibri"/>
      <charset val="1"/>
    </font>
    <font>
      <b/>
      <sz val="12"/>
      <color rgb="FF1B3A5C"/>
      <name val="Calibri"/>
      <charset val="1"/>
    </font>
  </fonts>
  <fills count="12">
    <fill>
      <patternFill patternType="none"/>
    </fill>
    <fill>
      <patternFill patternType="gray125"/>
    </fill>
    <fill>
      <patternFill patternType="solid">
        <fgColor rgb="FF1B3A5C"/>
        <bgColor rgb="FF424242"/>
      </patternFill>
    </fill>
    <fill>
      <patternFill patternType="solid">
        <fgColor rgb="FF2E5C8A"/>
        <bgColor rgb="FF616161"/>
      </patternFill>
    </fill>
    <fill>
      <patternFill patternType="solid">
        <fgColor rgb="FFE8F0FE"/>
        <bgColor rgb="FFF5F5F5"/>
      </patternFill>
    </fill>
    <fill>
      <patternFill patternType="solid">
        <fgColor rgb="FFC9A961"/>
        <bgColor rgb="FFBDBDBD"/>
      </patternFill>
    </fill>
    <fill>
      <patternFill patternType="solid">
        <fgColor rgb="FFFFF8DC"/>
        <bgColor rgb="FFF5F5F5"/>
      </patternFill>
    </fill>
    <fill>
      <patternFill patternType="solid">
        <fgColor rgb="FFF5F5F5"/>
        <bgColor rgb="FFFAFAFA"/>
      </patternFill>
    </fill>
    <fill>
      <patternFill patternType="solid">
        <fgColor rgb="FFDCEDC8"/>
        <bgColor rgb="FFE0E0E0"/>
      </patternFill>
    </fill>
    <fill>
      <patternFill patternType="solid">
        <fgColor rgb="FFFFCDD2"/>
        <bgColor rgb="FFE0E0E0"/>
      </patternFill>
    </fill>
    <fill>
      <patternFill patternType="solid">
        <fgColor rgb="FFE0E0E0"/>
        <bgColor rgb="FFDCEDC8"/>
      </patternFill>
    </fill>
    <fill>
      <patternFill patternType="solid">
        <fgColor rgb="FFEBF7FF"/>
        <bgColor rgb="FFFFFFFF"/>
      </patternFill>
    </fill>
  </fills>
  <borders count="9">
    <border>
      <left/>
      <right/>
      <top/>
      <bottom/>
      <diagonal/>
    </border>
    <border>
      <left style="thin">
        <color rgb="FF424242"/>
      </left>
      <right/>
      <top style="medium">
        <color rgb="FF1B3A5C"/>
      </top>
      <bottom style="medium">
        <color rgb="FF1B3A5C"/>
      </bottom>
      <diagonal/>
    </border>
    <border>
      <left style="thin">
        <color rgb="FFBDBDBD"/>
      </left>
      <right style="thin">
        <color rgb="FFBDBDBD"/>
      </right>
      <top style="thin">
        <color rgb="FFBDBDBD"/>
      </top>
      <bottom/>
      <diagonal/>
    </border>
    <border>
      <left style="thin">
        <color rgb="FFBDBDBD"/>
      </left>
      <right style="thin">
        <color rgb="FFBDBDBD"/>
      </right>
      <top/>
      <bottom style="thin">
        <color rgb="FFBDBDBD"/>
      </bottom>
      <diagonal/>
    </border>
    <border>
      <left style="thin">
        <color rgb="FF424242"/>
      </left>
      <right style="thin">
        <color rgb="FF424242"/>
      </right>
      <top style="medium">
        <color rgb="FF1B3A5C"/>
      </top>
      <bottom style="medium">
        <color rgb="FF1B3A5C"/>
      </bottom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>
      <left style="thin">
        <color rgb="FFBDBDBD"/>
      </left>
      <right/>
      <top style="thin">
        <color rgb="FFBDBDBD"/>
      </top>
      <bottom/>
      <diagonal/>
    </border>
    <border>
      <left style="thin">
        <color rgb="FFBDBDBD"/>
      </left>
      <right/>
      <top style="thin">
        <color rgb="FFBDBDBD"/>
      </top>
      <bottom style="thin">
        <color rgb="FFBDBDBD"/>
      </bottom>
      <diagonal/>
    </border>
    <border>
      <left/>
      <right/>
      <top/>
      <bottom style="medium">
        <color rgb="FF1B3A5C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5" xfId="0" applyFont="1" applyBorder="1" applyAlignment="1">
      <alignment horizontal="left" vertical="center" wrapText="1" indent="1"/>
    </xf>
    <xf numFmtId="165" fontId="3" fillId="4" borderId="5" xfId="0" applyNumberFormat="1" applyFont="1" applyFill="1" applyBorder="1" applyAlignment="1">
      <alignment horizontal="right" vertical="center"/>
    </xf>
    <xf numFmtId="0" fontId="7" fillId="0" borderId="5" xfId="0" applyFont="1" applyBorder="1" applyAlignment="1">
      <alignment horizontal="left" vertical="center" wrapText="1" inden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49" fontId="8" fillId="6" borderId="5" xfId="0" applyNumberFormat="1" applyFont="1" applyFill="1" applyBorder="1" applyAlignment="1">
      <alignment horizontal="right" vertical="center"/>
    </xf>
    <xf numFmtId="167" fontId="8" fillId="6" borderId="5" xfId="0" applyNumberFormat="1" applyFont="1" applyFill="1" applyBorder="1" applyAlignment="1">
      <alignment horizontal="right" vertical="center"/>
    </xf>
    <xf numFmtId="164" fontId="8" fillId="6" borderId="5" xfId="0" applyNumberFormat="1" applyFont="1" applyFill="1" applyBorder="1" applyAlignment="1">
      <alignment horizontal="right" vertical="center"/>
    </xf>
    <xf numFmtId="3" fontId="8" fillId="6" borderId="5" xfId="0" applyNumberFormat="1" applyFont="1" applyFill="1" applyBorder="1" applyAlignment="1">
      <alignment horizontal="right" vertical="center"/>
    </xf>
    <xf numFmtId="166" fontId="8" fillId="6" borderId="5" xfId="0" applyNumberFormat="1" applyFont="1" applyFill="1" applyBorder="1" applyAlignment="1">
      <alignment horizontal="right" vertical="center"/>
    </xf>
    <xf numFmtId="1" fontId="8" fillId="6" borderId="5" xfId="0" applyNumberFormat="1" applyFont="1" applyFill="1" applyBorder="1" applyAlignment="1">
      <alignment horizontal="right" vertical="center"/>
    </xf>
    <xf numFmtId="165" fontId="8" fillId="6" borderId="5" xfId="0" applyNumberFormat="1" applyFont="1" applyFill="1" applyBorder="1" applyAlignment="1">
      <alignment horizontal="right" vertical="center"/>
    </xf>
    <xf numFmtId="168" fontId="8" fillId="6" borderId="5" xfId="0" applyNumberFormat="1" applyFont="1" applyFill="1" applyBorder="1" applyAlignment="1">
      <alignment horizontal="right" vertical="center"/>
    </xf>
    <xf numFmtId="0" fontId="2" fillId="0" borderId="0" xfId="0" applyFont="1"/>
    <xf numFmtId="166" fontId="3" fillId="0" borderId="5" xfId="0" applyNumberFormat="1" applyFont="1" applyBorder="1" applyAlignment="1">
      <alignment horizontal="right" vertical="center"/>
    </xf>
    <xf numFmtId="167" fontId="3" fillId="4" borderId="5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left" vertical="center" wrapText="1" indent="1"/>
    </xf>
    <xf numFmtId="0" fontId="0" fillId="2" borderId="5" xfId="0" applyFill="1" applyBorder="1"/>
    <xf numFmtId="165" fontId="4" fillId="2" borderId="5" xfId="0" applyNumberFormat="1" applyFont="1" applyFill="1" applyBorder="1" applyAlignment="1">
      <alignment horizontal="right" vertical="center"/>
    </xf>
    <xf numFmtId="167" fontId="4" fillId="2" borderId="5" xfId="0" applyNumberFormat="1" applyFont="1" applyFill="1" applyBorder="1" applyAlignment="1">
      <alignment horizontal="right" vertical="center"/>
    </xf>
    <xf numFmtId="166" fontId="3" fillId="4" borderId="5" xfId="0" applyNumberFormat="1" applyFont="1" applyFill="1" applyBorder="1" applyAlignment="1">
      <alignment horizontal="right" vertical="center"/>
    </xf>
    <xf numFmtId="1" fontId="7" fillId="7" borderId="5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 indent="1"/>
    </xf>
    <xf numFmtId="1" fontId="4" fillId="2" borderId="4" xfId="0" applyNumberFormat="1" applyFont="1" applyFill="1" applyBorder="1" applyAlignment="1">
      <alignment horizontal="center" vertical="center" wrapText="1"/>
    </xf>
    <xf numFmtId="165" fontId="11" fillId="4" borderId="5" xfId="0" applyNumberFormat="1" applyFont="1" applyFill="1" applyBorder="1" applyAlignment="1">
      <alignment horizontal="right" vertical="center"/>
    </xf>
    <xf numFmtId="165" fontId="12" fillId="4" borderId="5" xfId="0" applyNumberFormat="1" applyFont="1" applyFill="1" applyBorder="1" applyAlignment="1">
      <alignment horizontal="right" vertical="center"/>
    </xf>
    <xf numFmtId="0" fontId="2" fillId="8" borderId="5" xfId="0" applyFont="1" applyFill="1" applyBorder="1" applyAlignment="1">
      <alignment horizontal="left" vertical="center" wrapText="1" indent="1"/>
    </xf>
    <xf numFmtId="165" fontId="3" fillId="8" borderId="5" xfId="0" applyNumberFormat="1" applyFont="1" applyFill="1" applyBorder="1" applyAlignment="1">
      <alignment horizontal="right" vertical="center"/>
    </xf>
    <xf numFmtId="0" fontId="2" fillId="9" borderId="5" xfId="0" applyFont="1" applyFill="1" applyBorder="1" applyAlignment="1">
      <alignment horizontal="left" vertical="center" wrapText="1" indent="1"/>
    </xf>
    <xf numFmtId="165" fontId="3" fillId="9" borderId="5" xfId="0" applyNumberFormat="1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left" vertical="center" wrapText="1" indent="1"/>
    </xf>
    <xf numFmtId="165" fontId="13" fillId="5" borderId="5" xfId="0" applyNumberFormat="1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top" wrapText="1"/>
    </xf>
    <xf numFmtId="169" fontId="3" fillId="4" borderId="5" xfId="0" applyNumberFormat="1" applyFont="1" applyFill="1" applyBorder="1" applyAlignment="1">
      <alignment horizontal="right" vertical="center"/>
    </xf>
    <xf numFmtId="168" fontId="3" fillId="4" borderId="5" xfId="0" applyNumberFormat="1" applyFont="1" applyFill="1" applyBorder="1" applyAlignment="1">
      <alignment horizontal="right" vertical="center"/>
    </xf>
    <xf numFmtId="170" fontId="3" fillId="4" borderId="5" xfId="0" applyNumberFormat="1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7" fillId="0" borderId="0" xfId="0" applyFont="1"/>
    <xf numFmtId="165" fontId="7" fillId="0" borderId="0" xfId="0" applyNumberFormat="1" applyFont="1"/>
    <xf numFmtId="0" fontId="2" fillId="10" borderId="5" xfId="0" applyFont="1" applyFill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top" wrapText="1"/>
    </xf>
    <xf numFmtId="0" fontId="2" fillId="6" borderId="5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165" fontId="3" fillId="4" borderId="5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 indent="1"/>
    </xf>
    <xf numFmtId="165" fontId="4" fillId="5" borderId="5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left" vertical="center" wrapText="1" indent="1"/>
    </xf>
    <xf numFmtId="0" fontId="4" fillId="3" borderId="4" xfId="0" applyFont="1" applyFill="1" applyBorder="1" applyAlignment="1">
      <alignment horizontal="center" vertical="center" wrapText="1"/>
    </xf>
    <xf numFmtId="165" fontId="6" fillId="11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 indent="1"/>
    </xf>
    <xf numFmtId="0" fontId="5" fillId="11" borderId="2" xfId="0" applyFont="1" applyFill="1" applyBorder="1" applyAlignment="1">
      <alignment horizontal="center" vertical="center" wrapText="1"/>
    </xf>
    <xf numFmtId="166" fontId="6" fillId="11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0" fontId="4" fillId="5" borderId="1" xfId="0" applyFont="1" applyFill="1" applyBorder="1" applyAlignment="1">
      <alignment horizontal="left" vertical="center" wrapText="1" indent="1"/>
    </xf>
    <xf numFmtId="0" fontId="9" fillId="7" borderId="6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center" wrapText="1" indent="1"/>
    </xf>
    <xf numFmtId="0" fontId="2" fillId="0" borderId="0" xfId="0" applyFont="1"/>
    <xf numFmtId="0" fontId="16" fillId="0" borderId="8" xfId="0" applyFont="1" applyBorder="1"/>
    <xf numFmtId="0" fontId="14" fillId="0" borderId="0" xfId="0" applyFont="1"/>
    <xf numFmtId="0" fontId="15" fillId="9" borderId="7" xfId="0" applyFont="1" applyFill="1" applyBorder="1" applyAlignment="1">
      <alignment horizontal="left" vertical="top" wrapText="1"/>
    </xf>
  </cellXfs>
  <cellStyles count="1">
    <cellStyle name="Standard" xfId="0" builtinId="0"/>
  </cellStyles>
  <dxfs count="18">
    <dxf>
      <font>
        <b/>
        <sz val="10"/>
        <color rgb="FFC62828"/>
        <name val="Calibri"/>
        <charset val="1"/>
      </font>
    </dxf>
    <dxf>
      <font>
        <b/>
        <sz val="10"/>
        <color rgb="FF2E7D32"/>
        <name val="Calibri"/>
        <charset val="1"/>
      </font>
    </dxf>
    <dxf>
      <font>
        <b/>
        <sz val="10"/>
        <color rgb="FFC62828"/>
        <name val="Calibri"/>
        <charset val="1"/>
      </font>
    </dxf>
    <dxf>
      <font>
        <b/>
        <sz val="10"/>
        <color rgb="FF2E7D32"/>
        <name val="Calibri"/>
        <charset val="1"/>
      </font>
    </dxf>
    <dxf>
      <font>
        <b/>
        <sz val="10"/>
        <color rgb="FFC62828"/>
        <name val="Calibri"/>
        <charset val="1"/>
      </font>
    </dxf>
    <dxf>
      <font>
        <b/>
        <sz val="10"/>
        <color rgb="FF2E7D32"/>
        <name val="Calibri"/>
        <charset val="1"/>
      </font>
    </dxf>
    <dxf>
      <font>
        <b/>
        <sz val="22"/>
        <color rgb="FFC62828"/>
        <name val="Calibri"/>
        <charset val="1"/>
      </font>
    </dxf>
    <dxf>
      <font>
        <b/>
        <sz val="22"/>
        <color rgb="FF2E7D32"/>
        <name val="Calibri"/>
        <charset val="1"/>
      </font>
    </dxf>
    <dxf>
      <font>
        <b/>
        <sz val="22"/>
        <color rgb="FFC62828"/>
        <name val="Calibri"/>
        <charset val="1"/>
      </font>
    </dxf>
    <dxf>
      <font>
        <b/>
        <sz val="22"/>
        <color rgb="FF2E7D32"/>
        <name val="Calibri"/>
        <charset val="1"/>
      </font>
    </dxf>
    <dxf>
      <font>
        <b/>
        <sz val="22"/>
        <color rgb="FFC62828"/>
        <name val="Calibri"/>
        <charset val="1"/>
      </font>
    </dxf>
    <dxf>
      <font>
        <b/>
        <sz val="22"/>
        <color rgb="FF2E7D32"/>
        <name val="Calibri"/>
        <charset val="1"/>
      </font>
    </dxf>
    <dxf>
      <font>
        <b/>
        <sz val="22"/>
        <color rgb="FFC62828"/>
        <name val="Calibri"/>
        <charset val="1"/>
      </font>
    </dxf>
    <dxf>
      <font>
        <b/>
        <sz val="22"/>
        <color rgb="FF2E7D32"/>
        <name val="Calibri"/>
        <charset val="1"/>
      </font>
    </dxf>
    <dxf>
      <font>
        <b/>
        <sz val="22"/>
        <color rgb="FFC62828"/>
        <name val="Calibri"/>
        <charset val="1"/>
      </font>
    </dxf>
    <dxf>
      <font>
        <b/>
        <sz val="22"/>
        <color rgb="FF2E7D32"/>
        <name val="Calibri"/>
        <charset val="1"/>
      </font>
    </dxf>
    <dxf>
      <font>
        <b/>
        <sz val="22"/>
        <color rgb="FFC62828"/>
        <name val="Calibri"/>
        <charset val="1"/>
      </font>
    </dxf>
    <dxf>
      <font>
        <b/>
        <sz val="22"/>
        <color rgb="FF2E7D32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8DC"/>
      <rgbColor rgb="FFE8F0FE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DCEDC8"/>
      <rgbColor rgb="FFFAFAFA"/>
      <rgbColor rgb="FF99CCFF"/>
      <rgbColor rgb="FFFF99CC"/>
      <rgbColor rgb="FFCC99FF"/>
      <rgbColor rgb="FFFFCDD2"/>
      <rgbColor rgb="FF3366FF"/>
      <rgbColor rgb="FF33CCCC"/>
      <rgbColor rgb="FF99CC00"/>
      <rgbColor rgb="FFFFCC00"/>
      <rgbColor rgb="FFFF9900"/>
      <rgbColor rgb="FFFF6600"/>
      <rgbColor rgb="FF616161"/>
      <rgbColor rgb="FFC9A961"/>
      <rgbColor rgb="FF1B3A5C"/>
      <rgbColor rgb="FF2E7D32"/>
      <rgbColor rgb="FF003300"/>
      <rgbColor rgb="FF333300"/>
      <rgbColor rgb="FFC62828"/>
      <rgbColor rgb="FF993366"/>
      <rgbColor rgb="FF2E5C8A"/>
      <rgbColor rgb="FF4242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F7FF"/>
      <color rgb="FFE5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29"/>
  <sheetViews>
    <sheetView showGridLines="0" tabSelected="1" zoomScaleNormal="100" workbookViewId="0">
      <selection activeCell="P12" sqref="P12"/>
    </sheetView>
  </sheetViews>
  <sheetFormatPr baseColWidth="10" defaultColWidth="8.7109375" defaultRowHeight="15" x14ac:dyDescent="0.25"/>
  <cols>
    <col min="1" max="1" width="1" customWidth="1"/>
    <col min="2" max="9" width="13.42578125" customWidth="1"/>
  </cols>
  <sheetData>
    <row r="2" spans="2:9" ht="21.75" customHeight="1" x14ac:dyDescent="0.25">
      <c r="B2" s="60" t="s">
        <v>284</v>
      </c>
      <c r="C2" s="60"/>
      <c r="D2" s="60"/>
      <c r="E2" s="60"/>
      <c r="F2" s="60"/>
      <c r="G2" s="60"/>
      <c r="H2" s="60"/>
      <c r="I2" s="60"/>
    </row>
    <row r="3" spans="2:9" ht="21.75" customHeight="1" x14ac:dyDescent="0.25">
      <c r="B3" s="60"/>
      <c r="C3" s="60"/>
      <c r="D3" s="60"/>
      <c r="E3" s="60"/>
      <c r="F3" s="60"/>
      <c r="G3" s="60"/>
      <c r="H3" s="60"/>
      <c r="I3" s="60"/>
    </row>
    <row r="5" spans="2:9" x14ac:dyDescent="0.25">
      <c r="B5" s="5" t="s">
        <v>0</v>
      </c>
      <c r="C5" s="61" t="str">
        <f>Eingaben!C6</f>
        <v>Mehrfamilienhaus Beispielstadt</v>
      </c>
      <c r="D5" s="61"/>
      <c r="E5" s="61"/>
      <c r="F5" s="6" t="s">
        <v>1</v>
      </c>
      <c r="G5" s="7">
        <f>Eingaben!C8</f>
        <v>180</v>
      </c>
      <c r="H5" s="6" t="s">
        <v>2</v>
      </c>
      <c r="I5" s="8">
        <f>Eingaben!C9</f>
        <v>3</v>
      </c>
    </row>
    <row r="7" spans="2:9" ht="21.75" customHeight="1" x14ac:dyDescent="0.25">
      <c r="B7" s="57" t="s">
        <v>3</v>
      </c>
      <c r="C7" s="57"/>
      <c r="D7" s="57"/>
      <c r="E7" s="57"/>
      <c r="F7" s="57"/>
      <c r="G7" s="57"/>
      <c r="H7" s="57"/>
      <c r="I7" s="57"/>
    </row>
    <row r="8" spans="2:9" ht="21.75" customHeight="1" x14ac:dyDescent="0.25">
      <c r="B8" s="58" t="s">
        <v>4</v>
      </c>
      <c r="C8" s="58"/>
      <c r="D8" s="58" t="s">
        <v>5</v>
      </c>
      <c r="E8" s="58"/>
      <c r="F8" s="58" t="s">
        <v>6</v>
      </c>
      <c r="G8" s="58"/>
      <c r="H8" s="58" t="s">
        <v>7</v>
      </c>
      <c r="I8" s="58"/>
    </row>
    <row r="9" spans="2:9" ht="37.5" customHeight="1" x14ac:dyDescent="0.25">
      <c r="B9" s="56">
        <f>Eingaben!C14</f>
        <v>420000</v>
      </c>
      <c r="C9" s="56"/>
      <c r="D9" s="56">
        <f>Eingaben!C24</f>
        <v>51094</v>
      </c>
      <c r="E9" s="56"/>
      <c r="F9" s="56">
        <f>Eingaben!C29</f>
        <v>494094</v>
      </c>
      <c r="G9" s="56"/>
      <c r="H9" s="56">
        <f>Eingaben!F7</f>
        <v>98818.8</v>
      </c>
      <c r="I9" s="56"/>
    </row>
    <row r="10" spans="2:9" ht="12.75" customHeight="1" x14ac:dyDescent="0.25"/>
    <row r="11" spans="2:9" ht="12.75" customHeight="1" x14ac:dyDescent="0.25"/>
    <row r="12" spans="2:9" ht="21.75" customHeight="1" x14ac:dyDescent="0.25">
      <c r="B12" s="57" t="s">
        <v>8</v>
      </c>
      <c r="C12" s="57"/>
      <c r="D12" s="57"/>
      <c r="E12" s="57"/>
      <c r="F12" s="57"/>
      <c r="G12" s="57"/>
      <c r="H12" s="57"/>
      <c r="I12" s="57"/>
    </row>
    <row r="13" spans="2:9" ht="21.75" customHeight="1" x14ac:dyDescent="0.25">
      <c r="B13" s="58" t="s">
        <v>9</v>
      </c>
      <c r="C13" s="58"/>
      <c r="D13" s="58" t="s">
        <v>10</v>
      </c>
      <c r="E13" s="58"/>
      <c r="F13" s="58" t="s">
        <v>11</v>
      </c>
      <c r="G13" s="58"/>
      <c r="H13" s="58" t="s">
        <v>12</v>
      </c>
      <c r="I13" s="58"/>
    </row>
    <row r="14" spans="2:9" ht="37.5" customHeight="1" x14ac:dyDescent="0.25">
      <c r="B14" s="59">
        <f>Rendite!C7</f>
        <v>5.6571428571428571E-2</v>
      </c>
      <c r="C14" s="59"/>
      <c r="D14" s="59">
        <f>Rendite!C8</f>
        <v>3.6748472962634643E-2</v>
      </c>
      <c r="E14" s="59"/>
      <c r="F14" s="59">
        <f>Cashflow!C25/Eingaben!F7</f>
        <v>-4.8257635186826776E-2</v>
      </c>
      <c r="G14" s="59"/>
      <c r="H14" s="59">
        <f>IRR(Rendite!C51:C66)</f>
        <v>5.2955773442783016E-2</v>
      </c>
      <c r="I14" s="59"/>
    </row>
    <row r="15" spans="2:9" ht="12.75" customHeight="1" x14ac:dyDescent="0.25"/>
    <row r="16" spans="2:9" ht="12.75" customHeight="1" x14ac:dyDescent="0.25"/>
    <row r="17" spans="2:9" ht="21.75" customHeight="1" x14ac:dyDescent="0.25">
      <c r="B17" s="57" t="s">
        <v>13</v>
      </c>
      <c r="C17" s="57"/>
      <c r="D17" s="57"/>
      <c r="E17" s="57"/>
      <c r="F17" s="57"/>
      <c r="G17" s="57"/>
      <c r="H17" s="57"/>
      <c r="I17" s="57"/>
    </row>
    <row r="18" spans="2:9" ht="21.75" customHeight="1" x14ac:dyDescent="0.25">
      <c r="B18" s="58" t="s">
        <v>14</v>
      </c>
      <c r="C18" s="58"/>
      <c r="D18" s="58" t="s">
        <v>15</v>
      </c>
      <c r="E18" s="58"/>
      <c r="F18" s="58" t="s">
        <v>16</v>
      </c>
      <c r="G18" s="58"/>
      <c r="H18" s="58" t="s">
        <v>17</v>
      </c>
      <c r="I18" s="58"/>
    </row>
    <row r="19" spans="2:9" ht="37.5" customHeight="1" x14ac:dyDescent="0.25">
      <c r="B19" s="56">
        <f>Cashflow!C10</f>
        <v>23047.200000000001</v>
      </c>
      <c r="C19" s="56"/>
      <c r="D19" s="56">
        <f>Cashflow!C23</f>
        <v>-22925.961599999999</v>
      </c>
      <c r="E19" s="56"/>
      <c r="F19" s="56">
        <f>Cashflow!C25</f>
        <v>-4768.761599999998</v>
      </c>
      <c r="G19" s="56"/>
      <c r="H19" s="56">
        <f>Cashflow!C35</f>
        <v>-3263.7934079999986</v>
      </c>
      <c r="I19" s="56"/>
    </row>
    <row r="20" spans="2:9" ht="12.75" customHeight="1" x14ac:dyDescent="0.25"/>
    <row r="21" spans="2:9" ht="12.75" customHeight="1" x14ac:dyDescent="0.25"/>
    <row r="22" spans="2:9" ht="21.75" customHeight="1" x14ac:dyDescent="0.25">
      <c r="B22" s="57" t="s">
        <v>18</v>
      </c>
      <c r="C22" s="57"/>
      <c r="D22" s="57"/>
      <c r="E22" s="57"/>
      <c r="F22" s="57"/>
      <c r="G22" s="57"/>
      <c r="H22" s="57"/>
      <c r="I22" s="57"/>
    </row>
    <row r="23" spans="2:9" ht="15" customHeight="1" x14ac:dyDescent="0.25">
      <c r="B23" s="54" t="s">
        <v>19</v>
      </c>
      <c r="C23" s="54"/>
      <c r="D23" s="54"/>
      <c r="E23" s="54"/>
      <c r="F23" s="54"/>
      <c r="G23" s="55" t="s">
        <v>20</v>
      </c>
      <c r="H23" s="55"/>
      <c r="I23" s="55"/>
    </row>
    <row r="24" spans="2:9" ht="21.75" customHeight="1" x14ac:dyDescent="0.25">
      <c r="B24" s="50" t="s">
        <v>21</v>
      </c>
      <c r="C24" s="50"/>
      <c r="D24" s="50"/>
      <c r="E24" s="50"/>
      <c r="F24" s="50"/>
      <c r="G24" s="51">
        <f>Eingaben!F7</f>
        <v>98818.8</v>
      </c>
      <c r="H24" s="51"/>
      <c r="I24" s="51"/>
    </row>
    <row r="25" spans="2:9" ht="21.75" customHeight="1" x14ac:dyDescent="0.25">
      <c r="B25" s="50" t="s">
        <v>22</v>
      </c>
      <c r="C25" s="50"/>
      <c r="D25" s="50"/>
      <c r="E25" s="50"/>
      <c r="F25" s="50"/>
      <c r="G25" s="51">
        <f>Eingaben!C14*(1+Eingaben!C34)^15</f>
        <v>525097.46799483406</v>
      </c>
      <c r="H25" s="51"/>
      <c r="I25" s="51"/>
    </row>
    <row r="26" spans="2:9" ht="21.75" customHeight="1" x14ac:dyDescent="0.25">
      <c r="B26" s="50" t="s">
        <v>23</v>
      </c>
      <c r="C26" s="50"/>
      <c r="D26" s="50"/>
      <c r="E26" s="50"/>
      <c r="F26" s="50"/>
      <c r="G26" s="51">
        <f>Tilgungsplan!G24</f>
        <v>239310.68446333293</v>
      </c>
      <c r="H26" s="51"/>
      <c r="I26" s="51"/>
    </row>
    <row r="27" spans="2:9" ht="21.75" customHeight="1" x14ac:dyDescent="0.25">
      <c r="B27" s="50" t="s">
        <v>24</v>
      </c>
      <c r="C27" s="50"/>
      <c r="D27" s="50"/>
      <c r="E27" s="50"/>
      <c r="F27" s="50"/>
      <c r="G27" s="51">
        <f>Cashflow!Q38</f>
        <v>-48676.143354743865</v>
      </c>
      <c r="H27" s="51"/>
      <c r="I27" s="51"/>
    </row>
    <row r="28" spans="2:9" ht="21.75" customHeight="1" x14ac:dyDescent="0.25">
      <c r="B28" s="52" t="s">
        <v>25</v>
      </c>
      <c r="C28" s="52"/>
      <c r="D28" s="52"/>
      <c r="E28" s="52"/>
      <c r="F28" s="52"/>
      <c r="G28" s="53">
        <f>G25+G27-G26</f>
        <v>237110.6401767573</v>
      </c>
      <c r="H28" s="53"/>
      <c r="I28" s="53"/>
    </row>
    <row r="29" spans="2:9" ht="21.75" customHeight="1" x14ac:dyDescent="0.25">
      <c r="B29" s="50" t="s">
        <v>26</v>
      </c>
      <c r="C29" s="50"/>
      <c r="D29" s="50"/>
      <c r="E29" s="50"/>
      <c r="F29" s="50"/>
      <c r="G29" s="51">
        <f>G28-G24</f>
        <v>138291.84017675731</v>
      </c>
      <c r="H29" s="51"/>
      <c r="I29" s="51"/>
    </row>
  </sheetData>
  <mergeCells count="44">
    <mergeCell ref="B2:I3"/>
    <mergeCell ref="C5:E5"/>
    <mergeCell ref="B7:I7"/>
    <mergeCell ref="B8:C8"/>
    <mergeCell ref="D8:E8"/>
    <mergeCell ref="F8:G8"/>
    <mergeCell ref="H8:I8"/>
    <mergeCell ref="B9:C9"/>
    <mergeCell ref="D9:E9"/>
    <mergeCell ref="F9:G9"/>
    <mergeCell ref="H9:I9"/>
    <mergeCell ref="B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2:I22"/>
    <mergeCell ref="B23:F23"/>
    <mergeCell ref="G23:I23"/>
    <mergeCell ref="B24:F24"/>
    <mergeCell ref="G24:I24"/>
    <mergeCell ref="B25:F25"/>
    <mergeCell ref="G25:I25"/>
    <mergeCell ref="B29:F29"/>
    <mergeCell ref="G29:I29"/>
    <mergeCell ref="B26:F26"/>
    <mergeCell ref="G26:I26"/>
    <mergeCell ref="B27:F27"/>
    <mergeCell ref="G27:I27"/>
    <mergeCell ref="B28:F28"/>
    <mergeCell ref="G28:I28"/>
  </mergeCells>
  <conditionalFormatting sqref="C14">
    <cfRule type="cellIs" dxfId="17" priority="2" operator="greaterThan">
      <formula>0</formula>
    </cfRule>
    <cfRule type="cellIs" dxfId="16" priority="3" operator="lessThan">
      <formula>0</formula>
    </cfRule>
  </conditionalFormatting>
  <conditionalFormatting sqref="E14">
    <cfRule type="cellIs" dxfId="15" priority="4" operator="greaterThan">
      <formula>0</formula>
    </cfRule>
    <cfRule type="cellIs" dxfId="14" priority="5" operator="lessThan">
      <formula>0</formula>
    </cfRule>
  </conditionalFormatting>
  <conditionalFormatting sqref="G14">
    <cfRule type="cellIs" dxfId="13" priority="6" operator="greaterThan">
      <formula>0</formula>
    </cfRule>
    <cfRule type="cellIs" dxfId="12" priority="7" operator="lessThan">
      <formula>0</formula>
    </cfRule>
  </conditionalFormatting>
  <conditionalFormatting sqref="G19">
    <cfRule type="cellIs" dxfId="11" priority="10" operator="greaterThan">
      <formula>0</formula>
    </cfRule>
    <cfRule type="cellIs" dxfId="10" priority="11" operator="lessThan">
      <formula>0</formula>
    </cfRule>
  </conditionalFormatting>
  <conditionalFormatting sqref="I14">
    <cfRule type="cellIs" dxfId="9" priority="8" operator="greaterThan">
      <formula>0</formula>
    </cfRule>
    <cfRule type="cellIs" dxfId="8" priority="9" operator="lessThan">
      <formula>0</formula>
    </cfRule>
  </conditionalFormatting>
  <conditionalFormatting sqref="I19">
    <cfRule type="cellIs" dxfId="7" priority="12" operator="greaterThan">
      <formula>0</formula>
    </cfRule>
    <cfRule type="cellIs" dxfId="6" priority="13" operator="lessThan">
      <formula>0</formula>
    </cfRule>
  </conditionalFormatting>
  <printOptions horizontalCentered="1"/>
  <pageMargins left="0.75" right="0.75" top="1" bottom="1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38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38" customWidth="1"/>
    <col min="3" max="3" width="16" customWidth="1"/>
    <col min="4" max="4" width="4" customWidth="1"/>
    <col min="5" max="5" width="38" customWidth="1"/>
    <col min="6" max="6" width="16" customWidth="1"/>
  </cols>
  <sheetData>
    <row r="2" spans="2:6" ht="21.75" customHeight="1" x14ac:dyDescent="0.25">
      <c r="B2" s="60" t="s">
        <v>27</v>
      </c>
      <c r="C2" s="60"/>
      <c r="D2" s="60"/>
      <c r="E2" s="60"/>
      <c r="F2" s="60"/>
    </row>
    <row r="3" spans="2:6" ht="21.75" customHeight="1" x14ac:dyDescent="0.25">
      <c r="B3" s="60"/>
      <c r="C3" s="60"/>
      <c r="D3" s="60"/>
      <c r="E3" s="60"/>
      <c r="F3" s="60"/>
    </row>
    <row r="5" spans="2:6" ht="21.75" customHeight="1" x14ac:dyDescent="0.25">
      <c r="B5" s="57" t="s">
        <v>28</v>
      </c>
      <c r="C5" s="57"/>
      <c r="E5" s="57" t="s">
        <v>29</v>
      </c>
      <c r="F5" s="57"/>
    </row>
    <row r="6" spans="2:6" x14ac:dyDescent="0.25">
      <c r="B6" s="3" t="s">
        <v>30</v>
      </c>
      <c r="C6" s="9" t="s">
        <v>31</v>
      </c>
      <c r="E6" s="3" t="s">
        <v>32</v>
      </c>
      <c r="F6" s="10">
        <v>0.2</v>
      </c>
    </row>
    <row r="7" spans="2:6" x14ac:dyDescent="0.25">
      <c r="B7" s="3" t="s">
        <v>33</v>
      </c>
      <c r="C7" s="9" t="s">
        <v>34</v>
      </c>
      <c r="E7" s="1" t="s">
        <v>35</v>
      </c>
      <c r="F7" s="2">
        <f>F29*F6</f>
        <v>98818.8</v>
      </c>
    </row>
    <row r="8" spans="2:6" x14ac:dyDescent="0.25">
      <c r="B8" s="3" t="s">
        <v>36</v>
      </c>
      <c r="C8" s="11">
        <v>180</v>
      </c>
      <c r="E8" s="1" t="s">
        <v>37</v>
      </c>
      <c r="F8" s="2">
        <f>F29-F7</f>
        <v>395275.2</v>
      </c>
    </row>
    <row r="9" spans="2:6" x14ac:dyDescent="0.25">
      <c r="B9" s="3" t="s">
        <v>38</v>
      </c>
      <c r="C9" s="12">
        <v>3</v>
      </c>
      <c r="E9" s="3" t="s">
        <v>39</v>
      </c>
      <c r="F9" s="13">
        <v>3.7999999999999999E-2</v>
      </c>
    </row>
    <row r="10" spans="2:6" x14ac:dyDescent="0.25">
      <c r="B10" s="3" t="s">
        <v>40</v>
      </c>
      <c r="C10" s="14">
        <v>1985</v>
      </c>
      <c r="E10" s="3" t="s">
        <v>41</v>
      </c>
      <c r="F10" s="10">
        <v>0.02</v>
      </c>
    </row>
    <row r="11" spans="2:6" x14ac:dyDescent="0.25">
      <c r="B11" s="3" t="s">
        <v>42</v>
      </c>
      <c r="C11" s="14">
        <v>2026</v>
      </c>
      <c r="E11" s="3" t="s">
        <v>43</v>
      </c>
      <c r="F11" s="12">
        <v>10</v>
      </c>
    </row>
    <row r="12" spans="2:6" x14ac:dyDescent="0.25">
      <c r="E12" s="3" t="s">
        <v>44</v>
      </c>
      <c r="F12" s="12">
        <v>30</v>
      </c>
    </row>
    <row r="13" spans="2:6" ht="21.75" customHeight="1" x14ac:dyDescent="0.25">
      <c r="B13" s="57" t="s">
        <v>45</v>
      </c>
      <c r="C13" s="57"/>
      <c r="E13" s="1" t="s">
        <v>46</v>
      </c>
      <c r="F13" s="2">
        <f>F8*(F9+F10)</f>
        <v>22925.961599999999</v>
      </c>
    </row>
    <row r="14" spans="2:6" x14ac:dyDescent="0.25">
      <c r="B14" s="3" t="s">
        <v>47</v>
      </c>
      <c r="C14" s="15">
        <v>420000</v>
      </c>
      <c r="E14" s="1" t="s">
        <v>48</v>
      </c>
      <c r="F14" s="2">
        <f>F13/12</f>
        <v>1910.4967999999999</v>
      </c>
    </row>
    <row r="15" spans="2:6" x14ac:dyDescent="0.25">
      <c r="B15" s="3" t="s">
        <v>49</v>
      </c>
      <c r="C15" s="10">
        <v>0.2</v>
      </c>
    </row>
    <row r="16" spans="2:6" ht="21.75" customHeight="1" x14ac:dyDescent="0.25">
      <c r="B16" s="1" t="s">
        <v>50</v>
      </c>
      <c r="C16" s="2">
        <f>C14*C15</f>
        <v>84000</v>
      </c>
      <c r="E16" s="57" t="s">
        <v>51</v>
      </c>
      <c r="F16" s="57"/>
    </row>
    <row r="17" spans="2:6" x14ac:dyDescent="0.25">
      <c r="B17" s="1" t="s">
        <v>52</v>
      </c>
      <c r="C17" s="2">
        <f>C14-C16</f>
        <v>336000</v>
      </c>
      <c r="E17" s="3" t="s">
        <v>53</v>
      </c>
      <c r="F17" s="16">
        <v>11</v>
      </c>
    </row>
    <row r="18" spans="2:6" x14ac:dyDescent="0.25">
      <c r="E18" s="1" t="s">
        <v>54</v>
      </c>
      <c r="F18" s="2">
        <f>C8*F17</f>
        <v>1980</v>
      </c>
    </row>
    <row r="19" spans="2:6" ht="21.75" customHeight="1" x14ac:dyDescent="0.25">
      <c r="B19" s="57" t="s">
        <v>55</v>
      </c>
      <c r="C19" s="57"/>
      <c r="E19" s="1" t="s">
        <v>56</v>
      </c>
      <c r="F19" s="2">
        <f>F18*12</f>
        <v>23760</v>
      </c>
    </row>
    <row r="20" spans="2:6" x14ac:dyDescent="0.25">
      <c r="B20" s="3" t="s">
        <v>57</v>
      </c>
      <c r="C20" s="10">
        <v>0.06</v>
      </c>
      <c r="E20" s="3" t="s">
        <v>58</v>
      </c>
      <c r="F20" s="13">
        <v>1.4999999999999999E-2</v>
      </c>
    </row>
    <row r="21" spans="2:6" x14ac:dyDescent="0.25">
      <c r="B21" s="3" t="s">
        <v>59</v>
      </c>
      <c r="C21" s="10">
        <v>0.02</v>
      </c>
      <c r="E21" s="3" t="s">
        <v>60</v>
      </c>
      <c r="F21" s="10">
        <v>0.03</v>
      </c>
    </row>
    <row r="22" spans="2:6" x14ac:dyDescent="0.25">
      <c r="B22" s="3" t="s">
        <v>61</v>
      </c>
      <c r="C22" s="10">
        <v>3.5700000000000003E-2</v>
      </c>
    </row>
    <row r="23" spans="2:6" ht="21.75" customHeight="1" x14ac:dyDescent="0.25">
      <c r="B23" s="3" t="s">
        <v>62</v>
      </c>
      <c r="C23" s="15">
        <v>2500</v>
      </c>
      <c r="E23" s="57" t="s">
        <v>63</v>
      </c>
      <c r="F23" s="57"/>
    </row>
    <row r="24" spans="2:6" x14ac:dyDescent="0.25">
      <c r="B24" s="1" t="s">
        <v>64</v>
      </c>
      <c r="C24" s="2">
        <f>C14*(C20+C21+C22)+C23</f>
        <v>51094</v>
      </c>
      <c r="E24" s="3" t="s">
        <v>65</v>
      </c>
      <c r="F24" s="15">
        <v>1800</v>
      </c>
    </row>
    <row r="25" spans="2:6" x14ac:dyDescent="0.25">
      <c r="E25" s="3" t="s">
        <v>66</v>
      </c>
      <c r="F25" s="16">
        <v>12.5</v>
      </c>
    </row>
    <row r="26" spans="2:6" ht="21.75" customHeight="1" x14ac:dyDescent="0.25">
      <c r="B26" s="57" t="s">
        <v>67</v>
      </c>
      <c r="C26" s="57"/>
      <c r="E26" s="1" t="s">
        <v>68</v>
      </c>
      <c r="F26" s="2">
        <f>F25*C8</f>
        <v>2250</v>
      </c>
    </row>
    <row r="27" spans="2:6" x14ac:dyDescent="0.25">
      <c r="B27" s="3" t="s">
        <v>69</v>
      </c>
      <c r="C27" s="15">
        <v>18000</v>
      </c>
      <c r="E27" s="3" t="s">
        <v>70</v>
      </c>
      <c r="F27" s="15">
        <v>280</v>
      </c>
    </row>
    <row r="28" spans="2:6" x14ac:dyDescent="0.25">
      <c r="B28" s="3" t="s">
        <v>71</v>
      </c>
      <c r="C28" s="15">
        <v>5000</v>
      </c>
      <c r="E28" s="1" t="s">
        <v>72</v>
      </c>
      <c r="F28" s="2">
        <f>F27*C9</f>
        <v>840</v>
      </c>
    </row>
    <row r="29" spans="2:6" x14ac:dyDescent="0.25">
      <c r="B29" s="1" t="s">
        <v>73</v>
      </c>
      <c r="C29" s="2">
        <f>C14+C24+C27+C28</f>
        <v>494094</v>
      </c>
      <c r="E29" s="1" t="s">
        <v>74</v>
      </c>
      <c r="F29" s="2">
        <f>C29</f>
        <v>494094</v>
      </c>
    </row>
    <row r="31" spans="2:6" ht="21.75" customHeight="1" x14ac:dyDescent="0.25">
      <c r="B31" s="62" t="s">
        <v>75</v>
      </c>
      <c r="C31" s="62"/>
      <c r="D31" s="62"/>
      <c r="E31" s="62"/>
      <c r="F31" s="62"/>
    </row>
    <row r="32" spans="2:6" x14ac:dyDescent="0.25">
      <c r="B32" s="3" t="s">
        <v>76</v>
      </c>
      <c r="C32" s="13">
        <v>0.02</v>
      </c>
      <c r="E32" s="1" t="s">
        <v>77</v>
      </c>
      <c r="F32" s="2">
        <f>C17*C32</f>
        <v>6720</v>
      </c>
    </row>
    <row r="33" spans="2:6" x14ac:dyDescent="0.25">
      <c r="B33" s="3" t="s">
        <v>78</v>
      </c>
      <c r="C33" s="10">
        <v>0.42</v>
      </c>
      <c r="E33" s="3" t="s">
        <v>79</v>
      </c>
      <c r="F33" s="13">
        <v>0.02</v>
      </c>
    </row>
    <row r="34" spans="2:6" x14ac:dyDescent="0.25">
      <c r="B34" s="3" t="s">
        <v>80</v>
      </c>
      <c r="C34" s="13">
        <v>1.4999999999999999E-2</v>
      </c>
      <c r="E34" s="3" t="s">
        <v>81</v>
      </c>
      <c r="F34" s="10">
        <v>0.05</v>
      </c>
    </row>
    <row r="36" spans="2:6" ht="15" customHeight="1" x14ac:dyDescent="0.25">
      <c r="B36" s="63" t="s">
        <v>82</v>
      </c>
      <c r="C36" s="63"/>
      <c r="D36" s="63"/>
      <c r="E36" s="63"/>
      <c r="F36" s="63"/>
    </row>
    <row r="37" spans="2:6" x14ac:dyDescent="0.25">
      <c r="B37" s="63"/>
      <c r="C37" s="63"/>
      <c r="D37" s="63"/>
      <c r="E37" s="63"/>
      <c r="F37" s="63"/>
    </row>
    <row r="38" spans="2:6" x14ac:dyDescent="0.25">
      <c r="B38" s="63"/>
      <c r="C38" s="63"/>
      <c r="D38" s="63"/>
      <c r="E38" s="63"/>
      <c r="F38" s="63"/>
    </row>
  </sheetData>
  <mergeCells count="10">
    <mergeCell ref="B2:F3"/>
    <mergeCell ref="B5:C5"/>
    <mergeCell ref="E5:F5"/>
    <mergeCell ref="B13:C13"/>
    <mergeCell ref="E16:F16"/>
    <mergeCell ref="B19:C19"/>
    <mergeCell ref="E23:F23"/>
    <mergeCell ref="B26:C26"/>
    <mergeCell ref="B31:F31"/>
    <mergeCell ref="B36:F38"/>
  </mergeCells>
  <printOptions horizontalCentered="1"/>
  <pageMargins left="0.75" right="0.75" top="1" bottom="1" header="0.511811023622047" footer="0.511811023622047"/>
  <pageSetup paperSize="9" orientation="landscape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E25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40" customWidth="1"/>
    <col min="3" max="3" width="14" customWidth="1"/>
    <col min="4" max="4" width="16" customWidth="1"/>
    <col min="5" max="5" width="14" customWidth="1"/>
  </cols>
  <sheetData>
    <row r="2" spans="2:5" ht="21.75" customHeight="1" x14ac:dyDescent="0.25">
      <c r="B2" s="60" t="s">
        <v>83</v>
      </c>
      <c r="C2" s="60"/>
      <c r="D2" s="60"/>
      <c r="E2" s="60"/>
    </row>
    <row r="3" spans="2:5" ht="21.75" customHeight="1" x14ac:dyDescent="0.25">
      <c r="B3" s="60"/>
      <c r="C3" s="60"/>
      <c r="D3" s="60"/>
      <c r="E3" s="60"/>
    </row>
    <row r="5" spans="2:5" x14ac:dyDescent="0.25">
      <c r="B5" s="65" t="s">
        <v>84</v>
      </c>
      <c r="C5" s="65"/>
      <c r="D5" s="2">
        <f>Eingaben!C14</f>
        <v>420000</v>
      </c>
    </row>
    <row r="7" spans="2:5" ht="21.75" customHeight="1" x14ac:dyDescent="0.25">
      <c r="B7" s="57" t="s">
        <v>85</v>
      </c>
      <c r="C7" s="57"/>
      <c r="D7" s="57"/>
      <c r="E7" s="57"/>
    </row>
    <row r="8" spans="2:5" ht="21.75" customHeight="1" x14ac:dyDescent="0.25">
      <c r="B8" s="4" t="s">
        <v>19</v>
      </c>
      <c r="C8" s="4" t="s">
        <v>86</v>
      </c>
      <c r="D8" s="4" t="s">
        <v>87</v>
      </c>
      <c r="E8" s="4" t="s">
        <v>88</v>
      </c>
    </row>
    <row r="9" spans="2:5" x14ac:dyDescent="0.25">
      <c r="B9" s="3" t="s">
        <v>89</v>
      </c>
      <c r="C9" s="18">
        <f>Eingaben!C20</f>
        <v>0.06</v>
      </c>
      <c r="D9" s="2">
        <f>D5*C9</f>
        <v>25200</v>
      </c>
      <c r="E9" s="19">
        <f>D9/$D$13</f>
        <v>0.49320859592124322</v>
      </c>
    </row>
    <row r="10" spans="2:5" x14ac:dyDescent="0.25">
      <c r="B10" s="3" t="s">
        <v>90</v>
      </c>
      <c r="C10" s="18">
        <f>Eingaben!C21</f>
        <v>0.02</v>
      </c>
      <c r="D10" s="2">
        <f>D5*C10</f>
        <v>8400</v>
      </c>
      <c r="E10" s="19">
        <f>D10/$D$13</f>
        <v>0.16440286530708106</v>
      </c>
    </row>
    <row r="11" spans="2:5" x14ac:dyDescent="0.25">
      <c r="B11" s="3" t="s">
        <v>91</v>
      </c>
      <c r="C11" s="18">
        <f>Eingaben!C22</f>
        <v>3.5700000000000003E-2</v>
      </c>
      <c r="D11" s="2">
        <f>D5*C11</f>
        <v>14994.000000000002</v>
      </c>
      <c r="E11" s="19">
        <f>D11/$D$13</f>
        <v>0.29345911457313972</v>
      </c>
    </row>
    <row r="12" spans="2:5" x14ac:dyDescent="0.25">
      <c r="B12" s="3" t="s">
        <v>62</v>
      </c>
      <c r="C12" s="20" t="s">
        <v>92</v>
      </c>
      <c r="D12" s="2">
        <f>Eingaben!C23</f>
        <v>2500</v>
      </c>
      <c r="E12" s="19">
        <f>D12/$D$13</f>
        <v>4.8929424198536034E-2</v>
      </c>
    </row>
    <row r="13" spans="2:5" ht="25.5" customHeight="1" x14ac:dyDescent="0.25">
      <c r="B13" s="21" t="s">
        <v>93</v>
      </c>
      <c r="C13" s="22"/>
      <c r="D13" s="23">
        <f>SUM(D9:D12)</f>
        <v>51094</v>
      </c>
      <c r="E13" s="24">
        <f>D13/D5</f>
        <v>0.12165238095238096</v>
      </c>
    </row>
    <row r="15" spans="2:5" ht="21.75" customHeight="1" x14ac:dyDescent="0.25">
      <c r="B15" s="57" t="s">
        <v>94</v>
      </c>
      <c r="C15" s="57"/>
      <c r="D15" s="57"/>
      <c r="E15" s="57"/>
    </row>
    <row r="16" spans="2:5" ht="15" customHeight="1" x14ac:dyDescent="0.25">
      <c r="B16" s="50" t="s">
        <v>95</v>
      </c>
      <c r="C16" s="50"/>
      <c r="D16" s="2">
        <f>Eingaben!C14</f>
        <v>420000</v>
      </c>
      <c r="E16" s="19">
        <f>D16/$D$20</f>
        <v>0.85004068051828197</v>
      </c>
    </row>
    <row r="17" spans="2:5" ht="15" customHeight="1" x14ac:dyDescent="0.25">
      <c r="B17" s="50" t="s">
        <v>96</v>
      </c>
      <c r="C17" s="50"/>
      <c r="D17" s="2">
        <f>D13</f>
        <v>51094</v>
      </c>
      <c r="E17" s="19">
        <f>D17/$D$20</f>
        <v>0.10340947269143118</v>
      </c>
    </row>
    <row r="18" spans="2:5" ht="15" customHeight="1" x14ac:dyDescent="0.25">
      <c r="B18" s="50" t="s">
        <v>97</v>
      </c>
      <c r="C18" s="50"/>
      <c r="D18" s="2">
        <f>Eingaben!C27</f>
        <v>18000</v>
      </c>
      <c r="E18" s="19">
        <f>D18/$D$20</f>
        <v>3.6430314879354941E-2</v>
      </c>
    </row>
    <row r="19" spans="2:5" ht="15" customHeight="1" x14ac:dyDescent="0.25">
      <c r="B19" s="50" t="s">
        <v>98</v>
      </c>
      <c r="C19" s="50"/>
      <c r="D19" s="2">
        <f>Eingaben!C28</f>
        <v>5000</v>
      </c>
      <c r="E19" s="19">
        <f>D19/$D$20</f>
        <v>1.0119531910931928E-2</v>
      </c>
    </row>
    <row r="20" spans="2:5" ht="25.5" customHeight="1" x14ac:dyDescent="0.25">
      <c r="B20" s="64" t="s">
        <v>99</v>
      </c>
      <c r="C20" s="64"/>
      <c r="D20" s="23">
        <f>SUM(D16:D19)</f>
        <v>494094</v>
      </c>
      <c r="E20" s="24">
        <f>D20/D20</f>
        <v>1</v>
      </c>
    </row>
    <row r="22" spans="2:5" ht="21.75" customHeight="1" x14ac:dyDescent="0.25">
      <c r="B22" s="57" t="s">
        <v>100</v>
      </c>
      <c r="C22" s="57"/>
      <c r="D22" s="57"/>
      <c r="E22" s="57"/>
    </row>
    <row r="23" spans="2:5" ht="15" customHeight="1" x14ac:dyDescent="0.25">
      <c r="B23" s="50" t="s">
        <v>101</v>
      </c>
      <c r="C23" s="50"/>
      <c r="D23" s="2">
        <f>Eingaben!F7</f>
        <v>98818.8</v>
      </c>
      <c r="E23" s="19">
        <f>D23/$D$25</f>
        <v>0.2</v>
      </c>
    </row>
    <row r="24" spans="2:5" ht="15" customHeight="1" x14ac:dyDescent="0.25">
      <c r="B24" s="50" t="s">
        <v>102</v>
      </c>
      <c r="C24" s="50"/>
      <c r="D24" s="2">
        <f>Eingaben!F8</f>
        <v>395275.2</v>
      </c>
      <c r="E24" s="19">
        <f>D24/$D$25</f>
        <v>0.8</v>
      </c>
    </row>
    <row r="25" spans="2:5" ht="25.5" customHeight="1" x14ac:dyDescent="0.25">
      <c r="B25" s="64" t="s">
        <v>103</v>
      </c>
      <c r="C25" s="64"/>
      <c r="D25" s="23">
        <f>SUM(D23:D24)</f>
        <v>494094</v>
      </c>
      <c r="E25" s="24">
        <f>D25/D25</f>
        <v>1</v>
      </c>
    </row>
  </sheetData>
  <mergeCells count="13">
    <mergeCell ref="B2:E3"/>
    <mergeCell ref="B5:C5"/>
    <mergeCell ref="B7:E7"/>
    <mergeCell ref="B15:E15"/>
    <mergeCell ref="B16:C16"/>
    <mergeCell ref="B23:C23"/>
    <mergeCell ref="B24:C24"/>
    <mergeCell ref="B25:C25"/>
    <mergeCell ref="B17:C17"/>
    <mergeCell ref="B18:C18"/>
    <mergeCell ref="B19:C19"/>
    <mergeCell ref="B20:C20"/>
    <mergeCell ref="B22:E22"/>
  </mergeCells>
  <printOptions horizontalCentered="1"/>
  <pageMargins left="0.75" right="0.75" top="1" bottom="1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G40"/>
  <sheetViews>
    <sheetView showGridLines="0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8.7109375" defaultRowHeight="15" x14ac:dyDescent="0.25"/>
  <cols>
    <col min="1" max="1" width="3" customWidth="1"/>
    <col min="2" max="2" width="7" customWidth="1"/>
    <col min="3" max="7" width="16" customWidth="1"/>
  </cols>
  <sheetData>
    <row r="2" spans="2:7" ht="21.75" customHeight="1" x14ac:dyDescent="0.25">
      <c r="B2" s="60" t="s">
        <v>104</v>
      </c>
      <c r="C2" s="60"/>
      <c r="D2" s="60"/>
      <c r="E2" s="60"/>
      <c r="F2" s="60"/>
      <c r="G2" s="60"/>
    </row>
    <row r="3" spans="2:7" ht="21.75" customHeight="1" x14ac:dyDescent="0.25">
      <c r="B3" s="60"/>
      <c r="C3" s="60"/>
      <c r="D3" s="60"/>
      <c r="E3" s="60"/>
      <c r="F3" s="60"/>
      <c r="G3" s="60"/>
    </row>
    <row r="5" spans="2:7" x14ac:dyDescent="0.25">
      <c r="B5" s="17" t="s">
        <v>105</v>
      </c>
      <c r="C5" s="2">
        <f>Eingaben!F8</f>
        <v>395275.2</v>
      </c>
      <c r="E5" s="6" t="s">
        <v>106</v>
      </c>
      <c r="F5" s="2">
        <f>Eingaben!F13</f>
        <v>22925.961599999999</v>
      </c>
    </row>
    <row r="6" spans="2:7" x14ac:dyDescent="0.25">
      <c r="B6" s="17" t="s">
        <v>107</v>
      </c>
      <c r="C6" s="25">
        <f>Eingaben!F9</f>
        <v>3.7999999999999999E-2</v>
      </c>
      <c r="E6" s="6" t="s">
        <v>108</v>
      </c>
      <c r="F6" s="19">
        <f>Eingaben!F10</f>
        <v>0.02</v>
      </c>
    </row>
    <row r="8" spans="2:7" ht="21.75" customHeight="1" x14ac:dyDescent="0.25">
      <c r="B8" s="57" t="s">
        <v>109</v>
      </c>
      <c r="C8" s="57"/>
      <c r="D8" s="57"/>
      <c r="E8" s="57"/>
      <c r="F8" s="57"/>
      <c r="G8" s="57"/>
    </row>
    <row r="9" spans="2:7" ht="31.5" customHeight="1" x14ac:dyDescent="0.25">
      <c r="B9" s="4" t="s">
        <v>110</v>
      </c>
      <c r="C9" s="4" t="s">
        <v>111</v>
      </c>
      <c r="D9" s="4" t="s">
        <v>112</v>
      </c>
      <c r="E9" s="4" t="s">
        <v>113</v>
      </c>
      <c r="F9" s="4" t="s">
        <v>114</v>
      </c>
      <c r="G9" s="4" t="s">
        <v>115</v>
      </c>
    </row>
    <row r="10" spans="2:7" x14ac:dyDescent="0.25">
      <c r="B10" s="26">
        <v>2026</v>
      </c>
      <c r="C10" s="2">
        <f>Eingaben!F8</f>
        <v>395275.2</v>
      </c>
      <c r="D10" s="2">
        <f>IF(AND(C10&gt;0,1&lt;=Eingaben!F12),MIN(Eingaben!F13,C10*(1+Eingaben!F9)),0)</f>
        <v>22925.961599999999</v>
      </c>
      <c r="E10" s="2">
        <f>IF(C10&gt;0,C10*Eingaben!F9,0)</f>
        <v>15020.4576</v>
      </c>
      <c r="F10" s="2">
        <f t="shared" ref="F10:F39" si="0">MAX(0,D10-E10)</f>
        <v>7905.503999999999</v>
      </c>
      <c r="G10" s="2">
        <f t="shared" ref="G10:G39" si="1">MAX(0,C10-F10)</f>
        <v>387369.696</v>
      </c>
    </row>
    <row r="11" spans="2:7" x14ac:dyDescent="0.25">
      <c r="B11" s="26">
        <v>2027</v>
      </c>
      <c r="C11" s="2">
        <f t="shared" ref="C11:C39" si="2">G10</f>
        <v>387369.696</v>
      </c>
      <c r="D11" s="2">
        <f>IF(AND(C11&gt;0,2&lt;=Eingaben!F12),MIN(Eingaben!F13,C11*(1+Eingaben!F9)),0)</f>
        <v>22925.961599999999</v>
      </c>
      <c r="E11" s="2">
        <f>IF(C11&gt;0,C11*Eingaben!F9,0)</f>
        <v>14720.048448</v>
      </c>
      <c r="F11" s="2">
        <f t="shared" si="0"/>
        <v>8205.9131519999992</v>
      </c>
      <c r="G11" s="2">
        <f t="shared" si="1"/>
        <v>379163.782848</v>
      </c>
    </row>
    <row r="12" spans="2:7" x14ac:dyDescent="0.25">
      <c r="B12" s="26">
        <v>2028</v>
      </c>
      <c r="C12" s="2">
        <f t="shared" si="2"/>
        <v>379163.782848</v>
      </c>
      <c r="D12" s="2">
        <f>IF(AND(C12&gt;0,3&lt;=Eingaben!F12),MIN(Eingaben!F13,C12*(1+Eingaben!F9)),0)</f>
        <v>22925.961599999999</v>
      </c>
      <c r="E12" s="2">
        <f>IF(C12&gt;0,C12*Eingaben!F9,0)</f>
        <v>14408.223748224</v>
      </c>
      <c r="F12" s="2">
        <f t="shared" si="0"/>
        <v>8517.7378517759989</v>
      </c>
      <c r="G12" s="2">
        <f t="shared" si="1"/>
        <v>370646.04499622399</v>
      </c>
    </row>
    <row r="13" spans="2:7" x14ac:dyDescent="0.25">
      <c r="B13" s="26">
        <v>2029</v>
      </c>
      <c r="C13" s="2">
        <f t="shared" si="2"/>
        <v>370646.04499622399</v>
      </c>
      <c r="D13" s="2">
        <f>IF(AND(C13&gt;0,4&lt;=Eingaben!F12),MIN(Eingaben!F13,C13*(1+Eingaben!F9)),0)</f>
        <v>22925.961599999999</v>
      </c>
      <c r="E13" s="2">
        <f>IF(C13&gt;0,C13*Eingaben!F9,0)</f>
        <v>14084.549709856512</v>
      </c>
      <c r="F13" s="2">
        <f t="shared" si="0"/>
        <v>8841.4118901434867</v>
      </c>
      <c r="G13" s="2">
        <f t="shared" si="1"/>
        <v>361804.63310608052</v>
      </c>
    </row>
    <row r="14" spans="2:7" x14ac:dyDescent="0.25">
      <c r="B14" s="26">
        <v>2030</v>
      </c>
      <c r="C14" s="2">
        <f t="shared" si="2"/>
        <v>361804.63310608052</v>
      </c>
      <c r="D14" s="2">
        <f>IF(AND(C14&gt;0,5&lt;=Eingaben!F12),MIN(Eingaben!F13,C14*(1+Eingaben!F9)),0)</f>
        <v>22925.961599999999</v>
      </c>
      <c r="E14" s="2">
        <f>IF(C14&gt;0,C14*Eingaben!F9,0)</f>
        <v>13748.57605803106</v>
      </c>
      <c r="F14" s="2">
        <f t="shared" si="0"/>
        <v>9177.3855419689389</v>
      </c>
      <c r="G14" s="2">
        <f t="shared" si="1"/>
        <v>352627.2475641116</v>
      </c>
    </row>
    <row r="15" spans="2:7" x14ac:dyDescent="0.25">
      <c r="B15" s="26">
        <v>2031</v>
      </c>
      <c r="C15" s="2">
        <f t="shared" si="2"/>
        <v>352627.2475641116</v>
      </c>
      <c r="D15" s="2">
        <f>IF(AND(C15&gt;0,6&lt;=Eingaben!F12),MIN(Eingaben!F13,C15*(1+Eingaben!F9)),0)</f>
        <v>22925.961599999999</v>
      </c>
      <c r="E15" s="2">
        <f>IF(C15&gt;0,C15*Eingaben!F9,0)</f>
        <v>13399.835407436241</v>
      </c>
      <c r="F15" s="2">
        <f t="shared" si="0"/>
        <v>9526.1261925637573</v>
      </c>
      <c r="G15" s="2">
        <f t="shared" si="1"/>
        <v>343101.12137154787</v>
      </c>
    </row>
    <row r="16" spans="2:7" x14ac:dyDescent="0.25">
      <c r="B16" s="26">
        <v>2032</v>
      </c>
      <c r="C16" s="2">
        <f t="shared" si="2"/>
        <v>343101.12137154787</v>
      </c>
      <c r="D16" s="2">
        <f>IF(AND(C16&gt;0,7&lt;=Eingaben!F12),MIN(Eingaben!F13,C16*(1+Eingaben!F9)),0)</f>
        <v>22925.961599999999</v>
      </c>
      <c r="E16" s="2">
        <f>IF(C16&gt;0,C16*Eingaben!F9,0)</f>
        <v>13037.842612118819</v>
      </c>
      <c r="F16" s="2">
        <f t="shared" si="0"/>
        <v>9888.1189878811801</v>
      </c>
      <c r="G16" s="2">
        <f t="shared" si="1"/>
        <v>333213.0023836667</v>
      </c>
    </row>
    <row r="17" spans="2:7" x14ac:dyDescent="0.25">
      <c r="B17" s="26">
        <v>2033</v>
      </c>
      <c r="C17" s="2">
        <f t="shared" si="2"/>
        <v>333213.0023836667</v>
      </c>
      <c r="D17" s="2">
        <f>IF(AND(C17&gt;0,8&lt;=Eingaben!F12),MIN(Eingaben!F13,C17*(1+Eingaben!F9)),0)</f>
        <v>22925.961599999999</v>
      </c>
      <c r="E17" s="2">
        <f>IF(C17&gt;0,C17*Eingaben!F9,0)</f>
        <v>12662.094090579334</v>
      </c>
      <c r="F17" s="2">
        <f t="shared" si="0"/>
        <v>10263.867509420665</v>
      </c>
      <c r="G17" s="2">
        <f t="shared" si="1"/>
        <v>322949.13487424602</v>
      </c>
    </row>
    <row r="18" spans="2:7" x14ac:dyDescent="0.25">
      <c r="B18" s="26">
        <v>2034</v>
      </c>
      <c r="C18" s="2">
        <f t="shared" si="2"/>
        <v>322949.13487424602</v>
      </c>
      <c r="D18" s="2">
        <f>IF(AND(C18&gt;0,9&lt;=Eingaben!F12),MIN(Eingaben!F13,C18*(1+Eingaben!F9)),0)</f>
        <v>22925.961599999999</v>
      </c>
      <c r="E18" s="2">
        <f>IF(C18&gt;0,C18*Eingaben!F9,0)</f>
        <v>12272.067125221349</v>
      </c>
      <c r="F18" s="2">
        <f t="shared" si="0"/>
        <v>10653.89447477865</v>
      </c>
      <c r="G18" s="2">
        <f t="shared" si="1"/>
        <v>312295.24039946735</v>
      </c>
    </row>
    <row r="19" spans="2:7" x14ac:dyDescent="0.25">
      <c r="B19" s="26">
        <v>2035</v>
      </c>
      <c r="C19" s="2">
        <f t="shared" si="2"/>
        <v>312295.24039946735</v>
      </c>
      <c r="D19" s="2">
        <f>IF(AND(C19&gt;0,10&lt;=Eingaben!F12),MIN(Eingaben!F13,C19*(1+Eingaben!F9)),0)</f>
        <v>22925.961599999999</v>
      </c>
      <c r="E19" s="2">
        <f>IF(C19&gt;0,C19*Eingaben!F9,0)</f>
        <v>11867.219135179759</v>
      </c>
      <c r="F19" s="2">
        <f t="shared" si="0"/>
        <v>11058.74246482024</v>
      </c>
      <c r="G19" s="2">
        <f t="shared" si="1"/>
        <v>301236.49793464714</v>
      </c>
    </row>
    <row r="20" spans="2:7" x14ac:dyDescent="0.25">
      <c r="B20" s="26">
        <v>2036</v>
      </c>
      <c r="C20" s="2">
        <f t="shared" si="2"/>
        <v>301236.49793464714</v>
      </c>
      <c r="D20" s="2">
        <f>IF(AND(C20&gt;0,11&lt;=Eingaben!F12),MIN(Eingaben!F13,C20*(1+Eingaben!F9)),0)</f>
        <v>22925.961599999999</v>
      </c>
      <c r="E20" s="2">
        <f>IF(C20&gt;0,C20*Eingaben!F9,0)</f>
        <v>11446.986921516591</v>
      </c>
      <c r="F20" s="2">
        <f t="shared" si="0"/>
        <v>11478.974678483408</v>
      </c>
      <c r="G20" s="2">
        <f t="shared" si="1"/>
        <v>289757.52325616375</v>
      </c>
    </row>
    <row r="21" spans="2:7" x14ac:dyDescent="0.25">
      <c r="B21" s="26">
        <v>2037</v>
      </c>
      <c r="C21" s="2">
        <f t="shared" si="2"/>
        <v>289757.52325616375</v>
      </c>
      <c r="D21" s="2">
        <f>IF(AND(C21&gt;0,12&lt;=Eingaben!F12),MIN(Eingaben!F13,C21*(1+Eingaben!F9)),0)</f>
        <v>22925.961599999999</v>
      </c>
      <c r="E21" s="2">
        <f>IF(C21&gt;0,C21*Eingaben!F9,0)</f>
        <v>11010.785883734223</v>
      </c>
      <c r="F21" s="2">
        <f t="shared" si="0"/>
        <v>11915.175716265776</v>
      </c>
      <c r="G21" s="2">
        <f t="shared" si="1"/>
        <v>277842.34753989795</v>
      </c>
    </row>
    <row r="22" spans="2:7" x14ac:dyDescent="0.25">
      <c r="B22" s="26">
        <v>2038</v>
      </c>
      <c r="C22" s="2">
        <f t="shared" si="2"/>
        <v>277842.34753989795</v>
      </c>
      <c r="D22" s="2">
        <f>IF(AND(C22&gt;0,13&lt;=Eingaben!F12),MIN(Eingaben!F13,C22*(1+Eingaben!F9)),0)</f>
        <v>22925.961599999999</v>
      </c>
      <c r="E22" s="2">
        <f>IF(C22&gt;0,C22*Eingaben!F9,0)</f>
        <v>10558.009206516123</v>
      </c>
      <c r="F22" s="2">
        <f t="shared" si="0"/>
        <v>12367.952393483876</v>
      </c>
      <c r="G22" s="2">
        <f t="shared" si="1"/>
        <v>265474.39514641406</v>
      </c>
    </row>
    <row r="23" spans="2:7" x14ac:dyDescent="0.25">
      <c r="B23" s="26">
        <v>2039</v>
      </c>
      <c r="C23" s="2">
        <f t="shared" si="2"/>
        <v>265474.39514641406</v>
      </c>
      <c r="D23" s="2">
        <f>IF(AND(C23&gt;0,14&lt;=Eingaben!F12),MIN(Eingaben!F13,C23*(1+Eingaben!F9)),0)</f>
        <v>22925.961599999999</v>
      </c>
      <c r="E23" s="2">
        <f>IF(C23&gt;0,C23*Eingaben!F9,0)</f>
        <v>10088.027015563734</v>
      </c>
      <c r="F23" s="2">
        <f t="shared" si="0"/>
        <v>12837.934584436265</v>
      </c>
      <c r="G23" s="2">
        <f t="shared" si="1"/>
        <v>252636.46056197779</v>
      </c>
    </row>
    <row r="24" spans="2:7" x14ac:dyDescent="0.25">
      <c r="B24" s="26">
        <v>2040</v>
      </c>
      <c r="C24" s="2">
        <f t="shared" si="2"/>
        <v>252636.46056197779</v>
      </c>
      <c r="D24" s="2">
        <f>IF(AND(C24&gt;0,15&lt;=Eingaben!F12),MIN(Eingaben!F13,C24*(1+Eingaben!F9)),0)</f>
        <v>22925.961599999999</v>
      </c>
      <c r="E24" s="2">
        <f>IF(C24&gt;0,C24*Eingaben!F9,0)</f>
        <v>9600.1855013551558</v>
      </c>
      <c r="F24" s="2">
        <f t="shared" si="0"/>
        <v>13325.776098644843</v>
      </c>
      <c r="G24" s="2">
        <f t="shared" si="1"/>
        <v>239310.68446333293</v>
      </c>
    </row>
    <row r="25" spans="2:7" x14ac:dyDescent="0.25">
      <c r="B25" s="26">
        <v>2041</v>
      </c>
      <c r="C25" s="2">
        <f t="shared" si="2"/>
        <v>239310.68446333293</v>
      </c>
      <c r="D25" s="2">
        <f>IF(AND(C25&gt;0,16&lt;=Eingaben!F12),MIN(Eingaben!F13,C25*(1+Eingaben!F9)),0)</f>
        <v>22925.961599999999</v>
      </c>
      <c r="E25" s="2">
        <f>IF(C25&gt;0,C25*Eingaben!F9,0)</f>
        <v>9093.8060096066511</v>
      </c>
      <c r="F25" s="2">
        <f t="shared" si="0"/>
        <v>13832.155590393348</v>
      </c>
      <c r="G25" s="2">
        <f t="shared" si="1"/>
        <v>225478.52887293958</v>
      </c>
    </row>
    <row r="26" spans="2:7" x14ac:dyDescent="0.25">
      <c r="B26" s="26">
        <v>2042</v>
      </c>
      <c r="C26" s="2">
        <f t="shared" si="2"/>
        <v>225478.52887293958</v>
      </c>
      <c r="D26" s="2">
        <f>IF(AND(C26&gt;0,17&lt;=Eingaben!F12),MIN(Eingaben!F13,C26*(1+Eingaben!F9)),0)</f>
        <v>22925.961599999999</v>
      </c>
      <c r="E26" s="2">
        <f>IF(C26&gt;0,C26*Eingaben!F9,0)</f>
        <v>8568.1840971717047</v>
      </c>
      <c r="F26" s="2">
        <f t="shared" si="0"/>
        <v>14357.777502828294</v>
      </c>
      <c r="G26" s="2">
        <f t="shared" si="1"/>
        <v>211120.75137011128</v>
      </c>
    </row>
    <row r="27" spans="2:7" x14ac:dyDescent="0.25">
      <c r="B27" s="26">
        <v>2043</v>
      </c>
      <c r="C27" s="2">
        <f t="shared" si="2"/>
        <v>211120.75137011128</v>
      </c>
      <c r="D27" s="2">
        <f>IF(AND(C27&gt;0,18&lt;=Eingaben!F12),MIN(Eingaben!F13,C27*(1+Eingaben!F9)),0)</f>
        <v>22925.961599999999</v>
      </c>
      <c r="E27" s="2">
        <f>IF(C27&gt;0,C27*Eingaben!F9,0)</f>
        <v>8022.5885520642287</v>
      </c>
      <c r="F27" s="2">
        <f t="shared" si="0"/>
        <v>14903.373047935769</v>
      </c>
      <c r="G27" s="2">
        <f t="shared" si="1"/>
        <v>196217.3783221755</v>
      </c>
    </row>
    <row r="28" spans="2:7" x14ac:dyDescent="0.25">
      <c r="B28" s="26">
        <v>2044</v>
      </c>
      <c r="C28" s="2">
        <f t="shared" si="2"/>
        <v>196217.3783221755</v>
      </c>
      <c r="D28" s="2">
        <f>IF(AND(C28&gt;0,19&lt;=Eingaben!F12),MIN(Eingaben!F13,C28*(1+Eingaben!F9)),0)</f>
        <v>22925.961599999999</v>
      </c>
      <c r="E28" s="2">
        <f>IF(C28&gt;0,C28*Eingaben!F9,0)</f>
        <v>7456.2603762426688</v>
      </c>
      <c r="F28" s="2">
        <f t="shared" si="0"/>
        <v>15469.701223757329</v>
      </c>
      <c r="G28" s="2">
        <f t="shared" si="1"/>
        <v>180747.67709841818</v>
      </c>
    </row>
    <row r="29" spans="2:7" x14ac:dyDescent="0.25">
      <c r="B29" s="26">
        <v>2045</v>
      </c>
      <c r="C29" s="2">
        <f t="shared" si="2"/>
        <v>180747.67709841818</v>
      </c>
      <c r="D29" s="2">
        <f>IF(AND(C29&gt;0,20&lt;=Eingaben!F12),MIN(Eingaben!F13,C29*(1+Eingaben!F9)),0)</f>
        <v>22925.961599999999</v>
      </c>
      <c r="E29" s="2">
        <f>IF(C29&gt;0,C29*Eingaben!F9,0)</f>
        <v>6868.4117297398907</v>
      </c>
      <c r="F29" s="2">
        <f t="shared" si="0"/>
        <v>16057.549870260107</v>
      </c>
      <c r="G29" s="2">
        <f t="shared" si="1"/>
        <v>164690.12722815806</v>
      </c>
    </row>
    <row r="30" spans="2:7" x14ac:dyDescent="0.25">
      <c r="B30" s="26">
        <v>2046</v>
      </c>
      <c r="C30" s="2">
        <f t="shared" si="2"/>
        <v>164690.12722815806</v>
      </c>
      <c r="D30" s="2">
        <f>IF(AND(C30&gt;0,21&lt;=Eingaben!F12),MIN(Eingaben!F13,C30*(1+Eingaben!F9)),0)</f>
        <v>22925.961599999999</v>
      </c>
      <c r="E30" s="2">
        <f>IF(C30&gt;0,C30*Eingaben!F9,0)</f>
        <v>6258.2248346700062</v>
      </c>
      <c r="F30" s="2">
        <f t="shared" si="0"/>
        <v>16667.736765329992</v>
      </c>
      <c r="G30" s="2">
        <f t="shared" si="1"/>
        <v>148022.39046282807</v>
      </c>
    </row>
    <row r="31" spans="2:7" x14ac:dyDescent="0.25">
      <c r="B31" s="26">
        <v>2047</v>
      </c>
      <c r="C31" s="2">
        <f t="shared" si="2"/>
        <v>148022.39046282807</v>
      </c>
      <c r="D31" s="2">
        <f>IF(AND(C31&gt;0,22&lt;=Eingaben!F12),MIN(Eingaben!F13,C31*(1+Eingaben!F9)),0)</f>
        <v>22925.961599999999</v>
      </c>
      <c r="E31" s="2">
        <f>IF(C31&gt;0,C31*Eingaben!F9,0)</f>
        <v>5624.8508375874662</v>
      </c>
      <c r="F31" s="2">
        <f t="shared" si="0"/>
        <v>17301.110762412532</v>
      </c>
      <c r="G31" s="2">
        <f t="shared" si="1"/>
        <v>130721.27970041554</v>
      </c>
    </row>
    <row r="32" spans="2:7" x14ac:dyDescent="0.25">
      <c r="B32" s="26">
        <v>2048</v>
      </c>
      <c r="C32" s="2">
        <f t="shared" si="2"/>
        <v>130721.27970041554</v>
      </c>
      <c r="D32" s="2">
        <f>IF(AND(C32&gt;0,23&lt;=Eingaben!F12),MIN(Eingaben!F13,C32*(1+Eingaben!F9)),0)</f>
        <v>22925.961599999999</v>
      </c>
      <c r="E32" s="2">
        <f>IF(C32&gt;0,C32*Eingaben!F9,0)</f>
        <v>4967.4086286157908</v>
      </c>
      <c r="F32" s="2">
        <f t="shared" si="0"/>
        <v>17958.552971384208</v>
      </c>
      <c r="G32" s="2">
        <f t="shared" si="1"/>
        <v>112762.72672903133</v>
      </c>
    </row>
    <row r="33" spans="2:7" x14ac:dyDescent="0.25">
      <c r="B33" s="26">
        <v>2049</v>
      </c>
      <c r="C33" s="2">
        <f t="shared" si="2"/>
        <v>112762.72672903133</v>
      </c>
      <c r="D33" s="2">
        <f>IF(AND(C33&gt;0,24&lt;=Eingaben!F12),MIN(Eingaben!F13,C33*(1+Eingaben!F9)),0)</f>
        <v>22925.961599999999</v>
      </c>
      <c r="E33" s="2">
        <f>IF(C33&gt;0,C33*Eingaben!F9,0)</f>
        <v>4284.9836157031905</v>
      </c>
      <c r="F33" s="2">
        <f t="shared" si="0"/>
        <v>18640.977984296809</v>
      </c>
      <c r="G33" s="2">
        <f t="shared" si="1"/>
        <v>94121.748744734519</v>
      </c>
    </row>
    <row r="34" spans="2:7" x14ac:dyDescent="0.25">
      <c r="B34" s="26">
        <v>2050</v>
      </c>
      <c r="C34" s="2">
        <f t="shared" si="2"/>
        <v>94121.748744734519</v>
      </c>
      <c r="D34" s="2">
        <f>IF(AND(C34&gt;0,25&lt;=Eingaben!F12),MIN(Eingaben!F13,C34*(1+Eingaben!F9)),0)</f>
        <v>22925.961599999999</v>
      </c>
      <c r="E34" s="2">
        <f>IF(C34&gt;0,C34*Eingaben!F9,0)</f>
        <v>3576.6264522999118</v>
      </c>
      <c r="F34" s="2">
        <f t="shared" si="0"/>
        <v>19349.335147700087</v>
      </c>
      <c r="G34" s="2">
        <f t="shared" si="1"/>
        <v>74772.413597034436</v>
      </c>
    </row>
    <row r="35" spans="2:7" x14ac:dyDescent="0.25">
      <c r="B35" s="26">
        <v>2051</v>
      </c>
      <c r="C35" s="2">
        <f t="shared" si="2"/>
        <v>74772.413597034436</v>
      </c>
      <c r="D35" s="2">
        <f>IF(AND(C35&gt;0,26&lt;=Eingaben!F12),MIN(Eingaben!F13,C35*(1+Eingaben!F9)),0)</f>
        <v>22925.961599999999</v>
      </c>
      <c r="E35" s="2">
        <f>IF(C35&gt;0,C35*Eingaben!F9,0)</f>
        <v>2841.3517166873085</v>
      </c>
      <c r="F35" s="2">
        <f t="shared" si="0"/>
        <v>20084.609883312689</v>
      </c>
      <c r="G35" s="2">
        <f t="shared" si="1"/>
        <v>54687.803713721747</v>
      </c>
    </row>
    <row r="36" spans="2:7" x14ac:dyDescent="0.25">
      <c r="B36" s="26">
        <v>2052</v>
      </c>
      <c r="C36" s="2">
        <f t="shared" si="2"/>
        <v>54687.803713721747</v>
      </c>
      <c r="D36" s="2">
        <f>IF(AND(C36&gt;0,27&lt;=Eingaben!F12),MIN(Eingaben!F13,C36*(1+Eingaben!F9)),0)</f>
        <v>22925.961599999999</v>
      </c>
      <c r="E36" s="2">
        <f>IF(C36&gt;0,C36*Eingaben!F9,0)</f>
        <v>2078.1365411214265</v>
      </c>
      <c r="F36" s="2">
        <f t="shared" si="0"/>
        <v>20847.825058878574</v>
      </c>
      <c r="G36" s="2">
        <f t="shared" si="1"/>
        <v>33839.978654843173</v>
      </c>
    </row>
    <row r="37" spans="2:7" x14ac:dyDescent="0.25">
      <c r="B37" s="26">
        <v>2053</v>
      </c>
      <c r="C37" s="2">
        <f t="shared" si="2"/>
        <v>33839.978654843173</v>
      </c>
      <c r="D37" s="2">
        <f>IF(AND(C37&gt;0,28&lt;=Eingaben!F12),MIN(Eingaben!F13,C37*(1+Eingaben!F9)),0)</f>
        <v>22925.961599999999</v>
      </c>
      <c r="E37" s="2">
        <f>IF(C37&gt;0,C37*Eingaben!F9,0)</f>
        <v>1285.9191888840405</v>
      </c>
      <c r="F37" s="2">
        <f t="shared" si="0"/>
        <v>21640.042411115959</v>
      </c>
      <c r="G37" s="2">
        <f t="shared" si="1"/>
        <v>12199.936243727214</v>
      </c>
    </row>
    <row r="38" spans="2:7" x14ac:dyDescent="0.25">
      <c r="B38" s="26">
        <v>2054</v>
      </c>
      <c r="C38" s="2">
        <f t="shared" si="2"/>
        <v>12199.936243727214</v>
      </c>
      <c r="D38" s="2">
        <f>IF(AND(C38&gt;0,29&lt;=Eingaben!F12),MIN(Eingaben!F13,C38*(1+Eingaben!F9)),0)</f>
        <v>12663.533820988849</v>
      </c>
      <c r="E38" s="2">
        <f>IF(C38&gt;0,C38*Eingaben!F9,0)</f>
        <v>463.59757726163411</v>
      </c>
      <c r="F38" s="2">
        <f t="shared" si="0"/>
        <v>12199.936243727214</v>
      </c>
      <c r="G38" s="2">
        <f t="shared" si="1"/>
        <v>0</v>
      </c>
    </row>
    <row r="39" spans="2:7" x14ac:dyDescent="0.25">
      <c r="B39" s="26">
        <v>2055</v>
      </c>
      <c r="C39" s="2">
        <f t="shared" si="2"/>
        <v>0</v>
      </c>
      <c r="D39" s="2">
        <f>IF(AND(C39&gt;0,30&lt;=Eingaben!F12),MIN(Eingaben!F13,C39*(1+Eingaben!F9)),0)</f>
        <v>0</v>
      </c>
      <c r="E39" s="2">
        <f>IF(C39&gt;0,C39*Eingaben!F9,0)</f>
        <v>0</v>
      </c>
      <c r="F39" s="2">
        <f t="shared" si="0"/>
        <v>0</v>
      </c>
      <c r="G39" s="2">
        <f t="shared" si="1"/>
        <v>0</v>
      </c>
    </row>
    <row r="40" spans="2:7" ht="25.5" customHeight="1" x14ac:dyDescent="0.25">
      <c r="B40" s="21" t="s">
        <v>116</v>
      </c>
      <c r="C40" s="22"/>
      <c r="D40" s="23">
        <f>SUM(D10:D39)</f>
        <v>654590.45862098888</v>
      </c>
      <c r="E40" s="23">
        <f>SUM(E10:E39)</f>
        <v>259315.25862098881</v>
      </c>
      <c r="F40" s="23">
        <f>SUM(F10:F39)</f>
        <v>395275.2</v>
      </c>
      <c r="G40" s="22"/>
    </row>
  </sheetData>
  <mergeCells count="2">
    <mergeCell ref="B2:G3"/>
    <mergeCell ref="B8:G8"/>
  </mergeCells>
  <printOptions horizontalCentered="1"/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Q38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baseColWidth="10" defaultColWidth="8.7109375" defaultRowHeight="15" x14ac:dyDescent="0.25"/>
  <cols>
    <col min="1" max="1" width="3" customWidth="1"/>
    <col min="2" max="2" width="38" customWidth="1"/>
    <col min="3" max="17" width="13" customWidth="1"/>
  </cols>
  <sheetData>
    <row r="2" spans="2:17" ht="21.75" customHeight="1" x14ac:dyDescent="0.25">
      <c r="B2" s="60" t="s">
        <v>117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2:17" ht="21.75" customHeight="1" x14ac:dyDescent="0.2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5" spans="2:17" ht="24" customHeight="1" x14ac:dyDescent="0.25">
      <c r="B5" s="27" t="s">
        <v>19</v>
      </c>
      <c r="C5" s="28">
        <v>2026</v>
      </c>
      <c r="D5" s="28">
        <v>2027</v>
      </c>
      <c r="E5" s="28">
        <v>2028</v>
      </c>
      <c r="F5" s="28">
        <v>2029</v>
      </c>
      <c r="G5" s="28">
        <v>2030</v>
      </c>
      <c r="H5" s="28">
        <v>2031</v>
      </c>
      <c r="I5" s="28">
        <v>2032</v>
      </c>
      <c r="J5" s="28">
        <v>2033</v>
      </c>
      <c r="K5" s="28">
        <v>2034</v>
      </c>
      <c r="L5" s="28">
        <v>2035</v>
      </c>
      <c r="M5" s="28">
        <v>2036</v>
      </c>
      <c r="N5" s="28">
        <v>2037</v>
      </c>
      <c r="O5" s="28">
        <v>2038</v>
      </c>
      <c r="P5" s="28">
        <v>2039</v>
      </c>
      <c r="Q5" s="28">
        <v>2040</v>
      </c>
    </row>
    <row r="7" spans="2:17" ht="21.75" customHeight="1" x14ac:dyDescent="0.25">
      <c r="B7" s="57" t="s">
        <v>118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2:17" x14ac:dyDescent="0.25">
      <c r="B8" s="3" t="s">
        <v>119</v>
      </c>
      <c r="C8" s="29">
        <f>Eingaben!F19*(1+Eingaben!F20)^0</f>
        <v>23760</v>
      </c>
      <c r="D8" s="29">
        <f>Eingaben!F19*(1+Eingaben!F20)^1</f>
        <v>24116.399999999998</v>
      </c>
      <c r="E8" s="29">
        <f>Eingaben!F19*(1+Eingaben!F20)^2</f>
        <v>24478.145999999993</v>
      </c>
      <c r="F8" s="29">
        <f>Eingaben!F19*(1+Eingaben!F20)^3</f>
        <v>24845.318189999991</v>
      </c>
      <c r="G8" s="29">
        <f>Eingaben!F19*(1+Eingaben!F20)^4</f>
        <v>25217.997962849986</v>
      </c>
      <c r="H8" s="29">
        <f>Eingaben!F19*(1+Eingaben!F20)^5</f>
        <v>25596.267932292732</v>
      </c>
      <c r="I8" s="29">
        <f>Eingaben!F19*(1+Eingaben!F20)^6</f>
        <v>25980.211951277121</v>
      </c>
      <c r="J8" s="29">
        <f>Eingaben!F19*(1+Eingaben!F20)^7</f>
        <v>26369.915130546273</v>
      </c>
      <c r="K8" s="29">
        <f>Eingaben!F19*(1+Eingaben!F20)^8</f>
        <v>26765.463857504463</v>
      </c>
      <c r="L8" s="29">
        <f>Eingaben!F19*(1+Eingaben!F20)^9</f>
        <v>27166.945815367028</v>
      </c>
      <c r="M8" s="29">
        <f>Eingaben!F19*(1+Eingaben!F20)^10</f>
        <v>27574.450002597529</v>
      </c>
      <c r="N8" s="29">
        <f>Eingaben!F19*(1+Eingaben!F20)^11</f>
        <v>27988.066752636489</v>
      </c>
      <c r="O8" s="29">
        <f>Eingaben!F19*(1+Eingaben!F20)^12</f>
        <v>28407.887753926032</v>
      </c>
      <c r="P8" s="29">
        <f>Eingaben!F19*(1+Eingaben!F20)^13</f>
        <v>28834.006070234918</v>
      </c>
      <c r="Q8" s="29">
        <f>Eingaben!F19*(1+Eingaben!F20)^14</f>
        <v>29266.516161288437</v>
      </c>
    </row>
    <row r="9" spans="2:17" x14ac:dyDescent="0.25">
      <c r="B9" s="3" t="s">
        <v>120</v>
      </c>
      <c r="C9" s="30">
        <f>-C8*Eingaben!F21</f>
        <v>-712.8</v>
      </c>
      <c r="D9" s="30">
        <f>-D8*Eingaben!F21</f>
        <v>-723.49199999999996</v>
      </c>
      <c r="E9" s="30">
        <f>-E8*Eingaben!F21</f>
        <v>-734.34437999999977</v>
      </c>
      <c r="F9" s="30">
        <f>-F8*Eingaben!F21</f>
        <v>-745.35954569999967</v>
      </c>
      <c r="G9" s="30">
        <f>-G8*Eingaben!F21</f>
        <v>-756.53993888549951</v>
      </c>
      <c r="H9" s="30">
        <f>-H8*Eingaben!F21</f>
        <v>-767.88803796878199</v>
      </c>
      <c r="I9" s="30">
        <f>-I8*Eingaben!F21</f>
        <v>-779.40635853831361</v>
      </c>
      <c r="J9" s="30">
        <f>-J8*Eingaben!F21</f>
        <v>-791.09745391638819</v>
      </c>
      <c r="K9" s="30">
        <f>-K8*Eingaben!F21</f>
        <v>-802.9639157251338</v>
      </c>
      <c r="L9" s="30">
        <f>-L8*Eingaben!F21</f>
        <v>-815.00837446101082</v>
      </c>
      <c r="M9" s="30">
        <f>-M8*Eingaben!F21</f>
        <v>-827.23350007792578</v>
      </c>
      <c r="N9" s="30">
        <f>-N8*Eingaben!F21</f>
        <v>-839.64200257909465</v>
      </c>
      <c r="O9" s="30">
        <f>-O8*Eingaben!F21</f>
        <v>-852.23663261778097</v>
      </c>
      <c r="P9" s="30">
        <f>-P8*Eingaben!F21</f>
        <v>-865.0201821070475</v>
      </c>
      <c r="Q9" s="30">
        <f>-Q8*Eingaben!F21</f>
        <v>-877.99548483865306</v>
      </c>
    </row>
    <row r="10" spans="2:17" x14ac:dyDescent="0.25">
      <c r="B10" s="31" t="s">
        <v>121</v>
      </c>
      <c r="C10" s="32">
        <f t="shared" ref="C10:Q10" si="0">C8+C9</f>
        <v>23047.200000000001</v>
      </c>
      <c r="D10" s="32">
        <f t="shared" si="0"/>
        <v>23392.907999999999</v>
      </c>
      <c r="E10" s="32">
        <f t="shared" si="0"/>
        <v>23743.801619999995</v>
      </c>
      <c r="F10" s="32">
        <f t="shared" si="0"/>
        <v>24099.95864429999</v>
      </c>
      <c r="G10" s="32">
        <f t="shared" si="0"/>
        <v>24461.458023964486</v>
      </c>
      <c r="H10" s="32">
        <f t="shared" si="0"/>
        <v>24828.379894323949</v>
      </c>
      <c r="I10" s="32">
        <f t="shared" si="0"/>
        <v>25200.805592738809</v>
      </c>
      <c r="J10" s="32">
        <f t="shared" si="0"/>
        <v>25578.817676629886</v>
      </c>
      <c r="K10" s="32">
        <f t="shared" si="0"/>
        <v>25962.49994177933</v>
      </c>
      <c r="L10" s="32">
        <f t="shared" si="0"/>
        <v>26351.937440906018</v>
      </c>
      <c r="M10" s="32">
        <f t="shared" si="0"/>
        <v>26747.216502519601</v>
      </c>
      <c r="N10" s="32">
        <f t="shared" si="0"/>
        <v>27148.424750057395</v>
      </c>
      <c r="O10" s="32">
        <f t="shared" si="0"/>
        <v>27555.651121308252</v>
      </c>
      <c r="P10" s="32">
        <f t="shared" si="0"/>
        <v>27968.985888127871</v>
      </c>
      <c r="Q10" s="32">
        <f t="shared" si="0"/>
        <v>28388.520676449785</v>
      </c>
    </row>
    <row r="12" spans="2:17" ht="21.75" customHeight="1" x14ac:dyDescent="0.25">
      <c r="B12" s="57" t="s">
        <v>122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2:17" x14ac:dyDescent="0.25">
      <c r="B13" s="3" t="s">
        <v>123</v>
      </c>
      <c r="C13" s="30">
        <f>-Eingaben!F24*(1+Eingaben!F33)^0</f>
        <v>-1800</v>
      </c>
      <c r="D13" s="30">
        <f>-Eingaben!F24*(1+Eingaben!F33)^1</f>
        <v>-1836</v>
      </c>
      <c r="E13" s="30">
        <f>-Eingaben!F24*(1+Eingaben!F33)^2</f>
        <v>-1872.72</v>
      </c>
      <c r="F13" s="30">
        <f>-Eingaben!F24*(1+Eingaben!F33)^3</f>
        <v>-1910.1743999999999</v>
      </c>
      <c r="G13" s="30">
        <f>-Eingaben!F24*(1+Eingaben!F33)^4</f>
        <v>-1948.377888</v>
      </c>
      <c r="H13" s="30">
        <f>-Eingaben!F24*(1+Eingaben!F33)^5</f>
        <v>-1987.3454457600001</v>
      </c>
      <c r="I13" s="30">
        <f>-Eingaben!F24*(1+Eingaben!F33)^6</f>
        <v>-2027.0923546752001</v>
      </c>
      <c r="J13" s="30">
        <f>-Eingaben!F24*(1+Eingaben!F33)^7</f>
        <v>-2067.6342017687039</v>
      </c>
      <c r="K13" s="30">
        <f>-Eingaben!F24*(1+Eingaben!F33)^8</f>
        <v>-2108.9868858040782</v>
      </c>
      <c r="L13" s="30">
        <f>-Eingaben!F24*(1+Eingaben!F33)^9</f>
        <v>-2151.1666235201596</v>
      </c>
      <c r="M13" s="30">
        <f>-Eingaben!F24*(1+Eingaben!F33)^10</f>
        <v>-2194.1899559905628</v>
      </c>
      <c r="N13" s="30">
        <f>-Eingaben!F24*(1+Eingaben!F33)^11</f>
        <v>-2238.0737551103734</v>
      </c>
      <c r="O13" s="30">
        <f>-Eingaben!F24*(1+Eingaben!F33)^12</f>
        <v>-2282.8352302125813</v>
      </c>
      <c r="P13" s="30">
        <f>-Eingaben!F24*(1+Eingaben!F33)^13</f>
        <v>-2328.4919348168328</v>
      </c>
      <c r="Q13" s="30">
        <f>-Eingaben!F24*(1+Eingaben!F33)^14</f>
        <v>-2375.06177351317</v>
      </c>
    </row>
    <row r="14" spans="2:17" x14ac:dyDescent="0.25">
      <c r="B14" s="3" t="s">
        <v>124</v>
      </c>
      <c r="C14" s="30">
        <f>-Eingaben!F26*(1+Eingaben!F33)^0</f>
        <v>-2250</v>
      </c>
      <c r="D14" s="30">
        <f>-Eingaben!F26*(1+Eingaben!F33)^1</f>
        <v>-2295</v>
      </c>
      <c r="E14" s="30">
        <f>-Eingaben!F26*(1+Eingaben!F33)^2</f>
        <v>-2340.9</v>
      </c>
      <c r="F14" s="30">
        <f>-Eingaben!F26*(1+Eingaben!F33)^3</f>
        <v>-2387.7179999999998</v>
      </c>
      <c r="G14" s="30">
        <f>-Eingaben!F26*(1+Eingaben!F33)^4</f>
        <v>-2435.4723599999998</v>
      </c>
      <c r="H14" s="30">
        <f>-Eingaben!F26*(1+Eingaben!F33)^5</f>
        <v>-2484.1818072000001</v>
      </c>
      <c r="I14" s="30">
        <f>-Eingaben!F26*(1+Eingaben!F33)^6</f>
        <v>-2533.8654433440001</v>
      </c>
      <c r="J14" s="30">
        <f>-Eingaben!F26*(1+Eingaben!F33)^7</f>
        <v>-2584.5427522108794</v>
      </c>
      <c r="K14" s="30">
        <f>-Eingaben!F26*(1+Eingaben!F33)^8</f>
        <v>-2636.2336072550975</v>
      </c>
      <c r="L14" s="30">
        <f>-Eingaben!F26*(1+Eingaben!F33)^9</f>
        <v>-2688.9582794001994</v>
      </c>
      <c r="M14" s="30">
        <f>-Eingaben!F26*(1+Eingaben!F33)^10</f>
        <v>-2742.7374449882036</v>
      </c>
      <c r="N14" s="30">
        <f>-Eingaben!F26*(1+Eingaben!F33)^11</f>
        <v>-2797.5921938879669</v>
      </c>
      <c r="O14" s="30">
        <f>-Eingaben!F26*(1+Eingaben!F33)^12</f>
        <v>-2853.5440377657269</v>
      </c>
      <c r="P14" s="30">
        <f>-Eingaben!F26*(1+Eingaben!F33)^13</f>
        <v>-2910.6149185210411</v>
      </c>
      <c r="Q14" s="30">
        <f>-Eingaben!F26*(1+Eingaben!F33)^14</f>
        <v>-2968.8272168914623</v>
      </c>
    </row>
    <row r="15" spans="2:17" x14ac:dyDescent="0.25">
      <c r="B15" s="3" t="s">
        <v>125</v>
      </c>
      <c r="C15" s="30">
        <f>-Eingaben!F28*(1+Eingaben!F33)^0</f>
        <v>-840</v>
      </c>
      <c r="D15" s="30">
        <f>-Eingaben!F28*(1+Eingaben!F33)^1</f>
        <v>-856.80000000000007</v>
      </c>
      <c r="E15" s="30">
        <f>-Eingaben!F28*(1+Eingaben!F33)^2</f>
        <v>-873.93600000000004</v>
      </c>
      <c r="F15" s="30">
        <f>-Eingaben!F28*(1+Eingaben!F33)^3</f>
        <v>-891.41471999999999</v>
      </c>
      <c r="G15" s="30">
        <f>-Eingaben!F28*(1+Eingaben!F33)^4</f>
        <v>-909.24301439999999</v>
      </c>
      <c r="H15" s="30">
        <f>-Eingaben!F28*(1+Eingaben!F33)^5</f>
        <v>-927.42787468799997</v>
      </c>
      <c r="I15" s="30">
        <f>-Eingaben!F28*(1+Eingaben!F33)^6</f>
        <v>-945.97643218176006</v>
      </c>
      <c r="J15" s="30">
        <f>-Eingaben!F28*(1+Eingaben!F33)^7</f>
        <v>-964.89596082539504</v>
      </c>
      <c r="K15" s="30">
        <f>-Eingaben!F28*(1+Eingaben!F33)^8</f>
        <v>-984.19388004190307</v>
      </c>
      <c r="L15" s="30">
        <f>-Eingaben!F28*(1+Eingaben!F33)^9</f>
        <v>-1003.8777576427411</v>
      </c>
      <c r="M15" s="30">
        <f>-Eingaben!F28*(1+Eingaben!F33)^10</f>
        <v>-1023.955312795596</v>
      </c>
      <c r="N15" s="30">
        <f>-Eingaben!F28*(1+Eingaben!F33)^11</f>
        <v>-1044.4344190515078</v>
      </c>
      <c r="O15" s="30">
        <f>-Eingaben!F28*(1+Eingaben!F33)^12</f>
        <v>-1065.3231074325381</v>
      </c>
      <c r="P15" s="30">
        <f>-Eingaben!F28*(1+Eingaben!F33)^13</f>
        <v>-1086.6295695811887</v>
      </c>
      <c r="Q15" s="30">
        <f>-Eingaben!F28*(1+Eingaben!F33)^14</f>
        <v>-1108.3621609728127</v>
      </c>
    </row>
    <row r="16" spans="2:17" x14ac:dyDescent="0.25">
      <c r="B16" s="33" t="s">
        <v>126</v>
      </c>
      <c r="C16" s="34">
        <f t="shared" ref="C16:Q16" si="1">SUM(C13:C15)</f>
        <v>-4890</v>
      </c>
      <c r="D16" s="34">
        <f t="shared" si="1"/>
        <v>-4987.8</v>
      </c>
      <c r="E16" s="34">
        <f t="shared" si="1"/>
        <v>-5087.5559999999996</v>
      </c>
      <c r="F16" s="34">
        <f t="shared" si="1"/>
        <v>-5189.3071199999995</v>
      </c>
      <c r="G16" s="34">
        <f t="shared" si="1"/>
        <v>-5293.0932623999997</v>
      </c>
      <c r="H16" s="34">
        <f t="shared" si="1"/>
        <v>-5398.9551276480006</v>
      </c>
      <c r="I16" s="34">
        <f t="shared" si="1"/>
        <v>-5506.9342302009609</v>
      </c>
      <c r="J16" s="34">
        <f t="shared" si="1"/>
        <v>-5617.0729148049786</v>
      </c>
      <c r="K16" s="34">
        <f t="shared" si="1"/>
        <v>-5729.414373101079</v>
      </c>
      <c r="L16" s="34">
        <f t="shared" si="1"/>
        <v>-5844.0026605631001</v>
      </c>
      <c r="M16" s="34">
        <f t="shared" si="1"/>
        <v>-5960.8827137743619</v>
      </c>
      <c r="N16" s="34">
        <f t="shared" si="1"/>
        <v>-6080.1003680498479</v>
      </c>
      <c r="O16" s="34">
        <f t="shared" si="1"/>
        <v>-6201.7023754108468</v>
      </c>
      <c r="P16" s="34">
        <f t="shared" si="1"/>
        <v>-6325.7364229190625</v>
      </c>
      <c r="Q16" s="34">
        <f t="shared" si="1"/>
        <v>-6452.2511513774443</v>
      </c>
    </row>
    <row r="18" spans="2:17" x14ac:dyDescent="0.25">
      <c r="B18" s="35" t="s">
        <v>127</v>
      </c>
      <c r="C18" s="36">
        <f t="shared" ref="C18:Q18" si="2">C10+C16</f>
        <v>18157.2</v>
      </c>
      <c r="D18" s="36">
        <f t="shared" si="2"/>
        <v>18405.108</v>
      </c>
      <c r="E18" s="36">
        <f t="shared" si="2"/>
        <v>18656.245619999994</v>
      </c>
      <c r="F18" s="36">
        <f t="shared" si="2"/>
        <v>18910.651524299989</v>
      </c>
      <c r="G18" s="36">
        <f t="shared" si="2"/>
        <v>19168.364761564488</v>
      </c>
      <c r="H18" s="36">
        <f t="shared" si="2"/>
        <v>19429.424766675947</v>
      </c>
      <c r="I18" s="36">
        <f t="shared" si="2"/>
        <v>19693.871362537848</v>
      </c>
      <c r="J18" s="36">
        <f t="shared" si="2"/>
        <v>19961.744761824906</v>
      </c>
      <c r="K18" s="36">
        <f t="shared" si="2"/>
        <v>20233.085568678252</v>
      </c>
      <c r="L18" s="36">
        <f t="shared" si="2"/>
        <v>20507.934780342919</v>
      </c>
      <c r="M18" s="36">
        <f t="shared" si="2"/>
        <v>20786.33378874524</v>
      </c>
      <c r="N18" s="36">
        <f t="shared" si="2"/>
        <v>21068.324382007548</v>
      </c>
      <c r="O18" s="36">
        <f t="shared" si="2"/>
        <v>21353.948745897404</v>
      </c>
      <c r="P18" s="36">
        <f t="shared" si="2"/>
        <v>21643.249465208806</v>
      </c>
      <c r="Q18" s="36">
        <f t="shared" si="2"/>
        <v>21936.269525072341</v>
      </c>
    </row>
    <row r="20" spans="2:17" ht="21.75" customHeight="1" x14ac:dyDescent="0.25">
      <c r="B20" s="57" t="s">
        <v>128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</row>
    <row r="21" spans="2:17" x14ac:dyDescent="0.25">
      <c r="B21" s="3" t="s">
        <v>129</v>
      </c>
      <c r="C21" s="30">
        <f>-Tilgungsplan!E10</f>
        <v>-15020.4576</v>
      </c>
      <c r="D21" s="30">
        <f>-Tilgungsplan!E11</f>
        <v>-14720.048448</v>
      </c>
      <c r="E21" s="30">
        <f>-Tilgungsplan!E12</f>
        <v>-14408.223748224</v>
      </c>
      <c r="F21" s="30">
        <f>-Tilgungsplan!E13</f>
        <v>-14084.549709856512</v>
      </c>
      <c r="G21" s="30">
        <f>-Tilgungsplan!E14</f>
        <v>-13748.57605803106</v>
      </c>
      <c r="H21" s="30">
        <f>-Tilgungsplan!E15</f>
        <v>-13399.835407436241</v>
      </c>
      <c r="I21" s="30">
        <f>-Tilgungsplan!E16</f>
        <v>-13037.842612118819</v>
      </c>
      <c r="J21" s="30">
        <f>-Tilgungsplan!E17</f>
        <v>-12662.094090579334</v>
      </c>
      <c r="K21" s="30">
        <f>-Tilgungsplan!E18</f>
        <v>-12272.067125221349</v>
      </c>
      <c r="L21" s="30">
        <f>-Tilgungsplan!E19</f>
        <v>-11867.219135179759</v>
      </c>
      <c r="M21" s="30">
        <f>-Tilgungsplan!E20</f>
        <v>-11446.986921516591</v>
      </c>
      <c r="N21" s="30">
        <f>-Tilgungsplan!E21</f>
        <v>-11010.785883734223</v>
      </c>
      <c r="O21" s="30">
        <f>-Tilgungsplan!E22</f>
        <v>-10558.009206516123</v>
      </c>
      <c r="P21" s="30">
        <f>-Tilgungsplan!E23</f>
        <v>-10088.027015563734</v>
      </c>
      <c r="Q21" s="30">
        <f>-Tilgungsplan!E24</f>
        <v>-9600.1855013551558</v>
      </c>
    </row>
    <row r="22" spans="2:17" x14ac:dyDescent="0.25">
      <c r="B22" s="3" t="s">
        <v>130</v>
      </c>
      <c r="C22" s="30">
        <f>-Tilgungsplan!F10</f>
        <v>-7905.503999999999</v>
      </c>
      <c r="D22" s="30">
        <f>-Tilgungsplan!F11</f>
        <v>-8205.9131519999992</v>
      </c>
      <c r="E22" s="30">
        <f>-Tilgungsplan!F12</f>
        <v>-8517.7378517759989</v>
      </c>
      <c r="F22" s="30">
        <f>-Tilgungsplan!F13</f>
        <v>-8841.4118901434867</v>
      </c>
      <c r="G22" s="30">
        <f>-Tilgungsplan!F14</f>
        <v>-9177.3855419689389</v>
      </c>
      <c r="H22" s="30">
        <f>-Tilgungsplan!F15</f>
        <v>-9526.1261925637573</v>
      </c>
      <c r="I22" s="30">
        <f>-Tilgungsplan!F16</f>
        <v>-9888.1189878811801</v>
      </c>
      <c r="J22" s="30">
        <f>-Tilgungsplan!F17</f>
        <v>-10263.867509420665</v>
      </c>
      <c r="K22" s="30">
        <f>-Tilgungsplan!F18</f>
        <v>-10653.89447477865</v>
      </c>
      <c r="L22" s="30">
        <f>-Tilgungsplan!F19</f>
        <v>-11058.74246482024</v>
      </c>
      <c r="M22" s="30">
        <f>-Tilgungsplan!F20</f>
        <v>-11478.974678483408</v>
      </c>
      <c r="N22" s="30">
        <f>-Tilgungsplan!F21</f>
        <v>-11915.175716265776</v>
      </c>
      <c r="O22" s="30">
        <f>-Tilgungsplan!F22</f>
        <v>-12367.952393483876</v>
      </c>
      <c r="P22" s="30">
        <f>-Tilgungsplan!F23</f>
        <v>-12837.934584436265</v>
      </c>
      <c r="Q22" s="30">
        <f>-Tilgungsplan!F24</f>
        <v>-13325.776098644843</v>
      </c>
    </row>
    <row r="23" spans="2:17" x14ac:dyDescent="0.25">
      <c r="B23" s="33" t="s">
        <v>131</v>
      </c>
      <c r="C23" s="34">
        <f t="shared" ref="C23:Q23" si="3">C21+C22</f>
        <v>-22925.961599999999</v>
      </c>
      <c r="D23" s="34">
        <f t="shared" si="3"/>
        <v>-22925.961599999999</v>
      </c>
      <c r="E23" s="34">
        <f t="shared" si="3"/>
        <v>-22925.961599999999</v>
      </c>
      <c r="F23" s="34">
        <f t="shared" si="3"/>
        <v>-22925.961599999999</v>
      </c>
      <c r="G23" s="34">
        <f t="shared" si="3"/>
        <v>-22925.961599999999</v>
      </c>
      <c r="H23" s="34">
        <f t="shared" si="3"/>
        <v>-22925.961599999999</v>
      </c>
      <c r="I23" s="34">
        <f t="shared" si="3"/>
        <v>-22925.961599999999</v>
      </c>
      <c r="J23" s="34">
        <f t="shared" si="3"/>
        <v>-22925.961599999999</v>
      </c>
      <c r="K23" s="34">
        <f t="shared" si="3"/>
        <v>-22925.961599999999</v>
      </c>
      <c r="L23" s="34">
        <f t="shared" si="3"/>
        <v>-22925.961599999999</v>
      </c>
      <c r="M23" s="34">
        <f t="shared" si="3"/>
        <v>-22925.961599999999</v>
      </c>
      <c r="N23" s="34">
        <f t="shared" si="3"/>
        <v>-22925.961599999999</v>
      </c>
      <c r="O23" s="34">
        <f t="shared" si="3"/>
        <v>-22925.961599999999</v>
      </c>
      <c r="P23" s="34">
        <f t="shared" si="3"/>
        <v>-22925.961599999999</v>
      </c>
      <c r="Q23" s="34">
        <f t="shared" si="3"/>
        <v>-22925.961599999999</v>
      </c>
    </row>
    <row r="25" spans="2:17" x14ac:dyDescent="0.25">
      <c r="B25" s="37" t="s">
        <v>132</v>
      </c>
      <c r="C25" s="2">
        <f t="shared" ref="C25:Q25" si="4">C18+C23</f>
        <v>-4768.761599999998</v>
      </c>
      <c r="D25" s="2">
        <f t="shared" si="4"/>
        <v>-4520.8535999999986</v>
      </c>
      <c r="E25" s="2">
        <f t="shared" si="4"/>
        <v>-4269.7159800000045</v>
      </c>
      <c r="F25" s="2">
        <f t="shared" si="4"/>
        <v>-4015.3100757000102</v>
      </c>
      <c r="G25" s="2">
        <f t="shared" si="4"/>
        <v>-3757.596838435511</v>
      </c>
      <c r="H25" s="2">
        <f t="shared" si="4"/>
        <v>-3496.5368333240513</v>
      </c>
      <c r="I25" s="2">
        <f t="shared" si="4"/>
        <v>-3232.090237462151</v>
      </c>
      <c r="J25" s="2">
        <f t="shared" si="4"/>
        <v>-2964.2168381750926</v>
      </c>
      <c r="K25" s="2">
        <f t="shared" si="4"/>
        <v>-2692.8760313217463</v>
      </c>
      <c r="L25" s="2">
        <f t="shared" si="4"/>
        <v>-2418.0268196570796</v>
      </c>
      <c r="M25" s="2">
        <f t="shared" si="4"/>
        <v>-2139.6278112547589</v>
      </c>
      <c r="N25" s="2">
        <f t="shared" si="4"/>
        <v>-1857.637217992451</v>
      </c>
      <c r="O25" s="2">
        <f t="shared" si="4"/>
        <v>-1572.0128541025952</v>
      </c>
      <c r="P25" s="2">
        <f t="shared" si="4"/>
        <v>-1282.7121347911925</v>
      </c>
      <c r="Q25" s="2">
        <f t="shared" si="4"/>
        <v>-989.69207492765781</v>
      </c>
    </row>
    <row r="27" spans="2:17" ht="21.75" customHeight="1" x14ac:dyDescent="0.25">
      <c r="B27" s="62" t="s">
        <v>133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</row>
    <row r="28" spans="2:17" x14ac:dyDescent="0.25">
      <c r="B28" s="3" t="s">
        <v>134</v>
      </c>
      <c r="C28" s="29">
        <f t="shared" ref="C28:Q28" si="5">C10</f>
        <v>23047.200000000001</v>
      </c>
      <c r="D28" s="29">
        <f t="shared" si="5"/>
        <v>23392.907999999999</v>
      </c>
      <c r="E28" s="29">
        <f t="shared" si="5"/>
        <v>23743.801619999995</v>
      </c>
      <c r="F28" s="29">
        <f t="shared" si="5"/>
        <v>24099.95864429999</v>
      </c>
      <c r="G28" s="29">
        <f t="shared" si="5"/>
        <v>24461.458023964486</v>
      </c>
      <c r="H28" s="29">
        <f t="shared" si="5"/>
        <v>24828.379894323949</v>
      </c>
      <c r="I28" s="29">
        <f t="shared" si="5"/>
        <v>25200.805592738809</v>
      </c>
      <c r="J28" s="29">
        <f t="shared" si="5"/>
        <v>25578.817676629886</v>
      </c>
      <c r="K28" s="29">
        <f t="shared" si="5"/>
        <v>25962.49994177933</v>
      </c>
      <c r="L28" s="29">
        <f t="shared" si="5"/>
        <v>26351.937440906018</v>
      </c>
      <c r="M28" s="29">
        <f t="shared" si="5"/>
        <v>26747.216502519601</v>
      </c>
      <c r="N28" s="29">
        <f t="shared" si="5"/>
        <v>27148.424750057395</v>
      </c>
      <c r="O28" s="29">
        <f t="shared" si="5"/>
        <v>27555.651121308252</v>
      </c>
      <c r="P28" s="29">
        <f t="shared" si="5"/>
        <v>27968.985888127871</v>
      </c>
      <c r="Q28" s="29">
        <f t="shared" si="5"/>
        <v>28388.520676449785</v>
      </c>
    </row>
    <row r="29" spans="2:17" x14ac:dyDescent="0.25">
      <c r="B29" s="3" t="s">
        <v>135</v>
      </c>
      <c r="C29" s="30">
        <f t="shared" ref="C29:Q29" si="6">C16</f>
        <v>-4890</v>
      </c>
      <c r="D29" s="30">
        <f t="shared" si="6"/>
        <v>-4987.8</v>
      </c>
      <c r="E29" s="30">
        <f t="shared" si="6"/>
        <v>-5087.5559999999996</v>
      </c>
      <c r="F29" s="30">
        <f t="shared" si="6"/>
        <v>-5189.3071199999995</v>
      </c>
      <c r="G29" s="30">
        <f t="shared" si="6"/>
        <v>-5293.0932623999997</v>
      </c>
      <c r="H29" s="30">
        <f t="shared" si="6"/>
        <v>-5398.9551276480006</v>
      </c>
      <c r="I29" s="30">
        <f t="shared" si="6"/>
        <v>-5506.9342302009609</v>
      </c>
      <c r="J29" s="30">
        <f t="shared" si="6"/>
        <v>-5617.0729148049786</v>
      </c>
      <c r="K29" s="30">
        <f t="shared" si="6"/>
        <v>-5729.414373101079</v>
      </c>
      <c r="L29" s="30">
        <f t="shared" si="6"/>
        <v>-5844.0026605631001</v>
      </c>
      <c r="M29" s="30">
        <f t="shared" si="6"/>
        <v>-5960.8827137743619</v>
      </c>
      <c r="N29" s="30">
        <f t="shared" si="6"/>
        <v>-6080.1003680498479</v>
      </c>
      <c r="O29" s="30">
        <f t="shared" si="6"/>
        <v>-6201.7023754108468</v>
      </c>
      <c r="P29" s="30">
        <f t="shared" si="6"/>
        <v>-6325.7364229190625</v>
      </c>
      <c r="Q29" s="30">
        <f t="shared" si="6"/>
        <v>-6452.2511513774443</v>
      </c>
    </row>
    <row r="30" spans="2:17" x14ac:dyDescent="0.25">
      <c r="B30" s="3" t="s">
        <v>136</v>
      </c>
      <c r="C30" s="30">
        <f t="shared" ref="C30:Q30" si="7">C21</f>
        <v>-15020.4576</v>
      </c>
      <c r="D30" s="30">
        <f t="shared" si="7"/>
        <v>-14720.048448</v>
      </c>
      <c r="E30" s="30">
        <f t="shared" si="7"/>
        <v>-14408.223748224</v>
      </c>
      <c r="F30" s="30">
        <f t="shared" si="7"/>
        <v>-14084.549709856512</v>
      </c>
      <c r="G30" s="30">
        <f t="shared" si="7"/>
        <v>-13748.57605803106</v>
      </c>
      <c r="H30" s="30">
        <f t="shared" si="7"/>
        <v>-13399.835407436241</v>
      </c>
      <c r="I30" s="30">
        <f t="shared" si="7"/>
        <v>-13037.842612118819</v>
      </c>
      <c r="J30" s="30">
        <f t="shared" si="7"/>
        <v>-12662.094090579334</v>
      </c>
      <c r="K30" s="30">
        <f t="shared" si="7"/>
        <v>-12272.067125221349</v>
      </c>
      <c r="L30" s="30">
        <f t="shared" si="7"/>
        <v>-11867.219135179759</v>
      </c>
      <c r="M30" s="30">
        <f t="shared" si="7"/>
        <v>-11446.986921516591</v>
      </c>
      <c r="N30" s="30">
        <f t="shared" si="7"/>
        <v>-11010.785883734223</v>
      </c>
      <c r="O30" s="30">
        <f t="shared" si="7"/>
        <v>-10558.009206516123</v>
      </c>
      <c r="P30" s="30">
        <f t="shared" si="7"/>
        <v>-10088.027015563734</v>
      </c>
      <c r="Q30" s="30">
        <f t="shared" si="7"/>
        <v>-9600.1855013551558</v>
      </c>
    </row>
    <row r="31" spans="2:17" x14ac:dyDescent="0.25">
      <c r="B31" s="3" t="s">
        <v>137</v>
      </c>
      <c r="C31" s="30">
        <f>-Eingaben!F32</f>
        <v>-6720</v>
      </c>
      <c r="D31" s="30">
        <f>-Eingaben!F32</f>
        <v>-6720</v>
      </c>
      <c r="E31" s="30">
        <f>-Eingaben!F32</f>
        <v>-6720</v>
      </c>
      <c r="F31" s="30">
        <f>-Eingaben!F32</f>
        <v>-6720</v>
      </c>
      <c r="G31" s="30">
        <f>-Eingaben!F32</f>
        <v>-6720</v>
      </c>
      <c r="H31" s="30">
        <f>-Eingaben!F32</f>
        <v>-6720</v>
      </c>
      <c r="I31" s="30">
        <f>-Eingaben!F32</f>
        <v>-6720</v>
      </c>
      <c r="J31" s="30">
        <f>-Eingaben!F32</f>
        <v>-6720</v>
      </c>
      <c r="K31" s="30">
        <f>-Eingaben!F32</f>
        <v>-6720</v>
      </c>
      <c r="L31" s="30">
        <f>-Eingaben!F32</f>
        <v>-6720</v>
      </c>
      <c r="M31" s="30">
        <f>-Eingaben!F32</f>
        <v>-6720</v>
      </c>
      <c r="N31" s="30">
        <f>-Eingaben!F32</f>
        <v>-6720</v>
      </c>
      <c r="O31" s="30">
        <f>-Eingaben!F32</f>
        <v>-6720</v>
      </c>
      <c r="P31" s="30">
        <f>-Eingaben!F32</f>
        <v>-6720</v>
      </c>
      <c r="Q31" s="30">
        <f>-Eingaben!F32</f>
        <v>-6720</v>
      </c>
    </row>
    <row r="32" spans="2:17" x14ac:dyDescent="0.25">
      <c r="B32" s="1" t="s">
        <v>138</v>
      </c>
      <c r="C32" s="2">
        <f t="shared" ref="C32:Q32" si="8">SUM(C28:C31)</f>
        <v>-3583.257599999999</v>
      </c>
      <c r="D32" s="2">
        <f t="shared" si="8"/>
        <v>-3034.9404479999994</v>
      </c>
      <c r="E32" s="2">
        <f t="shared" si="8"/>
        <v>-2471.9781282240056</v>
      </c>
      <c r="F32" s="2">
        <f t="shared" si="8"/>
        <v>-1893.8981855565235</v>
      </c>
      <c r="G32" s="2">
        <f t="shared" si="8"/>
        <v>-1300.2112964665721</v>
      </c>
      <c r="H32" s="2">
        <f t="shared" si="8"/>
        <v>-690.41064076029397</v>
      </c>
      <c r="I32" s="2">
        <f t="shared" si="8"/>
        <v>-63.971249580970834</v>
      </c>
      <c r="J32" s="2">
        <f t="shared" si="8"/>
        <v>579.65067124557208</v>
      </c>
      <c r="K32" s="2">
        <f t="shared" si="8"/>
        <v>1241.0184434569037</v>
      </c>
      <c r="L32" s="2">
        <f t="shared" si="8"/>
        <v>1920.7156451631599</v>
      </c>
      <c r="M32" s="2">
        <f t="shared" si="8"/>
        <v>2619.346867228649</v>
      </c>
      <c r="N32" s="2">
        <f t="shared" si="8"/>
        <v>3337.5384982733249</v>
      </c>
      <c r="O32" s="2">
        <f t="shared" si="8"/>
        <v>4075.9395393812811</v>
      </c>
      <c r="P32" s="2">
        <f t="shared" si="8"/>
        <v>4835.2224496450726</v>
      </c>
      <c r="Q32" s="2">
        <f t="shared" si="8"/>
        <v>5616.0840237171851</v>
      </c>
    </row>
    <row r="33" spans="2:17" x14ac:dyDescent="0.25">
      <c r="B33" s="3" t="s">
        <v>139</v>
      </c>
      <c r="C33" s="29">
        <f>-C32*Eingaben!C33</f>
        <v>1504.9681919999996</v>
      </c>
      <c r="D33" s="29">
        <f>-D32*Eingaben!C33</f>
        <v>1274.6749881599997</v>
      </c>
      <c r="E33" s="29">
        <f>-E32*Eingaben!C33</f>
        <v>1038.2308138540823</v>
      </c>
      <c r="F33" s="29">
        <f>-F32*Eingaben!C33</f>
        <v>795.43723793373988</v>
      </c>
      <c r="G33" s="29">
        <f>-G32*Eingaben!C33</f>
        <v>546.08874451596023</v>
      </c>
      <c r="H33" s="29">
        <f>-H32*Eingaben!C33</f>
        <v>289.97246911932348</v>
      </c>
      <c r="I33" s="29">
        <f>-I32*Eingaben!C33</f>
        <v>26.867924824007748</v>
      </c>
      <c r="J33" s="29">
        <f>-J32*Eingaben!C33</f>
        <v>-243.45328192314025</v>
      </c>
      <c r="K33" s="29">
        <f>-K32*Eingaben!C33</f>
        <v>-521.22774625189959</v>
      </c>
      <c r="L33" s="29">
        <f>-L32*Eingaben!C33</f>
        <v>-806.70057096852713</v>
      </c>
      <c r="M33" s="29">
        <f>-M32*Eingaben!C33</f>
        <v>-1100.1256842360326</v>
      </c>
      <c r="N33" s="29">
        <f>-N32*Eingaben!C33</f>
        <v>-1401.7661692747963</v>
      </c>
      <c r="O33" s="29">
        <f>-O32*Eingaben!C33</f>
        <v>-1711.8946065401381</v>
      </c>
      <c r="P33" s="29">
        <f>-P32*Eingaben!C33</f>
        <v>-2030.7934288509305</v>
      </c>
      <c r="Q33" s="29">
        <f>-Q32*Eingaben!C33</f>
        <v>-2358.7552899612178</v>
      </c>
    </row>
    <row r="35" spans="2:17" x14ac:dyDescent="0.25">
      <c r="B35" s="31" t="s">
        <v>140</v>
      </c>
      <c r="C35" s="32">
        <f t="shared" ref="C35:Q35" si="9">C25+C33</f>
        <v>-3263.7934079999986</v>
      </c>
      <c r="D35" s="32">
        <f t="shared" si="9"/>
        <v>-3246.1786118399987</v>
      </c>
      <c r="E35" s="32">
        <f t="shared" si="9"/>
        <v>-3231.4851661459224</v>
      </c>
      <c r="F35" s="32">
        <f t="shared" si="9"/>
        <v>-3219.8728377662701</v>
      </c>
      <c r="G35" s="32">
        <f t="shared" si="9"/>
        <v>-3211.5080939195509</v>
      </c>
      <c r="H35" s="32">
        <f t="shared" si="9"/>
        <v>-3206.564364204728</v>
      </c>
      <c r="I35" s="32">
        <f t="shared" si="9"/>
        <v>-3205.2223126381432</v>
      </c>
      <c r="J35" s="32">
        <f t="shared" si="9"/>
        <v>-3207.6701200982329</v>
      </c>
      <c r="K35" s="32">
        <f t="shared" si="9"/>
        <v>-3214.1037775736459</v>
      </c>
      <c r="L35" s="32">
        <f t="shared" si="9"/>
        <v>-3224.7273906256069</v>
      </c>
      <c r="M35" s="32">
        <f t="shared" si="9"/>
        <v>-3239.7534954907915</v>
      </c>
      <c r="N35" s="32">
        <f t="shared" si="9"/>
        <v>-3259.4033872672471</v>
      </c>
      <c r="O35" s="32">
        <f t="shared" si="9"/>
        <v>-3283.907460642733</v>
      </c>
      <c r="P35" s="32">
        <f t="shared" si="9"/>
        <v>-3313.505563642123</v>
      </c>
      <c r="Q35" s="32">
        <f t="shared" si="9"/>
        <v>-3348.4473648888757</v>
      </c>
    </row>
    <row r="37" spans="2:17" ht="21.75" customHeight="1" x14ac:dyDescent="0.25">
      <c r="B37" s="57" t="s">
        <v>141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</row>
    <row r="38" spans="2:17" x14ac:dyDescent="0.25">
      <c r="B38" s="1" t="s">
        <v>142</v>
      </c>
      <c r="C38" s="2">
        <f>C35</f>
        <v>-3263.7934079999986</v>
      </c>
      <c r="D38" s="2">
        <f t="shared" ref="D38:Q38" si="10">C38+D35</f>
        <v>-6509.9720198399973</v>
      </c>
      <c r="E38" s="2">
        <f t="shared" si="10"/>
        <v>-9741.4571859859207</v>
      </c>
      <c r="F38" s="2">
        <f t="shared" si="10"/>
        <v>-12961.330023752191</v>
      </c>
      <c r="G38" s="2">
        <f t="shared" si="10"/>
        <v>-16172.838117671741</v>
      </c>
      <c r="H38" s="2">
        <f t="shared" si="10"/>
        <v>-19379.40248187647</v>
      </c>
      <c r="I38" s="2">
        <f t="shared" si="10"/>
        <v>-22584.624794514613</v>
      </c>
      <c r="J38" s="2">
        <f t="shared" si="10"/>
        <v>-25792.294914612845</v>
      </c>
      <c r="K38" s="2">
        <f t="shared" si="10"/>
        <v>-29006.398692186493</v>
      </c>
      <c r="L38" s="2">
        <f t="shared" si="10"/>
        <v>-32231.126082812101</v>
      </c>
      <c r="M38" s="2">
        <f t="shared" si="10"/>
        <v>-35470.879578302891</v>
      </c>
      <c r="N38" s="2">
        <f t="shared" si="10"/>
        <v>-38730.282965570135</v>
      </c>
      <c r="O38" s="2">
        <f t="shared" si="10"/>
        <v>-42014.190426212866</v>
      </c>
      <c r="P38" s="2">
        <f t="shared" si="10"/>
        <v>-45327.69598985499</v>
      </c>
      <c r="Q38" s="2">
        <f t="shared" si="10"/>
        <v>-48676.143354743865</v>
      </c>
    </row>
  </sheetData>
  <mergeCells count="6">
    <mergeCell ref="B37:Q37"/>
    <mergeCell ref="B2:Q3"/>
    <mergeCell ref="B7:Q7"/>
    <mergeCell ref="B12:Q12"/>
    <mergeCell ref="B20:Q20"/>
    <mergeCell ref="B27:Q27"/>
  </mergeCells>
  <conditionalFormatting sqref="C35:Q35">
    <cfRule type="cellIs" dxfId="5" priority="2" operator="greaterThan">
      <formula>0</formula>
    </cfRule>
    <cfRule type="cellIs" dxfId="4" priority="3" operator="lessThan">
      <formula>0</formula>
    </cfRule>
  </conditionalFormatting>
  <conditionalFormatting sqref="C38:Q38">
    <cfRule type="cellIs" dxfId="3" priority="4" operator="greaterThan">
      <formula>0</formula>
    </cfRule>
    <cfRule type="cellIs" dxfId="2" priority="5" operator="lessThan">
      <formula>0</formula>
    </cfRule>
  </conditionalFormatting>
  <printOptions horizontalCentered="1"/>
  <pageMargins left="0.75" right="0.75" top="1" bottom="1" header="0.511811023622047" footer="0.511811023622047"/>
  <pageSetup paperSize="8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E66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40" customWidth="1"/>
    <col min="3" max="3" width="18" customWidth="1"/>
    <col min="4" max="4" width="4" customWidth="1"/>
    <col min="5" max="5" width="50" customWidth="1"/>
  </cols>
  <sheetData>
    <row r="2" spans="2:5" ht="21.75" customHeight="1" x14ac:dyDescent="0.25">
      <c r="B2" s="60" t="s">
        <v>8</v>
      </c>
      <c r="C2" s="60"/>
      <c r="D2" s="60"/>
      <c r="E2" s="60"/>
    </row>
    <row r="3" spans="2:5" ht="21.75" customHeight="1" x14ac:dyDescent="0.25">
      <c r="B3" s="60"/>
      <c r="C3" s="60"/>
      <c r="D3" s="60"/>
      <c r="E3" s="60"/>
    </row>
    <row r="5" spans="2:5" ht="21.75" customHeight="1" x14ac:dyDescent="0.25">
      <c r="B5" s="57" t="s">
        <v>143</v>
      </c>
      <c r="C5" s="57"/>
      <c r="D5" s="57"/>
      <c r="E5" s="57"/>
    </row>
    <row r="6" spans="2:5" x14ac:dyDescent="0.25">
      <c r="B6" s="4" t="s">
        <v>144</v>
      </c>
      <c r="C6" s="4" t="s">
        <v>20</v>
      </c>
      <c r="E6" s="4" t="s">
        <v>145</v>
      </c>
    </row>
    <row r="7" spans="2:5" x14ac:dyDescent="0.25">
      <c r="B7" s="1" t="s">
        <v>146</v>
      </c>
      <c r="C7" s="25">
        <f>Eingaben!F19/Eingaben!C14</f>
        <v>5.6571428571428571E-2</v>
      </c>
      <c r="E7" s="38" t="s">
        <v>147</v>
      </c>
    </row>
    <row r="8" spans="2:5" x14ac:dyDescent="0.25">
      <c r="B8" s="1" t="s">
        <v>148</v>
      </c>
      <c r="C8" s="25">
        <f>(Cashflow!C10+Cashflow!C16)/Eingaben!C29</f>
        <v>3.6748472962634643E-2</v>
      </c>
      <c r="E8" s="38" t="s">
        <v>149</v>
      </c>
    </row>
    <row r="9" spans="2:5" x14ac:dyDescent="0.25">
      <c r="B9" s="1" t="s">
        <v>150</v>
      </c>
      <c r="C9" s="39">
        <f>Eingaben!C14/Eingaben!F19</f>
        <v>17.676767676767678</v>
      </c>
      <c r="E9" s="38" t="s">
        <v>151</v>
      </c>
    </row>
    <row r="10" spans="2:5" x14ac:dyDescent="0.25">
      <c r="B10" s="1" t="s">
        <v>152</v>
      </c>
      <c r="C10" s="39">
        <f>Eingaben!C14/Eingaben!F19</f>
        <v>17.676767676767678</v>
      </c>
      <c r="E10" s="38" t="s">
        <v>153</v>
      </c>
    </row>
    <row r="11" spans="2:5" x14ac:dyDescent="0.25">
      <c r="B11" s="1" t="s">
        <v>154</v>
      </c>
      <c r="C11" s="40">
        <f>Eingaben!C14/Eingaben!C8</f>
        <v>2333.3333333333335</v>
      </c>
      <c r="E11" s="38" t="s">
        <v>155</v>
      </c>
    </row>
    <row r="12" spans="2:5" x14ac:dyDescent="0.25">
      <c r="B12" s="1" t="s">
        <v>156</v>
      </c>
      <c r="C12" s="25">
        <f>Eingaben!F10</f>
        <v>0.02</v>
      </c>
      <c r="E12" s="38" t="s">
        <v>157</v>
      </c>
    </row>
    <row r="15" spans="2:5" ht="21.75" customHeight="1" x14ac:dyDescent="0.25">
      <c r="B15" s="57" t="s">
        <v>158</v>
      </c>
      <c r="C15" s="57"/>
      <c r="D15" s="57"/>
      <c r="E15" s="57"/>
    </row>
    <row r="16" spans="2:5" x14ac:dyDescent="0.25">
      <c r="B16" s="4" t="s">
        <v>144</v>
      </c>
      <c r="C16" s="4" t="s">
        <v>20</v>
      </c>
      <c r="E16" s="4" t="s">
        <v>145</v>
      </c>
    </row>
    <row r="17" spans="2:5" x14ac:dyDescent="0.25">
      <c r="B17" s="1" t="s">
        <v>159</v>
      </c>
      <c r="C17" s="25">
        <f>Cashflow!C25/Eingaben!F7</f>
        <v>-4.8257635186826776E-2</v>
      </c>
      <c r="E17" s="38" t="s">
        <v>160</v>
      </c>
    </row>
    <row r="18" spans="2:5" x14ac:dyDescent="0.25">
      <c r="B18" s="1" t="s">
        <v>161</v>
      </c>
      <c r="C18" s="25">
        <f>Cashflow!C35/Eingaben!F7</f>
        <v>-3.3028061542945256E-2</v>
      </c>
      <c r="E18" s="38" t="s">
        <v>162</v>
      </c>
    </row>
    <row r="19" spans="2:5" ht="25.5" x14ac:dyDescent="0.25">
      <c r="B19" s="1" t="s">
        <v>163</v>
      </c>
      <c r="C19" s="25">
        <f>(Cashflow!C35+Tilgungsplan!F10+Eingaben!C14*Eingaben!C34)/Eingaben!F7</f>
        <v>0.11072498949592587</v>
      </c>
      <c r="E19" s="38" t="s">
        <v>164</v>
      </c>
    </row>
    <row r="20" spans="2:5" x14ac:dyDescent="0.25">
      <c r="B20" s="1" t="s">
        <v>165</v>
      </c>
      <c r="C20" s="25">
        <f>IRR(C51:C66)</f>
        <v>5.2955773442783016E-2</v>
      </c>
      <c r="E20" s="38" t="s">
        <v>166</v>
      </c>
    </row>
    <row r="21" spans="2:5" x14ac:dyDescent="0.25">
      <c r="B21" s="1" t="s">
        <v>167</v>
      </c>
      <c r="C21" s="2">
        <f>NPV(Eingaben!F34,C52:C66)+C51</f>
        <v>5011.7922821523243</v>
      </c>
      <c r="E21" s="38" t="s">
        <v>168</v>
      </c>
    </row>
    <row r="22" spans="2:5" x14ac:dyDescent="0.25">
      <c r="B22" s="1" t="s">
        <v>169</v>
      </c>
      <c r="C22" s="41">
        <f>Eingaben!F7/Cashflow!C35</f>
        <v>-30.277284021035697</v>
      </c>
      <c r="E22" s="38" t="s">
        <v>170</v>
      </c>
    </row>
    <row r="25" spans="2:5" ht="21.75" customHeight="1" x14ac:dyDescent="0.25">
      <c r="B25" s="62" t="s">
        <v>171</v>
      </c>
      <c r="C25" s="62"/>
      <c r="D25" s="62"/>
      <c r="E25" s="62"/>
    </row>
    <row r="26" spans="2:5" x14ac:dyDescent="0.25">
      <c r="B26" s="42" t="s">
        <v>19</v>
      </c>
      <c r="C26" s="42" t="s">
        <v>20</v>
      </c>
      <c r="E26" s="42" t="s">
        <v>145</v>
      </c>
    </row>
    <row r="27" spans="2:5" x14ac:dyDescent="0.25">
      <c r="B27" s="1" t="s">
        <v>21</v>
      </c>
      <c r="C27" s="2">
        <f>Eingaben!F7</f>
        <v>98818.8</v>
      </c>
      <c r="E27" s="38" t="s">
        <v>172</v>
      </c>
    </row>
    <row r="28" spans="2:5" x14ac:dyDescent="0.25">
      <c r="B28" s="1" t="s">
        <v>173</v>
      </c>
      <c r="C28" s="2">
        <f>Eingaben!C14*(1+Eingaben!C34)^15</f>
        <v>525097.46799483406</v>
      </c>
      <c r="E28" s="38" t="s">
        <v>174</v>
      </c>
    </row>
    <row r="29" spans="2:5" x14ac:dyDescent="0.25">
      <c r="B29" s="1" t="s">
        <v>175</v>
      </c>
      <c r="C29" s="2">
        <f>Tilgungsplan!G24</f>
        <v>239310.68446333293</v>
      </c>
      <c r="E29" s="38" t="s">
        <v>176</v>
      </c>
    </row>
    <row r="30" spans="2:5" x14ac:dyDescent="0.25">
      <c r="B30" s="1" t="s">
        <v>177</v>
      </c>
      <c r="C30" s="2">
        <f>Eingaben!C14*(1+Eingaben!C34)^15-Tilgungsplan!G24</f>
        <v>285786.78353150113</v>
      </c>
      <c r="E30" s="38" t="s">
        <v>178</v>
      </c>
    </row>
    <row r="31" spans="2:5" x14ac:dyDescent="0.25">
      <c r="B31" s="1" t="s">
        <v>179</v>
      </c>
      <c r="C31" s="2">
        <f>Cashflow!Q38</f>
        <v>-48676.143354743865</v>
      </c>
      <c r="E31" s="38" t="s">
        <v>180</v>
      </c>
    </row>
    <row r="32" spans="2:5" x14ac:dyDescent="0.25">
      <c r="B32" s="1" t="s">
        <v>181</v>
      </c>
      <c r="C32" s="2">
        <f>Eingaben!C14*(1+Eingaben!C34)^15-Tilgungsplan!G24+Cashflow!Q38</f>
        <v>237110.64017675727</v>
      </c>
      <c r="E32" s="38" t="s">
        <v>182</v>
      </c>
    </row>
    <row r="33" spans="2:5" x14ac:dyDescent="0.25">
      <c r="B33" s="1" t="s">
        <v>183</v>
      </c>
      <c r="C33" s="2">
        <f>Eingaben!C14*(1+Eingaben!C34)^15-Tilgungsplan!G24+Cashflow!Q38-Eingaben!F7</f>
        <v>138291.84017675725</v>
      </c>
      <c r="E33" s="38" t="s">
        <v>184</v>
      </c>
    </row>
    <row r="34" spans="2:5" x14ac:dyDescent="0.25">
      <c r="B34" s="1" t="s">
        <v>185</v>
      </c>
      <c r="C34" s="25">
        <f>(Eingaben!C14*(1+Eingaben!C34)^15-Tilgungsplan!G24+Cashflow!Q38-Eingaben!F7)/Eingaben!F7</f>
        <v>1.399448689690193</v>
      </c>
      <c r="E34" s="38" t="s">
        <v>186</v>
      </c>
    </row>
    <row r="50" spans="2:3" x14ac:dyDescent="0.25">
      <c r="B50" s="43" t="s">
        <v>187</v>
      </c>
    </row>
    <row r="51" spans="2:3" x14ac:dyDescent="0.25">
      <c r="B51" s="44" t="s">
        <v>188</v>
      </c>
      <c r="C51" s="45">
        <f>-Eingaben!F7</f>
        <v>-98818.8</v>
      </c>
    </row>
    <row r="52" spans="2:3" x14ac:dyDescent="0.25">
      <c r="B52" s="44" t="s">
        <v>189</v>
      </c>
      <c r="C52" s="45">
        <f>Cashflow!C35</f>
        <v>-3263.7934079999986</v>
      </c>
    </row>
    <row r="53" spans="2:3" x14ac:dyDescent="0.25">
      <c r="B53" s="44" t="s">
        <v>190</v>
      </c>
      <c r="C53" s="45">
        <f>Cashflow!D35</f>
        <v>-3246.1786118399987</v>
      </c>
    </row>
    <row r="54" spans="2:3" x14ac:dyDescent="0.25">
      <c r="B54" s="44" t="s">
        <v>191</v>
      </c>
      <c r="C54" s="45">
        <f>Cashflow!E35</f>
        <v>-3231.4851661459224</v>
      </c>
    </row>
    <row r="55" spans="2:3" x14ac:dyDescent="0.25">
      <c r="B55" s="44" t="s">
        <v>192</v>
      </c>
      <c r="C55" s="45">
        <f>Cashflow!F35</f>
        <v>-3219.8728377662701</v>
      </c>
    </row>
    <row r="56" spans="2:3" x14ac:dyDescent="0.25">
      <c r="B56" s="44" t="s">
        <v>193</v>
      </c>
      <c r="C56" s="45">
        <f>Cashflow!G35</f>
        <v>-3211.5080939195509</v>
      </c>
    </row>
    <row r="57" spans="2:3" x14ac:dyDescent="0.25">
      <c r="B57" s="44" t="s">
        <v>194</v>
      </c>
      <c r="C57" s="45">
        <f>Cashflow!H35</f>
        <v>-3206.564364204728</v>
      </c>
    </row>
    <row r="58" spans="2:3" x14ac:dyDescent="0.25">
      <c r="B58" s="44" t="s">
        <v>195</v>
      </c>
      <c r="C58" s="45">
        <f>Cashflow!I35</f>
        <v>-3205.2223126381432</v>
      </c>
    </row>
    <row r="59" spans="2:3" x14ac:dyDescent="0.25">
      <c r="B59" s="44" t="s">
        <v>196</v>
      </c>
      <c r="C59" s="45">
        <f>Cashflow!J35</f>
        <v>-3207.6701200982329</v>
      </c>
    </row>
    <row r="60" spans="2:3" x14ac:dyDescent="0.25">
      <c r="B60" s="44" t="s">
        <v>197</v>
      </c>
      <c r="C60" s="45">
        <f>Cashflow!K35</f>
        <v>-3214.1037775736459</v>
      </c>
    </row>
    <row r="61" spans="2:3" x14ac:dyDescent="0.25">
      <c r="B61" s="44" t="s">
        <v>198</v>
      </c>
      <c r="C61" s="45">
        <f>Cashflow!L35</f>
        <v>-3224.7273906256069</v>
      </c>
    </row>
    <row r="62" spans="2:3" x14ac:dyDescent="0.25">
      <c r="B62" s="44" t="s">
        <v>199</v>
      </c>
      <c r="C62" s="45">
        <f>Cashflow!M35</f>
        <v>-3239.7534954907915</v>
      </c>
    </row>
    <row r="63" spans="2:3" x14ac:dyDescent="0.25">
      <c r="B63" s="44" t="s">
        <v>200</v>
      </c>
      <c r="C63" s="45">
        <f>Cashflow!N35</f>
        <v>-3259.4033872672471</v>
      </c>
    </row>
    <row r="64" spans="2:3" x14ac:dyDescent="0.25">
      <c r="B64" s="44" t="s">
        <v>201</v>
      </c>
      <c r="C64" s="45">
        <f>Cashflow!O35</f>
        <v>-3283.907460642733</v>
      </c>
    </row>
    <row r="65" spans="2:3" x14ac:dyDescent="0.25">
      <c r="B65" s="44" t="s">
        <v>202</v>
      </c>
      <c r="C65" s="45">
        <f>Cashflow!P35</f>
        <v>-3313.505563642123</v>
      </c>
    </row>
    <row r="66" spans="2:3" x14ac:dyDescent="0.25">
      <c r="B66" s="44" t="s">
        <v>203</v>
      </c>
      <c r="C66" s="45">
        <f>Cashflow!Q35+Eingaben!C14*(1+Eingaben!C34)^15-Tilgungsplan!G24</f>
        <v>282438.33616661228</v>
      </c>
    </row>
  </sheetData>
  <mergeCells count="4">
    <mergeCell ref="B2:E3"/>
    <mergeCell ref="B5:E5"/>
    <mergeCell ref="B15:E15"/>
    <mergeCell ref="B25:E25"/>
  </mergeCells>
  <conditionalFormatting sqref="C7:C34">
    <cfRule type="cellIs" dxfId="1" priority="2" operator="greaterThan">
      <formula>0</formula>
    </cfRule>
    <cfRule type="cellIs" dxfId="0" priority="3" operator="lessThan">
      <formula>0</formula>
    </cfRule>
  </conditionalFormatting>
  <pageMargins left="0.75" right="0.75" top="1" bottom="1" header="0.511811023622047" footer="0.511811023622047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C53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28" customWidth="1"/>
    <col min="3" max="3" width="80" customWidth="1"/>
  </cols>
  <sheetData>
    <row r="2" spans="2:3" ht="21.75" customHeight="1" x14ac:dyDescent="0.25">
      <c r="B2" s="60" t="s">
        <v>204</v>
      </c>
      <c r="C2" s="60"/>
    </row>
    <row r="3" spans="2:3" ht="21.75" customHeight="1" x14ac:dyDescent="0.25">
      <c r="B3" s="60"/>
      <c r="C3" s="60"/>
    </row>
    <row r="5" spans="2:3" ht="15.75" x14ac:dyDescent="0.25">
      <c r="B5" s="67" t="s">
        <v>205</v>
      </c>
      <c r="C5" s="67"/>
    </row>
    <row r="6" spans="2:3" ht="60" customHeight="1" x14ac:dyDescent="0.25">
      <c r="B6" s="68" t="s">
        <v>206</v>
      </c>
      <c r="C6" s="68"/>
    </row>
    <row r="8" spans="2:3" ht="15.75" x14ac:dyDescent="0.25">
      <c r="B8" s="66" t="s">
        <v>207</v>
      </c>
      <c r="C8" s="66"/>
    </row>
    <row r="9" spans="2:3" ht="37.5" customHeight="1" x14ac:dyDescent="0.25">
      <c r="B9" s="46" t="s">
        <v>208</v>
      </c>
      <c r="C9" s="47" t="s">
        <v>209</v>
      </c>
    </row>
    <row r="10" spans="2:3" ht="37.5" customHeight="1" x14ac:dyDescent="0.25">
      <c r="B10" s="46" t="s">
        <v>210</v>
      </c>
      <c r="C10" s="47" t="s">
        <v>211</v>
      </c>
    </row>
    <row r="11" spans="2:3" ht="37.5" customHeight="1" x14ac:dyDescent="0.25">
      <c r="B11" s="46" t="s">
        <v>96</v>
      </c>
      <c r="C11" s="47" t="s">
        <v>212</v>
      </c>
    </row>
    <row r="12" spans="2:3" ht="37.5" customHeight="1" x14ac:dyDescent="0.25">
      <c r="B12" s="46" t="s">
        <v>213</v>
      </c>
      <c r="C12" s="47" t="s">
        <v>214</v>
      </c>
    </row>
    <row r="13" spans="2:3" ht="37.5" customHeight="1" x14ac:dyDescent="0.25">
      <c r="B13" s="46" t="s">
        <v>215</v>
      </c>
      <c r="C13" s="47" t="s">
        <v>216</v>
      </c>
    </row>
    <row r="14" spans="2:3" ht="37.5" customHeight="1" x14ac:dyDescent="0.25">
      <c r="B14" s="46" t="s">
        <v>217</v>
      </c>
      <c r="C14" s="47" t="s">
        <v>218</v>
      </c>
    </row>
    <row r="15" spans="2:3" ht="37.5" customHeight="1" x14ac:dyDescent="0.25">
      <c r="B15" s="46" t="s">
        <v>219</v>
      </c>
      <c r="C15" s="47" t="s">
        <v>220</v>
      </c>
    </row>
    <row r="17" spans="2:3" ht="15.75" x14ac:dyDescent="0.25">
      <c r="B17" s="66" t="s">
        <v>221</v>
      </c>
      <c r="C17" s="66"/>
    </row>
    <row r="18" spans="2:3" ht="33.75" customHeight="1" x14ac:dyDescent="0.25">
      <c r="B18" s="46" t="s">
        <v>222</v>
      </c>
      <c r="C18" s="47" t="s">
        <v>223</v>
      </c>
    </row>
    <row r="19" spans="2:3" ht="33.75" customHeight="1" x14ac:dyDescent="0.25">
      <c r="B19" s="46" t="s">
        <v>224</v>
      </c>
      <c r="C19" s="47" t="s">
        <v>225</v>
      </c>
    </row>
    <row r="20" spans="2:3" ht="33.75" customHeight="1" x14ac:dyDescent="0.25">
      <c r="B20" s="46" t="s">
        <v>226</v>
      </c>
      <c r="C20" s="47" t="s">
        <v>227</v>
      </c>
    </row>
    <row r="21" spans="2:3" ht="33.75" customHeight="1" x14ac:dyDescent="0.25">
      <c r="B21" s="46" t="s">
        <v>228</v>
      </c>
      <c r="C21" s="47" t="s">
        <v>229</v>
      </c>
    </row>
    <row r="22" spans="2:3" ht="33.75" customHeight="1" x14ac:dyDescent="0.25">
      <c r="B22" s="46" t="s">
        <v>230</v>
      </c>
      <c r="C22" s="47" t="s">
        <v>231</v>
      </c>
    </row>
    <row r="23" spans="2:3" ht="33.75" customHeight="1" x14ac:dyDescent="0.25">
      <c r="B23" s="46" t="s">
        <v>232</v>
      </c>
      <c r="C23" s="47" t="s">
        <v>233</v>
      </c>
    </row>
    <row r="24" spans="2:3" ht="33.75" customHeight="1" x14ac:dyDescent="0.25">
      <c r="B24" s="46" t="s">
        <v>234</v>
      </c>
      <c r="C24" s="47" t="s">
        <v>235</v>
      </c>
    </row>
    <row r="25" spans="2:3" ht="33.75" customHeight="1" x14ac:dyDescent="0.25">
      <c r="B25" s="46" t="s">
        <v>236</v>
      </c>
      <c r="C25" s="47" t="s">
        <v>237</v>
      </c>
    </row>
    <row r="27" spans="2:3" ht="15.75" x14ac:dyDescent="0.25">
      <c r="B27" s="66" t="s">
        <v>238</v>
      </c>
      <c r="C27" s="66"/>
    </row>
    <row r="28" spans="2:3" ht="36" customHeight="1" x14ac:dyDescent="0.25">
      <c r="B28" s="46" t="s">
        <v>146</v>
      </c>
      <c r="C28" s="47" t="s">
        <v>239</v>
      </c>
    </row>
    <row r="29" spans="2:3" ht="36" customHeight="1" x14ac:dyDescent="0.25">
      <c r="B29" s="46" t="s">
        <v>240</v>
      </c>
      <c r="C29" s="47" t="s">
        <v>241</v>
      </c>
    </row>
    <row r="30" spans="2:3" ht="36" customHeight="1" x14ac:dyDescent="0.25">
      <c r="B30" s="46" t="s">
        <v>242</v>
      </c>
      <c r="C30" s="47" t="s">
        <v>243</v>
      </c>
    </row>
    <row r="31" spans="2:3" ht="36" customHeight="1" x14ac:dyDescent="0.25">
      <c r="B31" s="46" t="s">
        <v>244</v>
      </c>
      <c r="C31" s="47" t="s">
        <v>245</v>
      </c>
    </row>
    <row r="32" spans="2:3" ht="36" customHeight="1" x14ac:dyDescent="0.25">
      <c r="B32" s="46" t="s">
        <v>246</v>
      </c>
      <c r="C32" s="47" t="s">
        <v>247</v>
      </c>
    </row>
    <row r="33" spans="2:3" ht="36" customHeight="1" x14ac:dyDescent="0.25">
      <c r="B33" s="46" t="s">
        <v>248</v>
      </c>
      <c r="C33" s="47" t="s">
        <v>249</v>
      </c>
    </row>
    <row r="34" spans="2:3" ht="36" customHeight="1" x14ac:dyDescent="0.25">
      <c r="B34" s="46" t="s">
        <v>250</v>
      </c>
      <c r="C34" s="47" t="s">
        <v>251</v>
      </c>
    </row>
    <row r="35" spans="2:3" ht="36" customHeight="1" x14ac:dyDescent="0.25">
      <c r="B35" s="46" t="s">
        <v>252</v>
      </c>
      <c r="C35" s="47" t="s">
        <v>253</v>
      </c>
    </row>
    <row r="37" spans="2:3" ht="15.75" x14ac:dyDescent="0.25">
      <c r="B37" s="66" t="s">
        <v>254</v>
      </c>
      <c r="C37" s="66"/>
    </row>
    <row r="38" spans="2:3" ht="24" customHeight="1" x14ac:dyDescent="0.25">
      <c r="B38" s="48" t="s">
        <v>255</v>
      </c>
      <c r="C38" s="47" t="s">
        <v>256</v>
      </c>
    </row>
    <row r="39" spans="2:3" ht="24" customHeight="1" x14ac:dyDescent="0.25">
      <c r="B39" s="37" t="s">
        <v>257</v>
      </c>
      <c r="C39" s="47" t="s">
        <v>258</v>
      </c>
    </row>
    <row r="40" spans="2:3" ht="24" customHeight="1" x14ac:dyDescent="0.25">
      <c r="B40" s="49" t="s">
        <v>259</v>
      </c>
      <c r="C40" s="47" t="s">
        <v>260</v>
      </c>
    </row>
    <row r="41" spans="2:3" ht="24" customHeight="1" x14ac:dyDescent="0.25">
      <c r="B41" s="35" t="s">
        <v>261</v>
      </c>
      <c r="C41" s="47" t="s">
        <v>262</v>
      </c>
    </row>
    <row r="42" spans="2:3" ht="24" customHeight="1" x14ac:dyDescent="0.25">
      <c r="B42" s="31" t="s">
        <v>263</v>
      </c>
      <c r="C42" s="47" t="s">
        <v>264</v>
      </c>
    </row>
    <row r="43" spans="2:3" ht="24" customHeight="1" x14ac:dyDescent="0.25">
      <c r="B43" s="33" t="s">
        <v>265</v>
      </c>
      <c r="C43" s="47" t="s">
        <v>266</v>
      </c>
    </row>
    <row r="45" spans="2:3" ht="15.75" x14ac:dyDescent="0.25">
      <c r="B45" s="66" t="s">
        <v>267</v>
      </c>
      <c r="C45" s="66"/>
    </row>
    <row r="46" spans="2:3" ht="31.5" customHeight="1" x14ac:dyDescent="0.25">
      <c r="B46" s="46" t="s">
        <v>268</v>
      </c>
      <c r="C46" s="47" t="s">
        <v>269</v>
      </c>
    </row>
    <row r="47" spans="2:3" ht="31.5" customHeight="1" x14ac:dyDescent="0.25">
      <c r="B47" s="46" t="s">
        <v>270</v>
      </c>
      <c r="C47" s="47" t="s">
        <v>271</v>
      </c>
    </row>
    <row r="48" spans="2:3" ht="31.5" customHeight="1" x14ac:dyDescent="0.25">
      <c r="B48" s="46" t="s">
        <v>272</v>
      </c>
      <c r="C48" s="47" t="s">
        <v>273</v>
      </c>
    </row>
    <row r="49" spans="2:3" ht="31.5" customHeight="1" x14ac:dyDescent="0.25">
      <c r="B49" s="46" t="s">
        <v>274</v>
      </c>
      <c r="C49" s="47" t="s">
        <v>275</v>
      </c>
    </row>
    <row r="50" spans="2:3" ht="31.5" customHeight="1" x14ac:dyDescent="0.25">
      <c r="B50" s="46" t="s">
        <v>276</v>
      </c>
      <c r="C50" s="47" t="s">
        <v>277</v>
      </c>
    </row>
    <row r="51" spans="2:3" ht="31.5" customHeight="1" x14ac:dyDescent="0.25">
      <c r="B51" s="46" t="s">
        <v>278</v>
      </c>
      <c r="C51" s="47" t="s">
        <v>279</v>
      </c>
    </row>
    <row r="52" spans="2:3" ht="31.5" customHeight="1" x14ac:dyDescent="0.25">
      <c r="B52" s="46" t="s">
        <v>280</v>
      </c>
      <c r="C52" s="47" t="s">
        <v>281</v>
      </c>
    </row>
    <row r="53" spans="2:3" ht="31.5" customHeight="1" x14ac:dyDescent="0.25">
      <c r="B53" s="46" t="s">
        <v>282</v>
      </c>
      <c r="C53" s="47" t="s">
        <v>283</v>
      </c>
    </row>
  </sheetData>
  <mergeCells count="8">
    <mergeCell ref="B27:C27"/>
    <mergeCell ref="B37:C37"/>
    <mergeCell ref="B45:C45"/>
    <mergeCell ref="B2:C3"/>
    <mergeCell ref="B5:C5"/>
    <mergeCell ref="B6:C6"/>
    <mergeCell ref="B8:C8"/>
    <mergeCell ref="B17:C17"/>
  </mergeCells>
  <pageMargins left="0.75" right="0.75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2</vt:i4>
      </vt:variant>
    </vt:vector>
  </HeadingPairs>
  <TitlesOfParts>
    <vt:vector size="9" baseType="lpstr">
      <vt:lpstr>Übersicht</vt:lpstr>
      <vt:lpstr>Eingaben</vt:lpstr>
      <vt:lpstr>Kaufnebenkosten</vt:lpstr>
      <vt:lpstr>Tilgungsplan</vt:lpstr>
      <vt:lpstr>Cashflow</vt:lpstr>
      <vt:lpstr>Rendite</vt:lpstr>
      <vt:lpstr>Anleitung</vt:lpstr>
      <vt:lpstr>Rendite!Druckbereich</vt:lpstr>
      <vt:lpstr>Tilgungsplan!Drucktitel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2026-06-10T06:50:51Z</dcterms:created>
  <dcterms:modified xsi:type="dcterms:W3CDTF">2026-06-10T06:55:41Z</dcterms:modified>
  <dc:language>en-US</dc:language>
</cp:coreProperties>
</file>