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6FB94F60-3AA5-4BE6-89C2-51E93134EA1A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Investitionsrechnung" sheetId="1" r:id="rId1"/>
    <sheet name="Tilgungsplan" sheetId="2" r:id="rId2"/>
    <sheet name="10J-Cashflow-Entwicklung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8" i="3" l="1"/>
  <c r="K18" i="3"/>
  <c r="J18" i="3"/>
  <c r="I18" i="3"/>
  <c r="H18" i="3"/>
  <c r="G18" i="3"/>
  <c r="F18" i="3"/>
  <c r="E18" i="3"/>
  <c r="L12" i="3"/>
  <c r="K12" i="3"/>
  <c r="L11" i="3"/>
  <c r="K11" i="3"/>
  <c r="J11" i="3"/>
  <c r="J12" i="3" s="1"/>
  <c r="I11" i="3"/>
  <c r="I12" i="3" s="1"/>
  <c r="H11" i="3"/>
  <c r="H12" i="3" s="1"/>
  <c r="G11" i="3"/>
  <c r="G12" i="3" s="1"/>
  <c r="F11" i="3"/>
  <c r="F12" i="3" s="1"/>
  <c r="E11" i="3"/>
  <c r="E12" i="3" s="1"/>
  <c r="D11" i="3"/>
  <c r="D18" i="3" s="1"/>
  <c r="C11" i="3"/>
  <c r="C18" i="3" s="1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82" i="1"/>
  <c r="C77" i="1"/>
  <c r="C79" i="1" s="1"/>
  <c r="C81" i="1" s="1"/>
  <c r="C71" i="1"/>
  <c r="C70" i="1"/>
  <c r="C67" i="1"/>
  <c r="C52" i="1"/>
  <c r="E51" i="1"/>
  <c r="E50" i="1"/>
  <c r="E49" i="1"/>
  <c r="E48" i="1"/>
  <c r="E47" i="1"/>
  <c r="E52" i="1" s="1"/>
  <c r="C43" i="1"/>
  <c r="C44" i="1" s="1"/>
  <c r="E44" i="1" s="1"/>
  <c r="E55" i="1" s="1"/>
  <c r="E42" i="1"/>
  <c r="E41" i="1"/>
  <c r="D26" i="1"/>
  <c r="D25" i="1"/>
  <c r="C24" i="1"/>
  <c r="D24" i="1" s="1"/>
  <c r="C23" i="1"/>
  <c r="D23" i="1" s="1"/>
  <c r="C22" i="1"/>
  <c r="D22" i="1" s="1"/>
  <c r="D21" i="1"/>
  <c r="C21" i="1"/>
  <c r="C20" i="1"/>
  <c r="D20" i="1" s="1"/>
  <c r="D19" i="1"/>
  <c r="K13" i="3" l="1"/>
  <c r="F13" i="3"/>
  <c r="F16" i="3" s="1"/>
  <c r="E13" i="3"/>
  <c r="E16" i="3" s="1"/>
  <c r="G13" i="3"/>
  <c r="G16" i="3" s="1"/>
  <c r="D13" i="3"/>
  <c r="L13" i="3"/>
  <c r="L16" i="3" s="1"/>
  <c r="J13" i="3"/>
  <c r="I13" i="3"/>
  <c r="I16" i="3" s="1"/>
  <c r="E56" i="1"/>
  <c r="E57" i="1" s="1"/>
  <c r="H13" i="3"/>
  <c r="H16" i="3" s="1"/>
  <c r="C13" i="3"/>
  <c r="J16" i="3"/>
  <c r="K16" i="3"/>
  <c r="M18" i="3"/>
  <c r="C27" i="1"/>
  <c r="C12" i="3"/>
  <c r="D12" i="3"/>
  <c r="D16" i="3" s="1"/>
  <c r="E43" i="1"/>
  <c r="C30" i="1" l="1"/>
  <c r="C37" i="1" s="1"/>
  <c r="C16" i="3"/>
  <c r="M12" i="3"/>
  <c r="M13" i="3"/>
  <c r="C68" i="1"/>
  <c r="M16" i="3" l="1"/>
  <c r="C31" i="1"/>
  <c r="E58" i="1" l="1"/>
  <c r="C35" i="1"/>
  <c r="C36" i="1" s="1"/>
  <c r="D7" i="2"/>
  <c r="E7" i="2" l="1"/>
  <c r="G28" i="2"/>
  <c r="G18" i="2"/>
  <c r="G8" i="2"/>
  <c r="G11" i="2"/>
  <c r="G7" i="2"/>
  <c r="E59" i="1"/>
  <c r="E60" i="1" s="1"/>
  <c r="G30" i="2"/>
  <c r="G16" i="2"/>
  <c r="G20" i="2"/>
  <c r="G29" i="2"/>
  <c r="G19" i="2"/>
  <c r="G9" i="2"/>
  <c r="C74" i="1"/>
  <c r="G25" i="2"/>
  <c r="G15" i="2"/>
  <c r="G31" i="2"/>
  <c r="G21" i="2"/>
  <c r="G26" i="2"/>
  <c r="G17" i="2"/>
  <c r="G24" i="2"/>
  <c r="G14" i="2"/>
  <c r="G27" i="2"/>
  <c r="G10" i="2"/>
  <c r="G23" i="2"/>
  <c r="G13" i="2"/>
  <c r="C72" i="1"/>
  <c r="G22" i="2"/>
  <c r="G12" i="2"/>
  <c r="E61" i="1" l="1"/>
  <c r="E62" i="1"/>
  <c r="C73" i="1"/>
  <c r="F7" i="2"/>
  <c r="G32" i="2"/>
  <c r="C14" i="3"/>
  <c r="C15" i="3" l="1"/>
  <c r="H7" i="2"/>
  <c r="C69" i="1"/>
  <c r="E63" i="1"/>
  <c r="C17" i="3"/>
  <c r="D8" i="2" l="1"/>
  <c r="C19" i="3"/>
  <c r="E8" i="2" l="1"/>
  <c r="D14" i="3" l="1"/>
  <c r="F8" i="2"/>
  <c r="D15" i="3" l="1"/>
  <c r="H8" i="2"/>
  <c r="D17" i="3"/>
  <c r="D9" i="2" l="1"/>
  <c r="D19" i="3"/>
  <c r="E9" i="2" l="1"/>
  <c r="E14" i="3" l="1"/>
  <c r="F9" i="2"/>
  <c r="E15" i="3" l="1"/>
  <c r="H9" i="2"/>
  <c r="E17" i="3"/>
  <c r="D10" i="2" l="1"/>
  <c r="E19" i="3"/>
  <c r="E10" i="2" l="1"/>
  <c r="F14" i="3" l="1"/>
  <c r="F10" i="2"/>
  <c r="F15" i="3" l="1"/>
  <c r="H10" i="2"/>
  <c r="F17" i="3"/>
  <c r="D11" i="2" l="1"/>
  <c r="F19" i="3"/>
  <c r="E11" i="2" l="1"/>
  <c r="G14" i="3" l="1"/>
  <c r="F11" i="2"/>
  <c r="G15" i="3" l="1"/>
  <c r="H11" i="2"/>
  <c r="G17" i="3"/>
  <c r="D12" i="2" l="1"/>
  <c r="G19" i="3"/>
  <c r="E12" i="2" l="1"/>
  <c r="H14" i="3" l="1"/>
  <c r="F12" i="2"/>
  <c r="H15" i="3" l="1"/>
  <c r="H12" i="2"/>
  <c r="H17" i="3"/>
  <c r="D13" i="2" l="1"/>
  <c r="H19" i="3"/>
  <c r="E13" i="2" l="1"/>
  <c r="I14" i="3" l="1"/>
  <c r="F13" i="2"/>
  <c r="I15" i="3" l="1"/>
  <c r="H13" i="2"/>
  <c r="I17" i="3"/>
  <c r="D14" i="2" l="1"/>
  <c r="I19" i="3"/>
  <c r="E14" i="2" l="1"/>
  <c r="J14" i="3" l="1"/>
  <c r="F14" i="2"/>
  <c r="J15" i="3" l="1"/>
  <c r="H14" i="2"/>
  <c r="J17" i="3"/>
  <c r="D15" i="2" l="1"/>
  <c r="J19" i="3"/>
  <c r="E15" i="2" l="1"/>
  <c r="K14" i="3" l="1"/>
  <c r="F15" i="2"/>
  <c r="K15" i="3" l="1"/>
  <c r="H15" i="2"/>
  <c r="K17" i="3"/>
  <c r="D16" i="2" l="1"/>
  <c r="K19" i="3"/>
  <c r="E16" i="2" l="1"/>
  <c r="L14" i="3" l="1"/>
  <c r="F16" i="2"/>
  <c r="L15" i="3" l="1"/>
  <c r="M15" i="3" s="1"/>
  <c r="H16" i="2"/>
  <c r="L17" i="3"/>
  <c r="M17" i="3" s="1"/>
  <c r="M14" i="3"/>
  <c r="D17" i="2" l="1"/>
  <c r="L19" i="3"/>
  <c r="M19" i="3" s="1"/>
  <c r="E17" i="2" l="1"/>
  <c r="F17" i="2" s="1"/>
  <c r="H17" i="2"/>
  <c r="D18" i="2" s="1"/>
  <c r="E18" i="2" l="1"/>
  <c r="F18" i="2" s="1"/>
  <c r="H18" i="2"/>
  <c r="D19" i="2" s="1"/>
  <c r="E19" i="2" l="1"/>
  <c r="F19" i="2" s="1"/>
  <c r="H19" i="2" s="1"/>
  <c r="D20" i="2" s="1"/>
  <c r="E20" i="2" l="1"/>
  <c r="F20" i="2" s="1"/>
  <c r="H20" i="2" s="1"/>
  <c r="D21" i="2" s="1"/>
  <c r="E21" i="2" l="1"/>
  <c r="F21" i="2" s="1"/>
  <c r="H21" i="2" s="1"/>
  <c r="D22" i="2" s="1"/>
  <c r="E22" i="2" l="1"/>
  <c r="F22" i="2" s="1"/>
  <c r="H22" i="2" s="1"/>
  <c r="D23" i="2" s="1"/>
  <c r="E23" i="2" l="1"/>
  <c r="F23" i="2" s="1"/>
  <c r="H23" i="2"/>
  <c r="D24" i="2" s="1"/>
  <c r="E24" i="2" l="1"/>
  <c r="F24" i="2" s="1"/>
  <c r="H24" i="2" s="1"/>
  <c r="D25" i="2" s="1"/>
  <c r="E25" i="2" l="1"/>
  <c r="F25" i="2" s="1"/>
  <c r="H25" i="2"/>
  <c r="D26" i="2" s="1"/>
  <c r="E26" i="2" l="1"/>
  <c r="F26" i="2" s="1"/>
  <c r="H26" i="2"/>
  <c r="D27" i="2" s="1"/>
  <c r="H27" i="2" l="1"/>
  <c r="D28" i="2" s="1"/>
  <c r="E27" i="2"/>
  <c r="F27" i="2" s="1"/>
  <c r="E28" i="2" l="1"/>
  <c r="F28" i="2" s="1"/>
  <c r="H28" i="2" s="1"/>
  <c r="D29" i="2" s="1"/>
  <c r="E29" i="2" l="1"/>
  <c r="F29" i="2" s="1"/>
  <c r="H29" i="2" s="1"/>
  <c r="D30" i="2" s="1"/>
  <c r="E30" i="2" l="1"/>
  <c r="F30" i="2" s="1"/>
  <c r="H30" i="2" s="1"/>
  <c r="D31" i="2" s="1"/>
  <c r="E31" i="2" l="1"/>
  <c r="F31" i="2" l="1"/>
  <c r="E32" i="2"/>
  <c r="F32" i="2" l="1"/>
  <c r="H31" i="2"/>
</calcChain>
</file>

<file path=xl/sharedStrings.xml><?xml version="1.0" encoding="utf-8"?>
<sst xmlns="http://schemas.openxmlformats.org/spreadsheetml/2006/main" count="163" uniqueCount="158">
  <si>
    <t>INVESTITIONSRECHNUNG IMMOBILIEN</t>
  </si>
  <si>
    <t>Analyse &amp; Wirtschaftlichkeitsberechnung · Stand: 2026</t>
  </si>
  <si>
    <t>① OBJEKTDATEN</t>
  </si>
  <si>
    <t>Objektbezeichnung</t>
  </si>
  <si>
    <t>Musterimmobilie Musterstraße 12</t>
  </si>
  <si>
    <t>Standort / Stadt</t>
  </si>
  <si>
    <t>Musterstadt</t>
  </si>
  <si>
    <t>Bundesland</t>
  </si>
  <si>
    <t>Bayern</t>
  </si>
  <si>
    <t>Objektart</t>
  </si>
  <si>
    <t>Mehrfamilienhaus</t>
  </si>
  <si>
    <t>Wohnfläche (m²)</t>
  </si>
  <si>
    <t>Baujahr</t>
  </si>
  <si>
    <t>Energieeffizienzklasse</t>
  </si>
  <si>
    <t>C</t>
  </si>
  <si>
    <t>Anzahl Wohneinheiten</t>
  </si>
  <si>
    <t>Ankaufsjahr</t>
  </si>
  <si>
    <t>② KAUFPREIS &amp; ERWERBSNEBENKOSTEN</t>
  </si>
  <si>
    <t>Position</t>
  </si>
  <si>
    <t>Wert (€)</t>
  </si>
  <si>
    <t>%-Anteil am Kaufpreis</t>
  </si>
  <si>
    <t>Anmerkung</t>
  </si>
  <si>
    <t>Kaufpreis (Gesamtobjekt)</t>
  </si>
  <si>
    <t>Laut notariellem Kaufvertrag</t>
  </si>
  <si>
    <t>davon: Grundstücksanteil</t>
  </si>
  <si>
    <t>20% – nicht abschreibbar (AfA-Basis)</t>
  </si>
  <si>
    <t>davon: Gebäudeanteil</t>
  </si>
  <si>
    <t>80% – AfA-Bemessungsgrundlage</t>
  </si>
  <si>
    <t>Grunderwerbsteuer</t>
  </si>
  <si>
    <t>3,5% Bayern (je nach Bundesland 3,5–6,5%)</t>
  </si>
  <si>
    <t>Notar- &amp; Grundbuchkosten</t>
  </si>
  <si>
    <t>Ca. 1,5–2,0% des Kaufpreises</t>
  </si>
  <si>
    <t>Maklerprovision</t>
  </si>
  <si>
    <t>3,57% inkl. MwSt. (Häufig 3–4%)</t>
  </si>
  <si>
    <t>Renovierung / Erstinvestition</t>
  </si>
  <si>
    <t>Geplante Modernisierungsmaßnahmen</t>
  </si>
  <si>
    <t>Sonstige Erwerbskosten</t>
  </si>
  <si>
    <t>Gutachten, Bewertung, Fahrtkosten</t>
  </si>
  <si>
    <t>GESAMTINVESTITION (inkl. Nebenkosten)</t>
  </si>
  <si>
    <t>③ FINANZIERUNGSSTRUKTUR</t>
  </si>
  <si>
    <t>Eigenkapital (EK)</t>
  </si>
  <si>
    <t>25% der Gesamtinvestition (Eingabe möglich)</t>
  </si>
  <si>
    <t>Fremdkapital (FK) / Darlehen</t>
  </si>
  <si>
    <t>Restfinanzierung über Bankdarlehen</t>
  </si>
  <si>
    <t>Zinssatz p.a. (%)</t>
  </si>
  <si>
    <t>Aktueller Marktzins 2026 (Richtwert)</t>
  </si>
  <si>
    <t>Anfangstilgung p.a. (%)</t>
  </si>
  <si>
    <t>Anfängliche Tilgungsrate</t>
  </si>
  <si>
    <t>Kreditlaufzeit (Jahre)</t>
  </si>
  <si>
    <t>Planmäßige Finanzierungslaufzeit</t>
  </si>
  <si>
    <t>Monatliche Annuität (Rate)</t>
  </si>
  <si>
    <t>Automatisch berechnet</t>
  </si>
  <si>
    <t>Jährliche Annuität</t>
  </si>
  <si>
    <t>Gesamtbelastung pro Jahr</t>
  </si>
  <si>
    <t>EK-Quote (%)</t>
  </si>
  <si>
    <t>Eigenkapitalanteil an Gesamtinvestition</t>
  </si>
  <si>
    <t>④ MIETEINNAHMEN &amp; BEWIRTSCHAFTUNGSKOSTEN</t>
  </si>
  <si>
    <t>EINNAHMEN</t>
  </si>
  <si>
    <t>Monatlich (€)</t>
  </si>
  <si>
    <t>Jährlich (€)</t>
  </si>
  <si>
    <t>Kaltmiete (Soll-Miete, monatlich)</t>
  </si>
  <si>
    <t>Nebenkosten-Vorauszahlung (umlagefähig)</t>
  </si>
  <si>
    <t>Leerstandsrisiko / Mietausfall (–)</t>
  </si>
  <si>
    <t>Netto-Jahreskaltmiete (Ist-Basis)</t>
  </si>
  <si>
    <t>BEWIRTSCHAFTUNGSKOSTEN (nicht umlagefähig)</t>
  </si>
  <si>
    <t>Hausverwaltung</t>
  </si>
  <si>
    <t>Instandhaltungsrücklage</t>
  </si>
  <si>
    <t>Versicherungen (Gebäude etc.)</t>
  </si>
  <si>
    <t>Nicht umlagef. Betriebskosten</t>
  </si>
  <si>
    <t>Reserve / Unvorhergesehenes</t>
  </si>
  <si>
    <t>Gesamte Bewirtschaftungskosten p.a.</t>
  </si>
  <si>
    <t>⑤ CASHFLOW-ANALYSE</t>
  </si>
  <si>
    <t>(+) Jahreskaltmiete (netto)</t>
  </si>
  <si>
    <t>(–) Bewirtschaftungskosten p.a.</t>
  </si>
  <si>
    <t xml:space="preserve">  ⇒  NETTO-BETRIEBSERTRAG (NOI)</t>
  </si>
  <si>
    <t>(–) Jahrliche Zinszahlung (Jahr 1)</t>
  </si>
  <si>
    <t>(–) Jährliche Tilgung (Jahr 1)</t>
  </si>
  <si>
    <t xml:space="preserve">  ⇒  CASHFLOW VOR STEUERN</t>
  </si>
  <si>
    <t>(–) Einkommensteuerbelastung (geschätzt)</t>
  </si>
  <si>
    <t xml:space="preserve">  ⇒  CASHFLOW NACH STEUERN (ca.)</t>
  </si>
  <si>
    <t xml:space="preserve">  ⇒  MONATLICHER CASHFLOW NACH STEUERN</t>
  </si>
  <si>
    <t>⑥ RENDITEKENNZAHLEN (Zusammenfassung)</t>
  </si>
  <si>
    <t>Kennzahl</t>
  </si>
  <si>
    <t>Wert</t>
  </si>
  <si>
    <t>Orientierungswert</t>
  </si>
  <si>
    <t>Bewertung</t>
  </si>
  <si>
    <t>Formel-Hinweis</t>
  </si>
  <si>
    <t>Bruttomietrendite (%)</t>
  </si>
  <si>
    <t>≥ 4–5% (Großstädte: 3–4%)</t>
  </si>
  <si>
    <t>Jahreskaltmiete ÷ Kaufpreis × 100</t>
  </si>
  <si>
    <t>Nettomietrendite (%)</t>
  </si>
  <si>
    <t>≥ 3,0%</t>
  </si>
  <si>
    <t>(Jahreskaltmiete – BWK) ÷ Gesamtinvest.</t>
  </si>
  <si>
    <t>Eigenkapitalrendite – Cashflow (%)</t>
  </si>
  <si>
    <t>≥ 4–6%</t>
  </si>
  <si>
    <t>Cashflow n. St. ÷ Eigenkapital × 100</t>
  </si>
  <si>
    <t>Kaufpreisfaktor (x Jahreskaltmiete)</t>
  </si>
  <si>
    <t>15–25x (je nach Lage)</t>
  </si>
  <si>
    <t>Kaufpreis ÷ Jahreskaltmiete</t>
  </si>
  <si>
    <t>AfA (lineare Abschreibung 2% p.a.)</t>
  </si>
  <si>
    <t>Steuerlicher Abzug pro Jahr (€)</t>
  </si>
  <si>
    <t>Gebäudeanteil × 2% AfA-Satz</t>
  </si>
  <si>
    <t>Annuität / Jahresmiete (Deckungsgrad)</t>
  </si>
  <si>
    <t>&lt; 85% (Sicherheitsreserve)</t>
  </si>
  <si>
    <t>Jahresannuität ÷ Jahres-Kaltmiete</t>
  </si>
  <si>
    <t>Monatl. Cashflow vor Steuern (€)</t>
  </si>
  <si>
    <t>&gt; 0 € (cashflow-positiv)</t>
  </si>
  <si>
    <t>NOI – Zinszahlung ÷ 12</t>
  </si>
  <si>
    <t>Break-Even-Miete (€/m²/Monat)</t>
  </si>
  <si>
    <t>Mindestmiete zur Kostendeckung</t>
  </si>
  <si>
    <t>Annuität ÷ Wohnfläche ÷ 12</t>
  </si>
  <si>
    <t>⑦ STEUERLICHE ABSCHREIBUNG (AfA)</t>
  </si>
  <si>
    <t>AfA-Bemessungsgrundlage (Gebäudeanteil + anteil. NK)</t>
  </si>
  <si>
    <t>Gebäudewert inkl. anteiliger Erwerbsnebenkosten</t>
  </si>
  <si>
    <t>AfA-Satz (Baujahr 1925–2022: 2%; ab 2023: 3%)</t>
  </si>
  <si>
    <t>Gemäß § 7 Abs. 4 EStG – Eingabe je nach Baujahr</t>
  </si>
  <si>
    <t>Jährlicher AfA-Betrag</t>
  </si>
  <si>
    <t>Steuerlicher Abzug pro Jahr (reduziert Bemessungsgrundlage)</t>
  </si>
  <si>
    <t>Grenzsteuersatz (individuell)</t>
  </si>
  <si>
    <t>Je nach Einkommenshöhe ca. 25–45%</t>
  </si>
  <si>
    <t>Jährliche Steuerersparnis durch AfA</t>
  </si>
  <si>
    <t>Schätzwert – individuelle Steuerberatung empfohlen</t>
  </si>
  <si>
    <t>Verbleibende Nutzungsdauer (Jahre)</t>
  </si>
  <si>
    <t>50 Jahre bei 2% (bis vollständige Abschreibung)</t>
  </si>
  <si>
    <t>LEGENDE &amp; HINWEISE</t>
  </si>
  <si>
    <t>Blaue Zahl / gelber Hintergrund</t>
  </si>
  <si>
    <t>Eingabefelder – hier Ihre eigenen Werte eintragen</t>
  </si>
  <si>
    <t>Weißer/blauer Hintergrund</t>
  </si>
  <si>
    <t>Automatisch berechnete Werte – nicht manuell ändern</t>
  </si>
  <si>
    <t>Grüner Hintergrund</t>
  </si>
  <si>
    <t>Positive Cashflow-Positionen</t>
  </si>
  <si>
    <t>Oranger Hintergrund</t>
  </si>
  <si>
    <t>Ausgabe-/Kostenpositionen</t>
  </si>
  <si>
    <t>Hinweis</t>
  </si>
  <si>
    <t>Alle Berechnungen sind Schätzwerte. Steuerliche Beratung empfohlen. Stand: 2026</t>
  </si>
  <si>
    <t>TILGUNGSPLAN – JÄHRLICHE ÜBERSICHT</t>
  </si>
  <si>
    <t>Die Werte beziehen sich auf die Eingaben im Blatt 'Investitionsrechnung'. Darlehen, Zinssatz und Tilgung werden von dort übernommen.</t>
  </si>
  <si>
    <t>Jahr</t>
  </si>
  <si>
    <t>Jahr (Kalender)</t>
  </si>
  <si>
    <t>Restschuld Anfang (€)</t>
  </si>
  <si>
    <t>Zinszahlung (€)</t>
  </si>
  <si>
    <t>Tilgung (€)</t>
  </si>
  <si>
    <t>Annuität (€)</t>
  </si>
  <si>
    <t>Restschuld Ende (€)</t>
  </si>
  <si>
    <t>GESAMT</t>
  </si>
  <si>
    <t>10-JAHRES CASHFLOW-ENTWICKLUNG</t>
  </si>
  <si>
    <t>Annahme: Mietsteigerung p.a. und Kostensteigerung p.a. als variable Eingaben</t>
  </si>
  <si>
    <t>Annahmen</t>
  </si>
  <si>
    <t>Mietsteigerung p.a. (%)</t>
  </si>
  <si>
    <t>Kostensteigerung p.a. (%)</t>
  </si>
  <si>
    <t>Wertsteigerung Immobilie p.a. (%)</t>
  </si>
  <si>
    <t>10J-Summe (€)</t>
  </si>
  <si>
    <t>Kaltmiete (€)</t>
  </si>
  <si>
    <t>Bewirtschaftungskosten (€)</t>
  </si>
  <si>
    <t>NOI (Nettobetriebsertrag €)</t>
  </si>
  <si>
    <t>Cashflow vor Steuern (€)</t>
  </si>
  <si>
    <t>Immobilienwert (€)</t>
  </si>
  <si>
    <t>Eigenkapital / Vermögenszuwachs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</si>
</sst>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&quot; m²&quot;"/>
    <numFmt numFmtId="165" formatCode="#,##0.00&quot; €&quot;;\(#,##0.00&quot; €)&quot;;\-"/>
    <numFmt numFmtId="166" formatCode="0.00%;\-"/>
    <numFmt numFmtId="167" formatCode="#,##0.00&quot; €&quot;"/>
    <numFmt numFmtId="168" formatCode="#,##0.00&quot; €&quot;;\(#,##0.00&quot; €)&quot;"/>
    <numFmt numFmtId="169" formatCode="0.0&quot; x&quot;"/>
    <numFmt numFmtId="170" formatCode="#,##0.00&quot; €/m²&quot;"/>
    <numFmt numFmtId="171" formatCode="0&quot; Jahre&quot;"/>
    <numFmt numFmtId="172" formatCode="#,##0&quot; €&quot;;\(#,##0&quot; €)&quot;;\-"/>
  </numFmts>
  <fonts count="16" x14ac:knownFonts="1">
    <font>
      <sz val="11"/>
      <color theme="1"/>
      <name val="Calibri"/>
      <family val="2"/>
      <charset val="1"/>
    </font>
    <font>
      <i/>
      <sz val="9"/>
      <color rgb="FFD9E1F2"/>
      <name val="Arial"/>
      <charset val="1"/>
    </font>
    <font>
      <b/>
      <sz val="11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9"/>
      <color rgb="FFFFFFFF"/>
      <name val="Arial"/>
      <charset val="1"/>
    </font>
    <font>
      <sz val="9"/>
      <color rgb="FF000000"/>
      <name val="Arial"/>
      <charset val="1"/>
    </font>
    <font>
      <i/>
      <sz val="9"/>
      <color rgb="FF595959"/>
      <name val="Arial"/>
      <charset val="1"/>
    </font>
    <font>
      <sz val="10"/>
      <color rgb="FF000000"/>
      <name val="Arial"/>
      <charset val="1"/>
    </font>
    <font>
      <b/>
      <sz val="10"/>
      <color rgb="FFFFFFFF"/>
      <name val="Arial"/>
      <charset val="1"/>
    </font>
    <font>
      <b/>
      <sz val="10"/>
      <color rgb="FF1E6B3C"/>
      <name val="Arial"/>
      <charset val="1"/>
    </font>
    <font>
      <b/>
      <sz val="9"/>
      <color rgb="FF000000"/>
      <name val="Arial"/>
      <charset val="1"/>
    </font>
    <font>
      <b/>
      <sz val="14"/>
      <color rgb="FFFFFFFF"/>
      <name val="Arial"/>
      <charset val="1"/>
    </font>
    <font>
      <sz val="10"/>
      <color rgb="FFC55A11"/>
      <name val="Arial"/>
      <charset val="1"/>
    </font>
    <font>
      <sz val="10"/>
      <color rgb="FF1E6B3C"/>
      <name val="Arial"/>
      <charset val="1"/>
    </font>
    <font>
      <b/>
      <sz val="20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4B5"/>
        <bgColor rgb="FF4472C4"/>
      </patternFill>
    </fill>
    <fill>
      <patternFill patternType="solid">
        <fgColor rgb="FFEBF3FB"/>
        <bgColor rgb="FFF2F2F2"/>
      </patternFill>
    </fill>
    <fill>
      <patternFill patternType="solid">
        <fgColor rgb="FFFFFF99"/>
        <bgColor rgb="FFFCE4D6"/>
      </patternFill>
    </fill>
    <fill>
      <patternFill patternType="solid">
        <fgColor rgb="FFFFFFFF"/>
        <bgColor rgb="FFF2F2F2"/>
      </patternFill>
    </fill>
    <fill>
      <patternFill patternType="solid">
        <fgColor rgb="FF4472C4"/>
        <bgColor rgb="FF2E74B5"/>
      </patternFill>
    </fill>
    <fill>
      <patternFill patternType="solid">
        <fgColor rgb="FFD6E4F0"/>
        <bgColor rgb="FFD9E1F2"/>
      </patternFill>
    </fill>
    <fill>
      <patternFill patternType="solid">
        <fgColor rgb="FFD9EFE2"/>
        <bgColor rgb="FFD6E4F0"/>
      </patternFill>
    </fill>
    <fill>
      <patternFill patternType="solid">
        <fgColor rgb="FFFCE4D6"/>
        <bgColor rgb="FFF2F2F2"/>
      </patternFill>
    </fill>
    <fill>
      <patternFill patternType="solid">
        <fgColor rgb="FF595959"/>
        <bgColor rgb="FF1E6B3C"/>
      </patternFill>
    </fill>
    <fill>
      <patternFill patternType="solid">
        <fgColor rgb="FFF2F2F2"/>
        <bgColor rgb="FFEBF3FB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94">
    <xf numFmtId="0" fontId="0" fillId="0" borderId="0" xfId="0"/>
    <xf numFmtId="165" fontId="8" fillId="6" borderId="2" xfId="0" applyNumberFormat="1" applyFont="1" applyFill="1" applyBorder="1" applyAlignment="1">
      <alignment horizontal="right" vertical="center"/>
    </xf>
    <xf numFmtId="165" fontId="8" fillId="4" borderId="2" xfId="0" applyNumberFormat="1" applyFont="1" applyFill="1" applyBorder="1" applyAlignment="1">
      <alignment horizontal="right" vertical="center"/>
    </xf>
    <xf numFmtId="167" fontId="4" fillId="5" borderId="2" xfId="0" applyNumberFormat="1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center" vertical="center"/>
    </xf>
    <xf numFmtId="0" fontId="0" fillId="2" borderId="0" xfId="0" applyFill="1"/>
    <xf numFmtId="0" fontId="7" fillId="6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right" vertical="center"/>
    </xf>
    <xf numFmtId="166" fontId="6" fillId="4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/>
    </xf>
    <xf numFmtId="165" fontId="8" fillId="6" borderId="1" xfId="0" applyNumberFormat="1" applyFont="1" applyFill="1" applyBorder="1" applyAlignment="1">
      <alignment horizontal="right" vertical="center"/>
    </xf>
    <xf numFmtId="166" fontId="6" fillId="6" borderId="1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right" vertical="center"/>
    </xf>
    <xf numFmtId="0" fontId="0" fillId="2" borderId="0" xfId="0" applyFill="1"/>
    <xf numFmtId="10" fontId="4" fillId="5" borderId="1" xfId="0" applyNumberFormat="1" applyFont="1" applyFill="1" applyBorder="1" applyAlignment="1">
      <alignment horizontal="right" vertical="center"/>
    </xf>
    <xf numFmtId="1" fontId="4" fillId="5" borderId="1" xfId="0" applyNumberFormat="1" applyFont="1" applyFill="1" applyBorder="1" applyAlignment="1">
      <alignment horizontal="right" vertical="center"/>
    </xf>
    <xf numFmtId="10" fontId="8" fillId="6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10" fontId="10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10" fontId="10" fillId="6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169" fontId="10" fillId="6" borderId="1" xfId="0" applyNumberFormat="1" applyFont="1" applyFill="1" applyBorder="1" applyAlignment="1">
      <alignment horizontal="right" vertical="center"/>
    </xf>
    <xf numFmtId="167" fontId="10" fillId="4" borderId="1" xfId="0" applyNumberFormat="1" applyFont="1" applyFill="1" applyBorder="1" applyAlignment="1">
      <alignment horizontal="right" vertical="center"/>
    </xf>
    <xf numFmtId="170" fontId="10" fillId="6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167" fontId="8" fillId="4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 wrapText="1"/>
    </xf>
    <xf numFmtId="171" fontId="8" fillId="6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0" fontId="11" fillId="12" borderId="1" xfId="0" applyFont="1" applyFill="1" applyBorder="1" applyAlignment="1">
      <alignment horizontal="left" vertical="center"/>
    </xf>
    <xf numFmtId="0" fontId="0" fillId="4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6" borderId="1" xfId="0" applyFill="1" applyBorder="1"/>
    <xf numFmtId="0" fontId="5" fillId="7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165" fontId="13" fillId="6" borderId="1" xfId="0" applyNumberFormat="1" applyFont="1" applyFill="1" applyBorder="1" applyAlignment="1">
      <alignment horizontal="right" vertical="center"/>
    </xf>
    <xf numFmtId="165" fontId="14" fillId="6" borderId="1" xfId="0" applyNumberFormat="1" applyFont="1" applyFill="1" applyBorder="1" applyAlignment="1">
      <alignment horizontal="right" vertical="center"/>
    </xf>
    <xf numFmtId="165" fontId="3" fillId="6" borderId="1" xfId="0" applyNumberFormat="1" applyFont="1" applyFill="1" applyBorder="1" applyAlignment="1">
      <alignment horizontal="right" vertical="center"/>
    </xf>
    <xf numFmtId="1" fontId="3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right" vertical="center"/>
    </xf>
    <xf numFmtId="165" fontId="14" fillId="4" borderId="1" xfId="0" applyNumberFormat="1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167" fontId="9" fillId="2" borderId="1" xfId="0" applyNumberFormat="1" applyFont="1" applyFill="1" applyBorder="1" applyAlignment="1">
      <alignment horizontal="right" vertical="center"/>
    </xf>
    <xf numFmtId="0" fontId="3" fillId="8" borderId="1" xfId="0" applyFont="1" applyFill="1" applyBorder="1"/>
    <xf numFmtId="1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right" vertical="center"/>
    </xf>
    <xf numFmtId="172" fontId="8" fillId="9" borderId="1" xfId="0" applyNumberFormat="1" applyFont="1" applyFill="1" applyBorder="1" applyAlignment="1">
      <alignment horizontal="right" vertical="center"/>
    </xf>
    <xf numFmtId="172" fontId="3" fillId="9" borderId="1" xfId="0" applyNumberFormat="1" applyFont="1" applyFill="1" applyBorder="1" applyAlignment="1">
      <alignment horizontal="right" vertical="center"/>
    </xf>
    <xf numFmtId="172" fontId="8" fillId="10" borderId="1" xfId="0" applyNumberFormat="1" applyFont="1" applyFill="1" applyBorder="1" applyAlignment="1">
      <alignment horizontal="right" vertical="center"/>
    </xf>
    <xf numFmtId="172" fontId="3" fillId="10" borderId="1" xfId="0" applyNumberFormat="1" applyFont="1" applyFill="1" applyBorder="1" applyAlignment="1">
      <alignment horizontal="right" vertical="center"/>
    </xf>
    <xf numFmtId="172" fontId="8" fillId="4" borderId="1" xfId="0" applyNumberFormat="1" applyFont="1" applyFill="1" applyBorder="1" applyAlignment="1">
      <alignment horizontal="right" vertical="center"/>
    </xf>
    <xf numFmtId="172" fontId="3" fillId="4" borderId="1" xfId="0" applyNumberFormat="1" applyFont="1" applyFill="1" applyBorder="1" applyAlignment="1">
      <alignment horizontal="right" vertical="center"/>
    </xf>
    <xf numFmtId="172" fontId="3" fillId="8" borderId="1" xfId="0" applyNumberFormat="1" applyFont="1" applyFill="1" applyBorder="1" applyAlignment="1">
      <alignment horizontal="right" vertical="center"/>
    </xf>
    <xf numFmtId="168" fontId="8" fillId="4" borderId="2" xfId="0" applyNumberFormat="1" applyFont="1" applyFill="1" applyBorder="1" applyAlignment="1">
      <alignment horizontal="right" vertical="center"/>
    </xf>
    <xf numFmtId="167" fontId="8" fillId="6" borderId="2" xfId="0" applyNumberFormat="1" applyFont="1" applyFill="1" applyBorder="1" applyAlignment="1">
      <alignment horizontal="right" vertical="center"/>
    </xf>
    <xf numFmtId="167" fontId="8" fillId="4" borderId="2" xfId="0" applyNumberFormat="1" applyFont="1" applyFill="1" applyBorder="1" applyAlignment="1">
      <alignment horizontal="right" vertical="center"/>
    </xf>
    <xf numFmtId="167" fontId="3" fillId="8" borderId="2" xfId="0" applyNumberFormat="1" applyFont="1" applyFill="1" applyBorder="1" applyAlignment="1">
      <alignment horizontal="right" vertical="center"/>
    </xf>
    <xf numFmtId="0" fontId="0" fillId="9" borderId="2" xfId="0" applyFill="1" applyBorder="1"/>
    <xf numFmtId="165" fontId="8" fillId="9" borderId="2" xfId="0" applyNumberFormat="1" applyFont="1" applyFill="1" applyBorder="1" applyAlignment="1">
      <alignment horizontal="right" vertical="center"/>
    </xf>
    <xf numFmtId="0" fontId="0" fillId="10" borderId="2" xfId="0" applyFill="1" applyBorder="1"/>
    <xf numFmtId="165" fontId="8" fillId="10" borderId="2" xfId="0" applyNumberFormat="1" applyFont="1" applyFill="1" applyBorder="1" applyAlignment="1">
      <alignment horizontal="right" vertical="center"/>
    </xf>
    <xf numFmtId="0" fontId="0" fillId="8" borderId="2" xfId="0" applyFill="1" applyBorder="1"/>
    <xf numFmtId="165" fontId="3" fillId="8" borderId="2" xfId="0" applyNumberFormat="1" applyFont="1" applyFill="1" applyBorder="1" applyAlignment="1">
      <alignment horizontal="right" vertical="center"/>
    </xf>
    <xf numFmtId="165" fontId="3" fillId="9" borderId="2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9" fillId="11" borderId="0" xfId="0" applyFont="1" applyFill="1" applyAlignment="1">
      <alignment horizontal="center" vertical="center"/>
    </xf>
    <xf numFmtId="0" fontId="6" fillId="12" borderId="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6B3C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BF3FB"/>
      <rgbColor rgb="FF660066"/>
      <rgbColor rgb="FFFF8080"/>
      <rgbColor rgb="FF2E74B5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D9EFE2"/>
      <rgbColor rgb="FFFFFF99"/>
      <rgbColor rgb="FF99CCFF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C55A11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G119"/>
  <sheetViews>
    <sheetView showGridLines="0"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:G3"/>
    </sheetView>
  </sheetViews>
  <sheetFormatPr baseColWidth="10" defaultColWidth="8.7109375" defaultRowHeight="15" x14ac:dyDescent="0.25"/>
  <cols>
    <col min="1" max="1" width="0.7109375" customWidth="1"/>
    <col min="2" max="2" width="32" customWidth="1"/>
    <col min="3" max="6" width="18" customWidth="1"/>
    <col min="7" max="7" width="4.5703125" customWidth="1"/>
    <col min="8" max="8" width="3" customWidth="1"/>
  </cols>
  <sheetData>
    <row r="1" spans="2:7" ht="15.75" customHeight="1" x14ac:dyDescent="0.25">
      <c r="B1" s="93" t="s">
        <v>0</v>
      </c>
      <c r="C1" s="93"/>
      <c r="D1" s="93"/>
      <c r="E1" s="93"/>
      <c r="F1" s="93"/>
      <c r="G1" s="93"/>
    </row>
    <row r="2" spans="2:7" ht="15.75" customHeight="1" x14ac:dyDescent="0.25">
      <c r="B2" s="93"/>
      <c r="C2" s="93"/>
      <c r="D2" s="93"/>
      <c r="E2" s="93"/>
      <c r="F2" s="93"/>
      <c r="G2" s="93"/>
    </row>
    <row r="3" spans="2:7" ht="15.75" customHeight="1" x14ac:dyDescent="0.25">
      <c r="B3" s="93"/>
      <c r="C3" s="93"/>
      <c r="D3" s="93"/>
      <c r="E3" s="93"/>
      <c r="F3" s="93"/>
      <c r="G3" s="93"/>
    </row>
    <row r="4" spans="2:7" ht="15.75" customHeight="1" x14ac:dyDescent="0.25">
      <c r="B4" s="13" t="s">
        <v>1</v>
      </c>
      <c r="C4" s="13"/>
      <c r="D4" s="13"/>
      <c r="E4" s="13"/>
      <c r="F4" s="13"/>
      <c r="G4" s="13"/>
    </row>
    <row r="5" spans="2:7" ht="15.75" customHeight="1" x14ac:dyDescent="0.25"/>
    <row r="6" spans="2:7" ht="15.75" customHeight="1" x14ac:dyDescent="0.25">
      <c r="B6" s="12" t="s">
        <v>2</v>
      </c>
      <c r="C6" s="12"/>
      <c r="D6" s="12"/>
      <c r="E6" s="12"/>
      <c r="F6" s="12"/>
      <c r="G6" s="12"/>
    </row>
    <row r="7" spans="2:7" ht="15.75" customHeight="1" x14ac:dyDescent="0.25">
      <c r="B7" s="14" t="s">
        <v>3</v>
      </c>
      <c r="C7" s="11" t="s">
        <v>4</v>
      </c>
      <c r="D7" s="11"/>
      <c r="E7" s="11"/>
      <c r="F7" s="11"/>
      <c r="G7" s="11"/>
    </row>
    <row r="8" spans="2:7" ht="15.75" customHeight="1" x14ac:dyDescent="0.25">
      <c r="B8" s="15" t="s">
        <v>5</v>
      </c>
      <c r="C8" s="11" t="s">
        <v>6</v>
      </c>
      <c r="D8" s="11"/>
      <c r="E8" s="11"/>
      <c r="F8" s="11"/>
      <c r="G8" s="11"/>
    </row>
    <row r="9" spans="2:7" ht="15.75" customHeight="1" x14ac:dyDescent="0.25">
      <c r="B9" s="14" t="s">
        <v>7</v>
      </c>
      <c r="C9" s="11" t="s">
        <v>8</v>
      </c>
      <c r="D9" s="11"/>
      <c r="E9" s="11"/>
      <c r="F9" s="11"/>
      <c r="G9" s="11"/>
    </row>
    <row r="10" spans="2:7" ht="15.75" customHeight="1" x14ac:dyDescent="0.25">
      <c r="B10" s="15" t="s">
        <v>9</v>
      </c>
      <c r="C10" s="11" t="s">
        <v>10</v>
      </c>
      <c r="D10" s="11"/>
      <c r="E10" s="11"/>
      <c r="F10" s="11"/>
      <c r="G10" s="11"/>
    </row>
    <row r="11" spans="2:7" ht="15.75" customHeight="1" x14ac:dyDescent="0.25">
      <c r="B11" s="14" t="s">
        <v>11</v>
      </c>
      <c r="C11" s="10">
        <v>92</v>
      </c>
      <c r="D11" s="10"/>
      <c r="E11" s="10"/>
      <c r="F11" s="10"/>
      <c r="G11" s="10"/>
    </row>
    <row r="12" spans="2:7" ht="15.75" customHeight="1" x14ac:dyDescent="0.25">
      <c r="B12" s="15" t="s">
        <v>12</v>
      </c>
      <c r="C12" s="9">
        <v>1998</v>
      </c>
      <c r="D12" s="9"/>
      <c r="E12" s="9"/>
      <c r="F12" s="9"/>
      <c r="G12" s="9"/>
    </row>
    <row r="13" spans="2:7" ht="15.75" customHeight="1" x14ac:dyDescent="0.25">
      <c r="B13" s="14" t="s">
        <v>13</v>
      </c>
      <c r="C13" s="11" t="s">
        <v>14</v>
      </c>
      <c r="D13" s="11"/>
      <c r="E13" s="11"/>
      <c r="F13" s="11"/>
      <c r="G13" s="11"/>
    </row>
    <row r="14" spans="2:7" ht="15.75" customHeight="1" x14ac:dyDescent="0.25">
      <c r="B14" s="15" t="s">
        <v>15</v>
      </c>
      <c r="C14" s="9">
        <v>3</v>
      </c>
      <c r="D14" s="9"/>
      <c r="E14" s="9"/>
      <c r="F14" s="9"/>
      <c r="G14" s="9"/>
    </row>
    <row r="15" spans="2:7" ht="15.75" customHeight="1" x14ac:dyDescent="0.25">
      <c r="B15" s="14" t="s">
        <v>16</v>
      </c>
      <c r="C15" s="9">
        <v>2026</v>
      </c>
      <c r="D15" s="9"/>
      <c r="E15" s="9"/>
      <c r="F15" s="9"/>
      <c r="G15" s="9"/>
    </row>
    <row r="16" spans="2:7" ht="15.75" customHeight="1" x14ac:dyDescent="0.25"/>
    <row r="17" spans="2:7" ht="15.75" customHeight="1" x14ac:dyDescent="0.25">
      <c r="B17" s="12" t="s">
        <v>17</v>
      </c>
      <c r="C17" s="12"/>
      <c r="D17" s="12"/>
      <c r="E17" s="12"/>
      <c r="F17" s="12"/>
      <c r="G17" s="12"/>
    </row>
    <row r="18" spans="2:7" ht="15.75" customHeight="1" x14ac:dyDescent="0.25">
      <c r="B18" s="16" t="s">
        <v>18</v>
      </c>
      <c r="C18" s="16" t="s">
        <v>19</v>
      </c>
      <c r="D18" s="16" t="s">
        <v>20</v>
      </c>
      <c r="E18" s="8" t="s">
        <v>21</v>
      </c>
      <c r="F18" s="8"/>
      <c r="G18" s="8"/>
    </row>
    <row r="19" spans="2:7" ht="15.75" customHeight="1" x14ac:dyDescent="0.25">
      <c r="B19" s="14" t="s">
        <v>22</v>
      </c>
      <c r="C19" s="17">
        <v>320000</v>
      </c>
      <c r="D19" s="18">
        <f>IFERROR(C19/C19,"-")</f>
        <v>1</v>
      </c>
      <c r="E19" s="7" t="s">
        <v>23</v>
      </c>
      <c r="F19" s="7"/>
      <c r="G19" s="7"/>
    </row>
    <row r="20" spans="2:7" ht="15.75" customHeight="1" x14ac:dyDescent="0.25">
      <c r="B20" s="19" t="s">
        <v>24</v>
      </c>
      <c r="C20" s="20">
        <f>C19*0.2</f>
        <v>64000</v>
      </c>
      <c r="D20" s="21">
        <f>IFERROR(C20/C19,"-")</f>
        <v>0.2</v>
      </c>
      <c r="E20" s="6" t="s">
        <v>25</v>
      </c>
      <c r="F20" s="6"/>
      <c r="G20" s="6"/>
    </row>
    <row r="21" spans="2:7" ht="15.75" customHeight="1" x14ac:dyDescent="0.25">
      <c r="B21" s="14" t="s">
        <v>26</v>
      </c>
      <c r="C21" s="22">
        <f>C19*0.8</f>
        <v>256000</v>
      </c>
      <c r="D21" s="18">
        <f>IFERROR(C21/C19,"-")</f>
        <v>0.8</v>
      </c>
      <c r="E21" s="7" t="s">
        <v>27</v>
      </c>
      <c r="F21" s="7"/>
      <c r="G21" s="7"/>
    </row>
    <row r="22" spans="2:7" ht="15.75" customHeight="1" x14ac:dyDescent="0.25">
      <c r="B22" s="15" t="s">
        <v>28</v>
      </c>
      <c r="C22" s="20">
        <f>C19*0.035</f>
        <v>11200.000000000002</v>
      </c>
      <c r="D22" s="21">
        <f>IFERROR(C22/C19,"-")</f>
        <v>3.5000000000000003E-2</v>
      </c>
      <c r="E22" s="6" t="s">
        <v>29</v>
      </c>
      <c r="F22" s="6"/>
      <c r="G22" s="6"/>
    </row>
    <row r="23" spans="2:7" ht="15.75" customHeight="1" x14ac:dyDescent="0.25">
      <c r="B23" s="23" t="s">
        <v>30</v>
      </c>
      <c r="C23" s="22">
        <f>C19*0.016</f>
        <v>5120</v>
      </c>
      <c r="D23" s="18">
        <f>IFERROR(C23/C19,"-")</f>
        <v>1.6E-2</v>
      </c>
      <c r="E23" s="7" t="s">
        <v>31</v>
      </c>
      <c r="F23" s="7"/>
      <c r="G23" s="7"/>
    </row>
    <row r="24" spans="2:7" ht="15.75" customHeight="1" x14ac:dyDescent="0.25">
      <c r="B24" s="19" t="s">
        <v>32</v>
      </c>
      <c r="C24" s="20">
        <f>C19*0.036</f>
        <v>11520</v>
      </c>
      <c r="D24" s="21">
        <f>IFERROR(C24/C19,"-")</f>
        <v>3.5999999999999997E-2</v>
      </c>
      <c r="E24" s="6" t="s">
        <v>33</v>
      </c>
      <c r="F24" s="6"/>
      <c r="G24" s="6"/>
    </row>
    <row r="25" spans="2:7" ht="15.75" customHeight="1" x14ac:dyDescent="0.25">
      <c r="B25" s="23" t="s">
        <v>34</v>
      </c>
      <c r="C25" s="17">
        <v>15000</v>
      </c>
      <c r="D25" s="18">
        <f>IFERROR(C25/C19,"-")</f>
        <v>4.6875E-2</v>
      </c>
      <c r="E25" s="7" t="s">
        <v>35</v>
      </c>
      <c r="F25" s="7"/>
      <c r="G25" s="7"/>
    </row>
    <row r="26" spans="2:7" ht="15.75" customHeight="1" x14ac:dyDescent="0.25">
      <c r="B26" s="19" t="s">
        <v>36</v>
      </c>
      <c r="C26" s="17">
        <v>2000</v>
      </c>
      <c r="D26" s="21">
        <f>IFERROR(C26/C19,"-")</f>
        <v>6.2500000000000003E-3</v>
      </c>
      <c r="E26" s="6" t="s">
        <v>37</v>
      </c>
      <c r="F26" s="6"/>
      <c r="G26" s="6"/>
    </row>
    <row r="27" spans="2:7" ht="15.75" customHeight="1" x14ac:dyDescent="0.25">
      <c r="B27" s="24" t="s">
        <v>38</v>
      </c>
      <c r="C27" s="25">
        <f>C19+C22+C23+C24+C25+C26</f>
        <v>364840</v>
      </c>
      <c r="D27" s="26"/>
      <c r="E27" s="5"/>
      <c r="F27" s="5"/>
      <c r="G27" s="5"/>
    </row>
    <row r="28" spans="2:7" ht="15.75" customHeight="1" x14ac:dyDescent="0.25"/>
    <row r="29" spans="2:7" ht="15.75" customHeight="1" x14ac:dyDescent="0.25">
      <c r="B29" s="12" t="s">
        <v>39</v>
      </c>
      <c r="C29" s="12"/>
      <c r="D29" s="12"/>
      <c r="E29" s="12"/>
      <c r="F29" s="12"/>
      <c r="G29" s="12"/>
    </row>
    <row r="30" spans="2:7" ht="15.75" customHeight="1" x14ac:dyDescent="0.25">
      <c r="B30" s="14" t="s">
        <v>40</v>
      </c>
      <c r="C30" s="22">
        <f>C27*0.25</f>
        <v>91210</v>
      </c>
      <c r="D30" s="7" t="s">
        <v>41</v>
      </c>
      <c r="E30" s="7"/>
      <c r="F30" s="7"/>
      <c r="G30" s="7"/>
    </row>
    <row r="31" spans="2:7" ht="15.75" customHeight="1" x14ac:dyDescent="0.25">
      <c r="B31" s="19" t="s">
        <v>42</v>
      </c>
      <c r="C31" s="20">
        <f>C27-C30</f>
        <v>273630</v>
      </c>
      <c r="D31" s="6" t="s">
        <v>43</v>
      </c>
      <c r="E31" s="6"/>
      <c r="F31" s="6"/>
      <c r="G31" s="6"/>
    </row>
    <row r="32" spans="2:7" ht="15.75" customHeight="1" x14ac:dyDescent="0.25">
      <c r="B32" s="23" t="s">
        <v>44</v>
      </c>
      <c r="C32" s="27">
        <v>3.85E-2</v>
      </c>
      <c r="D32" s="7" t="s">
        <v>45</v>
      </c>
      <c r="E32" s="7"/>
      <c r="F32" s="7"/>
      <c r="G32" s="7"/>
    </row>
    <row r="33" spans="2:7" ht="15.75" customHeight="1" x14ac:dyDescent="0.25">
      <c r="B33" s="19" t="s">
        <v>46</v>
      </c>
      <c r="C33" s="27">
        <v>0.02</v>
      </c>
      <c r="D33" s="6" t="s">
        <v>47</v>
      </c>
      <c r="E33" s="6"/>
      <c r="F33" s="6"/>
      <c r="G33" s="6"/>
    </row>
    <row r="34" spans="2:7" ht="15.75" customHeight="1" x14ac:dyDescent="0.25">
      <c r="B34" s="23" t="s">
        <v>48</v>
      </c>
      <c r="C34" s="28">
        <v>25</v>
      </c>
      <c r="D34" s="7" t="s">
        <v>49</v>
      </c>
      <c r="E34" s="7"/>
      <c r="F34" s="7"/>
      <c r="G34" s="7"/>
    </row>
    <row r="35" spans="2:7" ht="15.75" customHeight="1" x14ac:dyDescent="0.25">
      <c r="B35" s="19" t="s">
        <v>50</v>
      </c>
      <c r="C35" s="20">
        <f>IFERROR(-PMT(C32/12,C34*12,C31),0)</f>
        <v>1421.7536404683353</v>
      </c>
      <c r="D35" s="6" t="s">
        <v>51</v>
      </c>
      <c r="E35" s="6"/>
      <c r="F35" s="6"/>
      <c r="G35" s="6"/>
    </row>
    <row r="36" spans="2:7" ht="15.75" customHeight="1" x14ac:dyDescent="0.25">
      <c r="B36" s="23" t="s">
        <v>52</v>
      </c>
      <c r="C36" s="22">
        <f>C35*12</f>
        <v>17061.043685620025</v>
      </c>
      <c r="D36" s="7" t="s">
        <v>53</v>
      </c>
      <c r="E36" s="7"/>
      <c r="F36" s="7"/>
      <c r="G36" s="7"/>
    </row>
    <row r="37" spans="2:7" ht="15.75" customHeight="1" x14ac:dyDescent="0.25">
      <c r="B37" s="19" t="s">
        <v>54</v>
      </c>
      <c r="C37" s="29">
        <f>IFERROR(C30/C27,0)</f>
        <v>0.25</v>
      </c>
      <c r="D37" s="6" t="s">
        <v>55</v>
      </c>
      <c r="E37" s="6"/>
      <c r="F37" s="6"/>
      <c r="G37" s="6"/>
    </row>
    <row r="38" spans="2:7" ht="15.75" customHeight="1" x14ac:dyDescent="0.25"/>
    <row r="39" spans="2:7" ht="15.75" customHeight="1" x14ac:dyDescent="0.25">
      <c r="B39" s="12" t="s">
        <v>56</v>
      </c>
      <c r="C39" s="12"/>
      <c r="D39" s="12"/>
      <c r="E39" s="12"/>
      <c r="F39" s="12"/>
      <c r="G39" s="12"/>
    </row>
    <row r="40" spans="2:7" ht="15.75" customHeight="1" x14ac:dyDescent="0.25">
      <c r="B40" s="30" t="s">
        <v>57</v>
      </c>
      <c r="C40" s="4" t="s">
        <v>58</v>
      </c>
      <c r="D40" s="4"/>
      <c r="E40" s="4" t="s">
        <v>59</v>
      </c>
      <c r="F40" s="4"/>
      <c r="G40" s="4"/>
    </row>
    <row r="41" spans="2:7" ht="15.75" customHeight="1" x14ac:dyDescent="0.25">
      <c r="B41" s="23" t="s">
        <v>60</v>
      </c>
      <c r="C41" s="3">
        <v>1450</v>
      </c>
      <c r="D41" s="3"/>
      <c r="E41" s="2">
        <f>C41*12</f>
        <v>17400</v>
      </c>
      <c r="F41" s="2"/>
      <c r="G41" s="2"/>
    </row>
    <row r="42" spans="2:7" ht="15.75" customHeight="1" x14ac:dyDescent="0.25">
      <c r="B42" s="19" t="s">
        <v>61</v>
      </c>
      <c r="C42" s="3">
        <v>280</v>
      </c>
      <c r="D42" s="3"/>
      <c r="E42" s="1">
        <f>C42*12</f>
        <v>3360</v>
      </c>
      <c r="F42" s="1"/>
      <c r="G42" s="1"/>
    </row>
    <row r="43" spans="2:7" ht="15.75" customHeight="1" x14ac:dyDescent="0.25">
      <c r="B43" s="23" t="s">
        <v>62</v>
      </c>
      <c r="C43" s="76">
        <f>-C41*0.04</f>
        <v>-58</v>
      </c>
      <c r="D43" s="76"/>
      <c r="E43" s="2">
        <f>C43*12</f>
        <v>-696</v>
      </c>
      <c r="F43" s="2"/>
      <c r="G43" s="2"/>
    </row>
    <row r="44" spans="2:7" ht="15.75" customHeight="1" x14ac:dyDescent="0.25">
      <c r="B44" s="19" t="s">
        <v>63</v>
      </c>
      <c r="C44" s="77">
        <f>(C41+C43)*12</f>
        <v>16704</v>
      </c>
      <c r="D44" s="77"/>
      <c r="E44" s="1">
        <f>C44</f>
        <v>16704</v>
      </c>
      <c r="F44" s="1"/>
      <c r="G44" s="1"/>
    </row>
    <row r="45" spans="2:7" ht="15.75" customHeight="1" x14ac:dyDescent="0.25"/>
    <row r="46" spans="2:7" ht="15.75" customHeight="1" x14ac:dyDescent="0.25">
      <c r="B46" s="30" t="s">
        <v>64</v>
      </c>
      <c r="C46" s="4" t="s">
        <v>58</v>
      </c>
      <c r="D46" s="4"/>
      <c r="E46" s="4" t="s">
        <v>59</v>
      </c>
      <c r="F46" s="4"/>
      <c r="G46" s="4"/>
    </row>
    <row r="47" spans="2:7" ht="15.75" customHeight="1" x14ac:dyDescent="0.25">
      <c r="B47" s="23" t="s">
        <v>65</v>
      </c>
      <c r="C47" s="3">
        <v>140</v>
      </c>
      <c r="D47" s="3"/>
      <c r="E47" s="78">
        <f>C47*12</f>
        <v>1680</v>
      </c>
      <c r="F47" s="78"/>
      <c r="G47" s="78"/>
    </row>
    <row r="48" spans="2:7" ht="15.75" customHeight="1" x14ac:dyDescent="0.25">
      <c r="B48" s="19" t="s">
        <v>66</v>
      </c>
      <c r="C48" s="3">
        <v>120</v>
      </c>
      <c r="D48" s="3"/>
      <c r="E48" s="77">
        <f>C48*12</f>
        <v>1440</v>
      </c>
      <c r="F48" s="77"/>
      <c r="G48" s="77"/>
    </row>
    <row r="49" spans="2:7" ht="15.75" customHeight="1" x14ac:dyDescent="0.25">
      <c r="B49" s="23" t="s">
        <v>67</v>
      </c>
      <c r="C49" s="3">
        <v>55</v>
      </c>
      <c r="D49" s="3"/>
      <c r="E49" s="78">
        <f>C49*12</f>
        <v>660</v>
      </c>
      <c r="F49" s="78"/>
      <c r="G49" s="78"/>
    </row>
    <row r="50" spans="2:7" ht="15.75" customHeight="1" x14ac:dyDescent="0.25">
      <c r="B50" s="19" t="s">
        <v>68</v>
      </c>
      <c r="C50" s="3">
        <v>30</v>
      </c>
      <c r="D50" s="3"/>
      <c r="E50" s="77">
        <f>C50*12</f>
        <v>360</v>
      </c>
      <c r="F50" s="77"/>
      <c r="G50" s="77"/>
    </row>
    <row r="51" spans="2:7" ht="15.75" customHeight="1" x14ac:dyDescent="0.25">
      <c r="B51" s="23" t="s">
        <v>69</v>
      </c>
      <c r="C51" s="3">
        <v>50</v>
      </c>
      <c r="D51" s="3"/>
      <c r="E51" s="78">
        <f>C51*12</f>
        <v>600</v>
      </c>
      <c r="F51" s="78"/>
      <c r="G51" s="78"/>
    </row>
    <row r="52" spans="2:7" ht="15.75" customHeight="1" x14ac:dyDescent="0.25">
      <c r="B52" s="31" t="s">
        <v>70</v>
      </c>
      <c r="C52" s="79">
        <f>SUM(C47:C51)</f>
        <v>395</v>
      </c>
      <c r="D52" s="79"/>
      <c r="E52" s="79">
        <f>SUM(E47:E51)</f>
        <v>4740</v>
      </c>
      <c r="F52" s="79"/>
      <c r="G52" s="79"/>
    </row>
    <row r="53" spans="2:7" ht="15.75" customHeight="1" x14ac:dyDescent="0.25"/>
    <row r="54" spans="2:7" ht="15.75" customHeight="1" x14ac:dyDescent="0.25">
      <c r="B54" s="12" t="s">
        <v>71</v>
      </c>
      <c r="C54" s="12"/>
      <c r="D54" s="12"/>
      <c r="E54" s="12"/>
      <c r="F54" s="12"/>
      <c r="G54" s="12"/>
    </row>
    <row r="55" spans="2:7" ht="15.75" customHeight="1" x14ac:dyDescent="0.25">
      <c r="B55" s="32" t="s">
        <v>72</v>
      </c>
      <c r="C55" s="80"/>
      <c r="D55" s="80"/>
      <c r="E55" s="81">
        <f>E44</f>
        <v>16704</v>
      </c>
      <c r="F55" s="81"/>
      <c r="G55" s="81"/>
    </row>
    <row r="56" spans="2:7" ht="15.75" customHeight="1" x14ac:dyDescent="0.25">
      <c r="B56" s="33" t="s">
        <v>73</v>
      </c>
      <c r="C56" s="82"/>
      <c r="D56" s="82"/>
      <c r="E56" s="83">
        <f>-E52</f>
        <v>-4740</v>
      </c>
      <c r="F56" s="83"/>
      <c r="G56" s="83"/>
    </row>
    <row r="57" spans="2:7" ht="15.75" customHeight="1" x14ac:dyDescent="0.25">
      <c r="B57" s="31" t="s">
        <v>74</v>
      </c>
      <c r="C57" s="84"/>
      <c r="D57" s="84"/>
      <c r="E57" s="85">
        <f>E55+E56</f>
        <v>11964</v>
      </c>
      <c r="F57" s="85"/>
      <c r="G57" s="85"/>
    </row>
    <row r="58" spans="2:7" ht="15.75" customHeight="1" x14ac:dyDescent="0.25">
      <c r="B58" s="33" t="s">
        <v>75</v>
      </c>
      <c r="C58" s="82"/>
      <c r="D58" s="82"/>
      <c r="E58" s="83">
        <f>-C31*C32</f>
        <v>-10534.754999999999</v>
      </c>
      <c r="F58" s="83"/>
      <c r="G58" s="83"/>
    </row>
    <row r="59" spans="2:7" ht="15.75" customHeight="1" x14ac:dyDescent="0.25">
      <c r="B59" s="33" t="s">
        <v>76</v>
      </c>
      <c r="C59" s="82"/>
      <c r="D59" s="82"/>
      <c r="E59" s="83">
        <f>-C36+C31*C32</f>
        <v>-6526.2886856200257</v>
      </c>
      <c r="F59" s="83"/>
      <c r="G59" s="83"/>
    </row>
    <row r="60" spans="2:7" ht="15.75" customHeight="1" x14ac:dyDescent="0.25">
      <c r="B60" s="31" t="s">
        <v>77</v>
      </c>
      <c r="C60" s="84"/>
      <c r="D60" s="84"/>
      <c r="E60" s="85">
        <f>E57+E58+E59</f>
        <v>-5097.0436856200249</v>
      </c>
      <c r="F60" s="85"/>
      <c r="G60" s="85"/>
    </row>
    <row r="61" spans="2:7" ht="15.75" customHeight="1" x14ac:dyDescent="0.25">
      <c r="B61" s="33" t="s">
        <v>78</v>
      </c>
      <c r="C61" s="82"/>
      <c r="D61" s="82"/>
      <c r="E61" s="83">
        <f>E60*(-0.3)</f>
        <v>1529.1131056860074</v>
      </c>
      <c r="F61" s="83"/>
      <c r="G61" s="83"/>
    </row>
    <row r="62" spans="2:7" ht="15.75" customHeight="1" x14ac:dyDescent="0.25">
      <c r="B62" s="34" t="s">
        <v>79</v>
      </c>
      <c r="C62" s="80"/>
      <c r="D62" s="80"/>
      <c r="E62" s="86">
        <f>E60+E61</f>
        <v>-3567.9305799340173</v>
      </c>
      <c r="F62" s="86"/>
      <c r="G62" s="86"/>
    </row>
    <row r="63" spans="2:7" ht="15.75" customHeight="1" x14ac:dyDescent="0.25">
      <c r="B63" s="34" t="s">
        <v>80</v>
      </c>
      <c r="C63" s="80"/>
      <c r="D63" s="80"/>
      <c r="E63" s="86">
        <f>E62/12</f>
        <v>-297.32754832783479</v>
      </c>
      <c r="F63" s="86"/>
      <c r="G63" s="86"/>
    </row>
    <row r="64" spans="2:7" ht="15.75" customHeight="1" x14ac:dyDescent="0.25"/>
    <row r="65" spans="2:7" ht="15.75" customHeight="1" x14ac:dyDescent="0.25">
      <c r="B65" s="12" t="s">
        <v>81</v>
      </c>
      <c r="C65" s="12"/>
      <c r="D65" s="12"/>
      <c r="E65" s="12"/>
      <c r="F65" s="12"/>
      <c r="G65" s="12"/>
    </row>
    <row r="66" spans="2:7" ht="15.75" customHeight="1" x14ac:dyDescent="0.25">
      <c r="B66" s="16" t="s">
        <v>82</v>
      </c>
      <c r="C66" s="16" t="s">
        <v>83</v>
      </c>
      <c r="D66" s="16" t="s">
        <v>84</v>
      </c>
      <c r="E66" s="16" t="s">
        <v>85</v>
      </c>
      <c r="F66" s="16" t="s">
        <v>86</v>
      </c>
    </row>
    <row r="67" spans="2:7" ht="15.75" customHeight="1" x14ac:dyDescent="0.25">
      <c r="B67" s="14" t="s">
        <v>87</v>
      </c>
      <c r="C67" s="35">
        <f>IFERROR((C41*12)/C19,0)</f>
        <v>5.4375E-2</v>
      </c>
      <c r="D67" s="36" t="s">
        <v>88</v>
      </c>
      <c r="E67" s="87" t="s">
        <v>89</v>
      </c>
      <c r="F67" s="87"/>
      <c r="G67" s="87"/>
    </row>
    <row r="68" spans="2:7" ht="15.75" customHeight="1" x14ac:dyDescent="0.25">
      <c r="B68" s="15" t="s">
        <v>90</v>
      </c>
      <c r="C68" s="37">
        <f>IFERROR((C41*12-E52)/C27,0)</f>
        <v>3.4700142528231552E-2</v>
      </c>
      <c r="D68" s="38" t="s">
        <v>91</v>
      </c>
      <c r="E68" s="88" t="s">
        <v>92</v>
      </c>
      <c r="F68" s="88"/>
      <c r="G68" s="88"/>
    </row>
    <row r="69" spans="2:7" ht="15.75" customHeight="1" x14ac:dyDescent="0.25">
      <c r="B69" s="14" t="s">
        <v>93</v>
      </c>
      <c r="C69" s="35">
        <f>IFERROR(E62/C30,0)</f>
        <v>-3.911775660491193E-2</v>
      </c>
      <c r="D69" s="36" t="s">
        <v>94</v>
      </c>
      <c r="E69" s="87" t="s">
        <v>95</v>
      </c>
      <c r="F69" s="87"/>
      <c r="G69" s="87"/>
    </row>
    <row r="70" spans="2:7" ht="15.75" customHeight="1" x14ac:dyDescent="0.25">
      <c r="B70" s="15" t="s">
        <v>96</v>
      </c>
      <c r="C70" s="39">
        <f>IFERROR(C19/(C41*12),0)</f>
        <v>18.390804597701148</v>
      </c>
      <c r="D70" s="38" t="s">
        <v>97</v>
      </c>
      <c r="E70" s="88" t="s">
        <v>98</v>
      </c>
      <c r="F70" s="88"/>
      <c r="G70" s="88"/>
    </row>
    <row r="71" spans="2:7" ht="15.75" customHeight="1" x14ac:dyDescent="0.25">
      <c r="B71" s="14" t="s">
        <v>99</v>
      </c>
      <c r="C71" s="40">
        <f>C21*0.02</f>
        <v>5120</v>
      </c>
      <c r="D71" s="36" t="s">
        <v>100</v>
      </c>
      <c r="E71" s="87" t="s">
        <v>101</v>
      </c>
      <c r="F71" s="87"/>
      <c r="G71" s="87"/>
    </row>
    <row r="72" spans="2:7" ht="15.75" customHeight="1" x14ac:dyDescent="0.25">
      <c r="B72" s="15" t="s">
        <v>102</v>
      </c>
      <c r="C72" s="37">
        <f>IFERROR(C36/(C41*12),0)</f>
        <v>0.98051975204712782</v>
      </c>
      <c r="D72" s="38" t="s">
        <v>103</v>
      </c>
      <c r="E72" s="88" t="s">
        <v>104</v>
      </c>
      <c r="F72" s="88"/>
      <c r="G72" s="88"/>
    </row>
    <row r="73" spans="2:7" ht="15.75" customHeight="1" x14ac:dyDescent="0.25">
      <c r="B73" s="14" t="s">
        <v>105</v>
      </c>
      <c r="C73" s="40">
        <f>E60/12</f>
        <v>-424.75364046833539</v>
      </c>
      <c r="D73" s="36" t="s">
        <v>106</v>
      </c>
      <c r="E73" s="87" t="s">
        <v>107</v>
      </c>
      <c r="F73" s="87"/>
      <c r="G73" s="87"/>
    </row>
    <row r="74" spans="2:7" ht="15.75" customHeight="1" x14ac:dyDescent="0.25">
      <c r="B74" s="15" t="s">
        <v>108</v>
      </c>
      <c r="C74" s="41">
        <f>IFERROR(C36/(C11*12),0)</f>
        <v>15.45384391813408</v>
      </c>
      <c r="D74" s="38" t="s">
        <v>109</v>
      </c>
      <c r="E74" s="88" t="s">
        <v>110</v>
      </c>
      <c r="F74" s="88"/>
      <c r="G74" s="88"/>
    </row>
    <row r="75" spans="2:7" ht="15.75" customHeight="1" x14ac:dyDescent="0.25"/>
    <row r="76" spans="2:7" ht="15.75" customHeight="1" x14ac:dyDescent="0.25">
      <c r="B76" s="12" t="s">
        <v>111</v>
      </c>
      <c r="C76" s="12"/>
      <c r="D76" s="12"/>
      <c r="E76" s="12"/>
      <c r="F76" s="12"/>
      <c r="G76" s="12"/>
    </row>
    <row r="77" spans="2:7" ht="15.75" customHeight="1" x14ac:dyDescent="0.25">
      <c r="B77" s="42" t="s">
        <v>112</v>
      </c>
      <c r="C77" s="43">
        <f>C21+(C21/C19)*(C20+C21)</f>
        <v>512000</v>
      </c>
      <c r="D77" s="87" t="s">
        <v>113</v>
      </c>
      <c r="E77" s="87"/>
      <c r="F77" s="87"/>
      <c r="G77" s="87"/>
    </row>
    <row r="78" spans="2:7" ht="15.75" customHeight="1" x14ac:dyDescent="0.25">
      <c r="B78" s="44" t="s">
        <v>114</v>
      </c>
      <c r="C78" s="27">
        <v>0.02</v>
      </c>
      <c r="D78" s="88" t="s">
        <v>115</v>
      </c>
      <c r="E78" s="88"/>
      <c r="F78" s="88"/>
      <c r="G78" s="88"/>
    </row>
    <row r="79" spans="2:7" ht="15.75" customHeight="1" x14ac:dyDescent="0.25">
      <c r="B79" s="42" t="s">
        <v>116</v>
      </c>
      <c r="C79" s="43">
        <f>C77*C78</f>
        <v>10240</v>
      </c>
      <c r="D79" s="87" t="s">
        <v>117</v>
      </c>
      <c r="E79" s="87"/>
      <c r="F79" s="87"/>
      <c r="G79" s="87"/>
    </row>
    <row r="80" spans="2:7" ht="15.75" customHeight="1" x14ac:dyDescent="0.25">
      <c r="B80" s="44" t="s">
        <v>118</v>
      </c>
      <c r="C80" s="27">
        <v>0.35</v>
      </c>
      <c r="D80" s="88" t="s">
        <v>119</v>
      </c>
      <c r="E80" s="88"/>
      <c r="F80" s="88"/>
      <c r="G80" s="88"/>
    </row>
    <row r="81" spans="2:7" ht="15.75" customHeight="1" x14ac:dyDescent="0.25">
      <c r="B81" s="42" t="s">
        <v>120</v>
      </c>
      <c r="C81" s="43">
        <f>C79*C80</f>
        <v>3584</v>
      </c>
      <c r="D81" s="87" t="s">
        <v>121</v>
      </c>
      <c r="E81" s="87"/>
      <c r="F81" s="87"/>
      <c r="G81" s="87"/>
    </row>
    <row r="82" spans="2:7" ht="15.75" customHeight="1" x14ac:dyDescent="0.25">
      <c r="B82" s="44" t="s">
        <v>122</v>
      </c>
      <c r="C82" s="45">
        <f>IFERROR(1/C78,50)</f>
        <v>50</v>
      </c>
      <c r="D82" s="88" t="s">
        <v>123</v>
      </c>
      <c r="E82" s="88"/>
      <c r="F82" s="88"/>
      <c r="G82" s="88"/>
    </row>
    <row r="83" spans="2:7" ht="15.75" customHeight="1" x14ac:dyDescent="0.25"/>
    <row r="84" spans="2:7" ht="15.75" customHeight="1" x14ac:dyDescent="0.25">
      <c r="B84" s="89" t="s">
        <v>124</v>
      </c>
      <c r="C84" s="89"/>
      <c r="D84" s="89"/>
      <c r="E84" s="89"/>
      <c r="F84" s="89"/>
      <c r="G84" s="89"/>
    </row>
    <row r="85" spans="2:7" ht="15.75" customHeight="1" x14ac:dyDescent="0.25">
      <c r="B85" s="46"/>
      <c r="C85" s="47" t="s">
        <v>125</v>
      </c>
      <c r="D85" s="90" t="s">
        <v>126</v>
      </c>
      <c r="E85" s="90"/>
      <c r="F85" s="90"/>
      <c r="G85" s="90"/>
    </row>
    <row r="86" spans="2:7" ht="15.75" customHeight="1" x14ac:dyDescent="0.25">
      <c r="B86" s="48"/>
      <c r="C86" s="47" t="s">
        <v>127</v>
      </c>
      <c r="D86" s="90" t="s">
        <v>128</v>
      </c>
      <c r="E86" s="90"/>
      <c r="F86" s="90"/>
      <c r="G86" s="90"/>
    </row>
    <row r="87" spans="2:7" ht="15.75" customHeight="1" x14ac:dyDescent="0.25">
      <c r="B87" s="49"/>
      <c r="C87" s="47" t="s">
        <v>129</v>
      </c>
      <c r="D87" s="90" t="s">
        <v>130</v>
      </c>
      <c r="E87" s="90"/>
      <c r="F87" s="90"/>
      <c r="G87" s="90"/>
    </row>
    <row r="88" spans="2:7" ht="15.75" customHeight="1" x14ac:dyDescent="0.25">
      <c r="B88" s="50"/>
      <c r="C88" s="47" t="s">
        <v>131</v>
      </c>
      <c r="D88" s="90" t="s">
        <v>132</v>
      </c>
      <c r="E88" s="90"/>
      <c r="F88" s="90"/>
      <c r="G88" s="90"/>
    </row>
    <row r="89" spans="2:7" ht="15.75" customHeight="1" x14ac:dyDescent="0.25">
      <c r="B89" s="51"/>
      <c r="C89" s="47" t="s">
        <v>133</v>
      </c>
      <c r="D89" s="90" t="s">
        <v>134</v>
      </c>
      <c r="E89" s="90"/>
      <c r="F89" s="90"/>
      <c r="G89" s="90"/>
    </row>
    <row r="90" spans="2:7" ht="15.75" customHeight="1" x14ac:dyDescent="0.25"/>
    <row r="91" spans="2:7" ht="15.75" customHeight="1" x14ac:dyDescent="0.25"/>
    <row r="92" spans="2:7" ht="15.75" customHeight="1" x14ac:dyDescent="0.25"/>
    <row r="93" spans="2:7" ht="15.75" customHeight="1" x14ac:dyDescent="0.25"/>
    <row r="94" spans="2:7" ht="15.75" customHeight="1" x14ac:dyDescent="0.25"/>
    <row r="95" spans="2:7" ht="15.75" customHeight="1" x14ac:dyDescent="0.25"/>
    <row r="96" spans="2:7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</sheetData>
  <mergeCells count="98">
    <mergeCell ref="D88:G88"/>
    <mergeCell ref="D89:G89"/>
    <mergeCell ref="D82:G82"/>
    <mergeCell ref="B84:G84"/>
    <mergeCell ref="D85:G85"/>
    <mergeCell ref="D86:G86"/>
    <mergeCell ref="D87:G87"/>
    <mergeCell ref="D77:G77"/>
    <mergeCell ref="D78:G78"/>
    <mergeCell ref="D79:G79"/>
    <mergeCell ref="D80:G80"/>
    <mergeCell ref="D81:G81"/>
    <mergeCell ref="E71:G71"/>
    <mergeCell ref="E72:G72"/>
    <mergeCell ref="E73:G73"/>
    <mergeCell ref="E74:G74"/>
    <mergeCell ref="B76:G76"/>
    <mergeCell ref="B65:G65"/>
    <mergeCell ref="E67:G67"/>
    <mergeCell ref="E68:G68"/>
    <mergeCell ref="E69:G69"/>
    <mergeCell ref="E70:G70"/>
    <mergeCell ref="C61:D61"/>
    <mergeCell ref="E61:G61"/>
    <mergeCell ref="C62:D62"/>
    <mergeCell ref="E62:G62"/>
    <mergeCell ref="C63:D63"/>
    <mergeCell ref="E63:G63"/>
    <mergeCell ref="C58:D58"/>
    <mergeCell ref="E58:G58"/>
    <mergeCell ref="C59:D59"/>
    <mergeCell ref="E59:G59"/>
    <mergeCell ref="C60:D60"/>
    <mergeCell ref="E60:G60"/>
    <mergeCell ref="C55:D55"/>
    <mergeCell ref="E55:G55"/>
    <mergeCell ref="C56:D56"/>
    <mergeCell ref="E56:G56"/>
    <mergeCell ref="C57:D57"/>
    <mergeCell ref="E57:G57"/>
    <mergeCell ref="C51:D51"/>
    <mergeCell ref="E51:G51"/>
    <mergeCell ref="C52:D52"/>
    <mergeCell ref="E52:G52"/>
    <mergeCell ref="B54:G54"/>
    <mergeCell ref="C48:D48"/>
    <mergeCell ref="E48:G48"/>
    <mergeCell ref="C49:D49"/>
    <mergeCell ref="E49:G49"/>
    <mergeCell ref="C50:D50"/>
    <mergeCell ref="E50:G50"/>
    <mergeCell ref="C44:D44"/>
    <mergeCell ref="E44:G44"/>
    <mergeCell ref="C46:D46"/>
    <mergeCell ref="E46:G46"/>
    <mergeCell ref="C47:D47"/>
    <mergeCell ref="E47:G47"/>
    <mergeCell ref="C41:D41"/>
    <mergeCell ref="E41:G41"/>
    <mergeCell ref="C42:D42"/>
    <mergeCell ref="E42:G42"/>
    <mergeCell ref="C43:D43"/>
    <mergeCell ref="E43:G43"/>
    <mergeCell ref="D36:G36"/>
    <mergeCell ref="D37:G37"/>
    <mergeCell ref="B39:G39"/>
    <mergeCell ref="C40:D40"/>
    <mergeCell ref="E40:G40"/>
    <mergeCell ref="D31:G31"/>
    <mergeCell ref="D32:G32"/>
    <mergeCell ref="D33:G33"/>
    <mergeCell ref="D34:G34"/>
    <mergeCell ref="D35:G35"/>
    <mergeCell ref="E25:G25"/>
    <mergeCell ref="E26:G26"/>
    <mergeCell ref="E27:G27"/>
    <mergeCell ref="B29:G29"/>
    <mergeCell ref="D30:G30"/>
    <mergeCell ref="E20:G20"/>
    <mergeCell ref="E21:G21"/>
    <mergeCell ref="E22:G22"/>
    <mergeCell ref="E23:G23"/>
    <mergeCell ref="E24:G24"/>
    <mergeCell ref="C14:G14"/>
    <mergeCell ref="C15:G15"/>
    <mergeCell ref="B17:G17"/>
    <mergeCell ref="E18:G18"/>
    <mergeCell ref="E19:G19"/>
    <mergeCell ref="C9:G9"/>
    <mergeCell ref="C10:G10"/>
    <mergeCell ref="C11:G11"/>
    <mergeCell ref="C12:G12"/>
    <mergeCell ref="C13:G13"/>
    <mergeCell ref="B1:G3"/>
    <mergeCell ref="B4:G4"/>
    <mergeCell ref="B6:G6"/>
    <mergeCell ref="C7:G7"/>
    <mergeCell ref="C8:G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4B5"/>
  </sheetPr>
  <dimension ref="B1:H32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3" customWidth="1"/>
    <col min="2" max="2" width="8" customWidth="1"/>
    <col min="3" max="8" width="18" customWidth="1"/>
    <col min="9" max="9" width="3" customWidth="1"/>
  </cols>
  <sheetData>
    <row r="1" spans="2:8" ht="15" customHeight="1" x14ac:dyDescent="0.25">
      <c r="B1" s="91" t="s">
        <v>135</v>
      </c>
      <c r="C1" s="91"/>
      <c r="D1" s="91"/>
      <c r="E1" s="91"/>
      <c r="F1" s="91"/>
      <c r="G1" s="91"/>
      <c r="H1" s="91"/>
    </row>
    <row r="2" spans="2:8" ht="15" customHeight="1" x14ac:dyDescent="0.25">
      <c r="B2" s="91"/>
      <c r="C2" s="91"/>
      <c r="D2" s="91"/>
      <c r="E2" s="91"/>
      <c r="F2" s="91"/>
      <c r="G2" s="91"/>
      <c r="H2" s="91"/>
    </row>
    <row r="3" spans="2:8" ht="15" customHeight="1" x14ac:dyDescent="0.25">
      <c r="B3" s="91"/>
      <c r="C3" s="91"/>
      <c r="D3" s="91"/>
      <c r="E3" s="91"/>
      <c r="F3" s="91"/>
      <c r="G3" s="91"/>
      <c r="H3" s="91"/>
    </row>
    <row r="4" spans="2:8" ht="15" customHeight="1" x14ac:dyDescent="0.25">
      <c r="B4" s="92" t="s">
        <v>136</v>
      </c>
      <c r="C4" s="92"/>
      <c r="D4" s="92"/>
      <c r="E4" s="92"/>
      <c r="F4" s="92"/>
      <c r="G4" s="92"/>
      <c r="H4" s="92"/>
    </row>
    <row r="6" spans="2:8" ht="21.75" customHeight="1" x14ac:dyDescent="0.25">
      <c r="B6" s="52" t="s">
        <v>137</v>
      </c>
      <c r="C6" s="52" t="s">
        <v>138</v>
      </c>
      <c r="D6" s="52" t="s">
        <v>139</v>
      </c>
      <c r="E6" s="52" t="s">
        <v>140</v>
      </c>
      <c r="F6" s="52" t="s">
        <v>141</v>
      </c>
      <c r="G6" s="52" t="s">
        <v>142</v>
      </c>
      <c r="H6" s="52" t="s">
        <v>143</v>
      </c>
    </row>
    <row r="7" spans="2:8" ht="15" customHeight="1" x14ac:dyDescent="0.25">
      <c r="B7" s="53">
        <v>1</v>
      </c>
      <c r="C7" s="54">
        <f>2026+0</f>
        <v>2026</v>
      </c>
      <c r="D7" s="20">
        <f>Investitionsrechnung!C31</f>
        <v>273630</v>
      </c>
      <c r="E7" s="55">
        <f>IFERROR(D7*Investitionsrechnung!C32,0)</f>
        <v>10534.754999999999</v>
      </c>
      <c r="F7" s="56">
        <f t="shared" ref="F7:F31" si="0">IFERROR(G7-E7,0)</f>
        <v>6526.2886856200257</v>
      </c>
      <c r="G7" s="20">
        <f>IFERROR(Investitionsrechnung!C36,0)</f>
        <v>17061.043685620025</v>
      </c>
      <c r="H7" s="57">
        <f t="shared" ref="H7:H31" si="1">IFERROR(MAX(D7-F7,0),0)</f>
        <v>267103.71131437999</v>
      </c>
    </row>
    <row r="8" spans="2:8" ht="15" customHeight="1" x14ac:dyDescent="0.25">
      <c r="B8" s="58">
        <v>2</v>
      </c>
      <c r="C8" s="59">
        <f>2026+1</f>
        <v>2027</v>
      </c>
      <c r="D8" s="22">
        <f t="shared" ref="D8:D31" si="2">H7</f>
        <v>267103.71131437999</v>
      </c>
      <c r="E8" s="60">
        <f>IFERROR(D8*Investitionsrechnung!C32,0)</f>
        <v>10283.492885603629</v>
      </c>
      <c r="F8" s="61">
        <f t="shared" si="0"/>
        <v>6777.5508000163954</v>
      </c>
      <c r="G8" s="22">
        <f>IFERROR(Investitionsrechnung!C36,0)</f>
        <v>17061.043685620025</v>
      </c>
      <c r="H8" s="62">
        <f t="shared" si="1"/>
        <v>260326.16051436361</v>
      </c>
    </row>
    <row r="9" spans="2:8" ht="15" customHeight="1" x14ac:dyDescent="0.25">
      <c r="B9" s="53">
        <v>3</v>
      </c>
      <c r="C9" s="54">
        <f>2026+2</f>
        <v>2028</v>
      </c>
      <c r="D9" s="20">
        <f t="shared" si="2"/>
        <v>260326.16051436361</v>
      </c>
      <c r="E9" s="55">
        <f>IFERROR(D9*Investitionsrechnung!C32,0)</f>
        <v>10022.557179803</v>
      </c>
      <c r="F9" s="56">
        <f t="shared" si="0"/>
        <v>7038.4865058170253</v>
      </c>
      <c r="G9" s="20">
        <f>IFERROR(Investitionsrechnung!C36,0)</f>
        <v>17061.043685620025</v>
      </c>
      <c r="H9" s="57">
        <f t="shared" si="1"/>
        <v>253287.67400854657</v>
      </c>
    </row>
    <row r="10" spans="2:8" ht="15" customHeight="1" x14ac:dyDescent="0.25">
      <c r="B10" s="58">
        <v>4</v>
      </c>
      <c r="C10" s="59">
        <f>2026+3</f>
        <v>2029</v>
      </c>
      <c r="D10" s="22">
        <f t="shared" si="2"/>
        <v>253287.67400854657</v>
      </c>
      <c r="E10" s="60">
        <f>IFERROR(D10*Investitionsrechnung!C32,0)</f>
        <v>9751.5754493290424</v>
      </c>
      <c r="F10" s="61">
        <f t="shared" si="0"/>
        <v>7309.4682362909825</v>
      </c>
      <c r="G10" s="22">
        <f>IFERROR(Investitionsrechnung!C36,0)</f>
        <v>17061.043685620025</v>
      </c>
      <c r="H10" s="62">
        <f t="shared" si="1"/>
        <v>245978.20577225558</v>
      </c>
    </row>
    <row r="11" spans="2:8" ht="15" customHeight="1" x14ac:dyDescent="0.25">
      <c r="B11" s="53">
        <v>5</v>
      </c>
      <c r="C11" s="54">
        <f>2026+4</f>
        <v>2030</v>
      </c>
      <c r="D11" s="20">
        <f t="shared" si="2"/>
        <v>245978.20577225558</v>
      </c>
      <c r="E11" s="55">
        <f>IFERROR(D11*Investitionsrechnung!C32,0)</f>
        <v>9470.1609222318402</v>
      </c>
      <c r="F11" s="56">
        <f t="shared" si="0"/>
        <v>7590.8827633881847</v>
      </c>
      <c r="G11" s="20">
        <f>IFERROR(Investitionsrechnung!C36,0)</f>
        <v>17061.043685620025</v>
      </c>
      <c r="H11" s="57">
        <f t="shared" si="1"/>
        <v>238387.32300886739</v>
      </c>
    </row>
    <row r="12" spans="2:8" ht="15" customHeight="1" x14ac:dyDescent="0.25">
      <c r="B12" s="58">
        <v>6</v>
      </c>
      <c r="C12" s="59">
        <f>2026+5</f>
        <v>2031</v>
      </c>
      <c r="D12" s="22">
        <f t="shared" si="2"/>
        <v>238387.32300886739</v>
      </c>
      <c r="E12" s="60">
        <f>IFERROR(D12*Investitionsrechnung!C32,0)</f>
        <v>9177.9119358413936</v>
      </c>
      <c r="F12" s="61">
        <f t="shared" si="0"/>
        <v>7883.1317497786313</v>
      </c>
      <c r="G12" s="22">
        <f>IFERROR(Investitionsrechnung!C36,0)</f>
        <v>17061.043685620025</v>
      </c>
      <c r="H12" s="62">
        <f t="shared" si="1"/>
        <v>230504.19125908875</v>
      </c>
    </row>
    <row r="13" spans="2:8" ht="15" customHeight="1" x14ac:dyDescent="0.25">
      <c r="B13" s="53">
        <v>7</v>
      </c>
      <c r="C13" s="54">
        <f>2026+6</f>
        <v>2032</v>
      </c>
      <c r="D13" s="20">
        <f t="shared" si="2"/>
        <v>230504.19125908875</v>
      </c>
      <c r="E13" s="55">
        <f>IFERROR(D13*Investitionsrechnung!C32,0)</f>
        <v>8874.4113634749174</v>
      </c>
      <c r="F13" s="56">
        <f t="shared" si="0"/>
        <v>8186.6323221451075</v>
      </c>
      <c r="G13" s="20">
        <f>IFERROR(Investitionsrechnung!C36,0)</f>
        <v>17061.043685620025</v>
      </c>
      <c r="H13" s="57">
        <f t="shared" si="1"/>
        <v>222317.55893694365</v>
      </c>
    </row>
    <row r="14" spans="2:8" ht="15" customHeight="1" x14ac:dyDescent="0.25">
      <c r="B14" s="58">
        <v>8</v>
      </c>
      <c r="C14" s="59">
        <f>2026+7</f>
        <v>2033</v>
      </c>
      <c r="D14" s="22">
        <f t="shared" si="2"/>
        <v>222317.55893694365</v>
      </c>
      <c r="E14" s="60">
        <f>IFERROR(D14*Investitionsrechnung!C32,0)</f>
        <v>8559.22601907233</v>
      </c>
      <c r="F14" s="61">
        <f t="shared" si="0"/>
        <v>8501.8176665476949</v>
      </c>
      <c r="G14" s="22">
        <f>IFERROR(Investitionsrechnung!C36,0)</f>
        <v>17061.043685620025</v>
      </c>
      <c r="H14" s="62">
        <f t="shared" si="1"/>
        <v>213815.74127039596</v>
      </c>
    </row>
    <row r="15" spans="2:8" ht="15" customHeight="1" x14ac:dyDescent="0.25">
      <c r="B15" s="53">
        <v>9</v>
      </c>
      <c r="C15" s="54">
        <f>2026+8</f>
        <v>2034</v>
      </c>
      <c r="D15" s="20">
        <f t="shared" si="2"/>
        <v>213815.74127039596</v>
      </c>
      <c r="E15" s="55">
        <f>IFERROR(D15*Investitionsrechnung!C32,0)</f>
        <v>8231.9060389102451</v>
      </c>
      <c r="F15" s="56">
        <f t="shared" si="0"/>
        <v>8829.1376467097798</v>
      </c>
      <c r="G15" s="20">
        <f>IFERROR(Investitionsrechnung!C36,0)</f>
        <v>17061.043685620025</v>
      </c>
      <c r="H15" s="57">
        <f t="shared" si="1"/>
        <v>204986.60362368618</v>
      </c>
    </row>
    <row r="16" spans="2:8" ht="15" customHeight="1" x14ac:dyDescent="0.25">
      <c r="B16" s="58">
        <v>10</v>
      </c>
      <c r="C16" s="59">
        <f>2026+9</f>
        <v>2035</v>
      </c>
      <c r="D16" s="22">
        <f t="shared" si="2"/>
        <v>204986.60362368618</v>
      </c>
      <c r="E16" s="60">
        <f>IFERROR(D16*Investitionsrechnung!C32,0)</f>
        <v>7891.9842395119176</v>
      </c>
      <c r="F16" s="61">
        <f t="shared" si="0"/>
        <v>9169.0594461081073</v>
      </c>
      <c r="G16" s="22">
        <f>IFERROR(Investitionsrechnung!C36,0)</f>
        <v>17061.043685620025</v>
      </c>
      <c r="H16" s="62">
        <f t="shared" si="1"/>
        <v>195817.54417757806</v>
      </c>
    </row>
    <row r="17" spans="2:8" ht="15" customHeight="1" x14ac:dyDescent="0.25">
      <c r="B17" s="53">
        <v>11</v>
      </c>
      <c r="C17" s="54">
        <f>2026+10</f>
        <v>2036</v>
      </c>
      <c r="D17" s="20">
        <f t="shared" si="2"/>
        <v>195817.54417757806</v>
      </c>
      <c r="E17" s="55">
        <f>IFERROR(D17*Investitionsrechnung!C32,0)</f>
        <v>7538.975450836755</v>
      </c>
      <c r="F17" s="56">
        <f t="shared" si="0"/>
        <v>9522.0682347832699</v>
      </c>
      <c r="G17" s="20">
        <f>IFERROR(Investitionsrechnung!C36,0)</f>
        <v>17061.043685620025</v>
      </c>
      <c r="H17" s="57">
        <f t="shared" si="1"/>
        <v>186295.47594279479</v>
      </c>
    </row>
    <row r="18" spans="2:8" ht="15" customHeight="1" x14ac:dyDescent="0.25">
      <c r="B18" s="58">
        <v>12</v>
      </c>
      <c r="C18" s="59">
        <f>2026+11</f>
        <v>2037</v>
      </c>
      <c r="D18" s="22">
        <f t="shared" si="2"/>
        <v>186295.47594279479</v>
      </c>
      <c r="E18" s="60">
        <f>IFERROR(D18*Investitionsrechnung!C32,0)</f>
        <v>7172.375823797599</v>
      </c>
      <c r="F18" s="61">
        <f t="shared" si="0"/>
        <v>9888.667861822425</v>
      </c>
      <c r="G18" s="22">
        <f>IFERROR(Investitionsrechnung!C36,0)</f>
        <v>17061.043685620025</v>
      </c>
      <c r="H18" s="62">
        <f t="shared" si="1"/>
        <v>176406.80808097235</v>
      </c>
    </row>
    <row r="19" spans="2:8" ht="15" customHeight="1" x14ac:dyDescent="0.25">
      <c r="B19" s="53">
        <v>13</v>
      </c>
      <c r="C19" s="54">
        <f>2026+12</f>
        <v>2038</v>
      </c>
      <c r="D19" s="20">
        <f t="shared" si="2"/>
        <v>176406.80808097235</v>
      </c>
      <c r="E19" s="55">
        <f>IFERROR(D19*Investitionsrechnung!C32,0)</f>
        <v>6791.6621111174354</v>
      </c>
      <c r="F19" s="56">
        <f t="shared" si="0"/>
        <v>10269.38157450259</v>
      </c>
      <c r="G19" s="20">
        <f>IFERROR(Investitionsrechnung!C36,0)</f>
        <v>17061.043685620025</v>
      </c>
      <c r="H19" s="57">
        <f t="shared" si="1"/>
        <v>166137.42650646975</v>
      </c>
    </row>
    <row r="20" spans="2:8" ht="15" customHeight="1" x14ac:dyDescent="0.25">
      <c r="B20" s="58">
        <v>14</v>
      </c>
      <c r="C20" s="59">
        <f>2026+13</f>
        <v>2039</v>
      </c>
      <c r="D20" s="22">
        <f t="shared" si="2"/>
        <v>166137.42650646975</v>
      </c>
      <c r="E20" s="60">
        <f>IFERROR(D20*Investitionsrechnung!C32,0)</f>
        <v>6396.2909204990856</v>
      </c>
      <c r="F20" s="61">
        <f t="shared" si="0"/>
        <v>10664.752765120938</v>
      </c>
      <c r="G20" s="22">
        <f>IFERROR(Investitionsrechnung!C36,0)</f>
        <v>17061.043685620025</v>
      </c>
      <c r="H20" s="62">
        <f t="shared" si="1"/>
        <v>155472.67374134882</v>
      </c>
    </row>
    <row r="21" spans="2:8" ht="15" customHeight="1" x14ac:dyDescent="0.25">
      <c r="B21" s="53">
        <v>15</v>
      </c>
      <c r="C21" s="54">
        <f>2026+14</f>
        <v>2040</v>
      </c>
      <c r="D21" s="20">
        <f t="shared" si="2"/>
        <v>155472.67374134882</v>
      </c>
      <c r="E21" s="55">
        <f>IFERROR(D21*Investitionsrechnung!C32,0)</f>
        <v>5985.6979390419292</v>
      </c>
      <c r="F21" s="56">
        <f t="shared" si="0"/>
        <v>11075.345746578096</v>
      </c>
      <c r="G21" s="20">
        <f>IFERROR(Investitionsrechnung!C36,0)</f>
        <v>17061.043685620025</v>
      </c>
      <c r="H21" s="57">
        <f t="shared" si="1"/>
        <v>144397.32799477072</v>
      </c>
    </row>
    <row r="22" spans="2:8" ht="15" customHeight="1" x14ac:dyDescent="0.25">
      <c r="B22" s="58">
        <v>16</v>
      </c>
      <c r="C22" s="59">
        <f>2026+15</f>
        <v>2041</v>
      </c>
      <c r="D22" s="22">
        <f t="shared" si="2"/>
        <v>144397.32799477072</v>
      </c>
      <c r="E22" s="60">
        <f>IFERROR(D22*Investitionsrechnung!C32,0)</f>
        <v>5559.2971277986726</v>
      </c>
      <c r="F22" s="61">
        <f t="shared" si="0"/>
        <v>11501.746557821352</v>
      </c>
      <c r="G22" s="22">
        <f>IFERROR(Investitionsrechnung!C36,0)</f>
        <v>17061.043685620025</v>
      </c>
      <c r="H22" s="62">
        <f t="shared" si="1"/>
        <v>132895.58143694937</v>
      </c>
    </row>
    <row r="23" spans="2:8" ht="15" customHeight="1" x14ac:dyDescent="0.25">
      <c r="B23" s="53">
        <v>17</v>
      </c>
      <c r="C23" s="54">
        <f>2026+16</f>
        <v>2042</v>
      </c>
      <c r="D23" s="20">
        <f t="shared" si="2"/>
        <v>132895.58143694937</v>
      </c>
      <c r="E23" s="55">
        <f>IFERROR(D23*Investitionsrechnung!C32,0)</f>
        <v>5116.4798853225511</v>
      </c>
      <c r="F23" s="56">
        <f t="shared" si="0"/>
        <v>11944.563800297474</v>
      </c>
      <c r="G23" s="20">
        <f>IFERROR(Investitionsrechnung!C36,0)</f>
        <v>17061.043685620025</v>
      </c>
      <c r="H23" s="57">
        <f t="shared" si="1"/>
        <v>120951.0176366519</v>
      </c>
    </row>
    <row r="24" spans="2:8" ht="15" customHeight="1" x14ac:dyDescent="0.25">
      <c r="B24" s="58">
        <v>18</v>
      </c>
      <c r="C24" s="59">
        <f>2026+17</f>
        <v>2043</v>
      </c>
      <c r="D24" s="22">
        <f t="shared" si="2"/>
        <v>120951.0176366519</v>
      </c>
      <c r="E24" s="60">
        <f>IFERROR(D24*Investitionsrechnung!C32,0)</f>
        <v>4656.6141790110978</v>
      </c>
      <c r="F24" s="61">
        <f t="shared" si="0"/>
        <v>12404.429506608927</v>
      </c>
      <c r="G24" s="22">
        <f>IFERROR(Investitionsrechnung!C36,0)</f>
        <v>17061.043685620025</v>
      </c>
      <c r="H24" s="62">
        <f t="shared" si="1"/>
        <v>108546.58813004298</v>
      </c>
    </row>
    <row r="25" spans="2:8" ht="15" customHeight="1" x14ac:dyDescent="0.25">
      <c r="B25" s="53">
        <v>19</v>
      </c>
      <c r="C25" s="54">
        <f>2026+18</f>
        <v>2044</v>
      </c>
      <c r="D25" s="20">
        <f t="shared" si="2"/>
        <v>108546.58813004298</v>
      </c>
      <c r="E25" s="55">
        <f>IFERROR(D25*Investitionsrechnung!C32,0)</f>
        <v>4179.0436430066547</v>
      </c>
      <c r="F25" s="56">
        <f t="shared" si="0"/>
        <v>12882.00004261337</v>
      </c>
      <c r="G25" s="20">
        <f>IFERROR(Investitionsrechnung!C36,0)</f>
        <v>17061.043685620025</v>
      </c>
      <c r="H25" s="57">
        <f t="shared" si="1"/>
        <v>95664.588087429613</v>
      </c>
    </row>
    <row r="26" spans="2:8" ht="15" customHeight="1" x14ac:dyDescent="0.25">
      <c r="B26" s="58">
        <v>20</v>
      </c>
      <c r="C26" s="59">
        <f>2026+19</f>
        <v>2045</v>
      </c>
      <c r="D26" s="22">
        <f t="shared" si="2"/>
        <v>95664.588087429613</v>
      </c>
      <c r="E26" s="60">
        <f>IFERROR(D26*Investitionsrechnung!C32,0)</f>
        <v>3683.0866413660401</v>
      </c>
      <c r="F26" s="61">
        <f t="shared" si="0"/>
        <v>13377.957044253984</v>
      </c>
      <c r="G26" s="22">
        <f>IFERROR(Investitionsrechnung!C36,0)</f>
        <v>17061.043685620025</v>
      </c>
      <c r="H26" s="62">
        <f t="shared" si="1"/>
        <v>82286.631043175628</v>
      </c>
    </row>
    <row r="27" spans="2:8" ht="15" customHeight="1" x14ac:dyDescent="0.25">
      <c r="B27" s="53">
        <v>21</v>
      </c>
      <c r="C27" s="54">
        <f>2026+20</f>
        <v>2046</v>
      </c>
      <c r="D27" s="20">
        <f t="shared" si="2"/>
        <v>82286.631043175628</v>
      </c>
      <c r="E27" s="55">
        <f>IFERROR(D27*Investitionsrechnung!C32,0)</f>
        <v>3168.0352951622617</v>
      </c>
      <c r="F27" s="56">
        <f t="shared" si="0"/>
        <v>13893.008390457762</v>
      </c>
      <c r="G27" s="20">
        <f>IFERROR(Investitionsrechnung!C36,0)</f>
        <v>17061.043685620025</v>
      </c>
      <c r="H27" s="57">
        <f t="shared" si="1"/>
        <v>68393.622652717866</v>
      </c>
    </row>
    <row r="28" spans="2:8" ht="15" customHeight="1" x14ac:dyDescent="0.25">
      <c r="B28" s="58">
        <v>22</v>
      </c>
      <c r="C28" s="59">
        <f>2026+21</f>
        <v>2047</v>
      </c>
      <c r="D28" s="22">
        <f t="shared" si="2"/>
        <v>68393.622652717866</v>
      </c>
      <c r="E28" s="60">
        <f>IFERROR(D28*Investitionsrechnung!C32,0)</f>
        <v>2633.1544721296377</v>
      </c>
      <c r="F28" s="61">
        <f t="shared" si="0"/>
        <v>14427.889213490387</v>
      </c>
      <c r="G28" s="22">
        <f>IFERROR(Investitionsrechnung!C36,0)</f>
        <v>17061.043685620025</v>
      </c>
      <c r="H28" s="62">
        <f t="shared" si="1"/>
        <v>53965.733439227479</v>
      </c>
    </row>
    <row r="29" spans="2:8" ht="15" customHeight="1" x14ac:dyDescent="0.25">
      <c r="B29" s="53">
        <v>23</v>
      </c>
      <c r="C29" s="54">
        <f>2026+22</f>
        <v>2048</v>
      </c>
      <c r="D29" s="20">
        <f t="shared" si="2"/>
        <v>53965.733439227479</v>
      </c>
      <c r="E29" s="55">
        <f>IFERROR(D29*Investitionsrechnung!C32,0)</f>
        <v>2077.6807374102577</v>
      </c>
      <c r="F29" s="56">
        <f t="shared" si="0"/>
        <v>14983.362948209768</v>
      </c>
      <c r="G29" s="20">
        <f>IFERROR(Investitionsrechnung!C36,0)</f>
        <v>17061.043685620025</v>
      </c>
      <c r="H29" s="57">
        <f t="shared" si="1"/>
        <v>38982.370491017711</v>
      </c>
    </row>
    <row r="30" spans="2:8" ht="15" customHeight="1" x14ac:dyDescent="0.25">
      <c r="B30" s="58">
        <v>24</v>
      </c>
      <c r="C30" s="59">
        <f>2026+23</f>
        <v>2049</v>
      </c>
      <c r="D30" s="22">
        <f t="shared" si="2"/>
        <v>38982.370491017711</v>
      </c>
      <c r="E30" s="60">
        <f>IFERROR(D30*Investitionsrechnung!C32,0)</f>
        <v>1500.8212639041819</v>
      </c>
      <c r="F30" s="61">
        <f t="shared" si="0"/>
        <v>15560.222421715844</v>
      </c>
      <c r="G30" s="22">
        <f>IFERROR(Investitionsrechnung!C36,0)</f>
        <v>17061.043685620025</v>
      </c>
      <c r="H30" s="62">
        <f t="shared" si="1"/>
        <v>23422.148069301868</v>
      </c>
    </row>
    <row r="31" spans="2:8" ht="15" customHeight="1" x14ac:dyDescent="0.25">
      <c r="B31" s="53">
        <v>25</v>
      </c>
      <c r="C31" s="54">
        <f>2026+24</f>
        <v>2050</v>
      </c>
      <c r="D31" s="20">
        <f t="shared" si="2"/>
        <v>23422.148069301868</v>
      </c>
      <c r="E31" s="55">
        <f>IFERROR(D31*Investitionsrechnung!C32,0)</f>
        <v>901.75270066812186</v>
      </c>
      <c r="F31" s="56">
        <f t="shared" si="0"/>
        <v>16159.290984951904</v>
      </c>
      <c r="G31" s="20">
        <f>IFERROR(Investitionsrechnung!C36,0)</f>
        <v>17061.043685620025</v>
      </c>
      <c r="H31" s="57">
        <f t="shared" si="1"/>
        <v>7262.8570843499638</v>
      </c>
    </row>
    <row r="32" spans="2:8" ht="15" customHeight="1" x14ac:dyDescent="0.25">
      <c r="B32" s="63" t="s">
        <v>144</v>
      </c>
      <c r="C32" s="64"/>
      <c r="D32" s="64"/>
      <c r="E32" s="65">
        <f>SUM(E7:E31)</f>
        <v>160158.9492248506</v>
      </c>
      <c r="F32" s="65">
        <f>SUM(F7:F31)</f>
        <v>266367.14291565004</v>
      </c>
      <c r="G32" s="65">
        <f>SUM(G7:G31)</f>
        <v>426526.09214050038</v>
      </c>
      <c r="H32" s="64"/>
    </row>
  </sheetData>
  <mergeCells count="2">
    <mergeCell ref="B1:H3"/>
    <mergeCell ref="B4:H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E6B3C"/>
  </sheetPr>
  <dimension ref="B1:N19"/>
  <sheetViews>
    <sheetView showGridLines="0" zoomScale="90" zoomScaleNormal="9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baseColWidth="10" defaultColWidth="8.7109375" defaultRowHeight="15" x14ac:dyDescent="0.25"/>
  <cols>
    <col min="1" max="1" width="3" customWidth="1"/>
    <col min="2" max="2" width="30" customWidth="1"/>
    <col min="3" max="14" width="13" customWidth="1"/>
    <col min="15" max="15" width="3" customWidth="1"/>
  </cols>
  <sheetData>
    <row r="1" spans="2:14" ht="15" customHeight="1" x14ac:dyDescent="0.25">
      <c r="B1" s="91" t="s">
        <v>145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2:14" ht="15" customHeight="1" x14ac:dyDescent="0.25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2:14" ht="15" customHeight="1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2:14" ht="15" customHeight="1" x14ac:dyDescent="0.25">
      <c r="B4" s="92" t="s">
        <v>146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6" spans="2:14" ht="15" customHeight="1" x14ac:dyDescent="0.25">
      <c r="B6" s="66" t="s">
        <v>147</v>
      </c>
    </row>
    <row r="7" spans="2:14" ht="15" customHeight="1" x14ac:dyDescent="0.25">
      <c r="B7" s="23" t="s">
        <v>148</v>
      </c>
      <c r="C7" s="27">
        <v>0.02</v>
      </c>
    </row>
    <row r="8" spans="2:14" ht="15" customHeight="1" x14ac:dyDescent="0.25">
      <c r="B8" s="23" t="s">
        <v>149</v>
      </c>
      <c r="C8" s="27">
        <v>1.4999999999999999E-2</v>
      </c>
    </row>
    <row r="9" spans="2:14" ht="15" customHeight="1" x14ac:dyDescent="0.25">
      <c r="B9" s="23" t="s">
        <v>150</v>
      </c>
      <c r="C9" s="27">
        <v>2.5000000000000001E-2</v>
      </c>
    </row>
    <row r="11" spans="2:14" ht="15" customHeight="1" x14ac:dyDescent="0.25">
      <c r="B11" s="30" t="s">
        <v>18</v>
      </c>
      <c r="C11" s="67">
        <f>2026+0</f>
        <v>2026</v>
      </c>
      <c r="D11" s="67">
        <f>2026+1</f>
        <v>2027</v>
      </c>
      <c r="E11" s="67">
        <f>2026+2</f>
        <v>2028</v>
      </c>
      <c r="F11" s="67">
        <f>2026+3</f>
        <v>2029</v>
      </c>
      <c r="G11" s="67">
        <f>2026+4</f>
        <v>2030</v>
      </c>
      <c r="H11" s="67">
        <f>2026+5</f>
        <v>2031</v>
      </c>
      <c r="I11" s="67">
        <f>2026+6</f>
        <v>2032</v>
      </c>
      <c r="J11" s="67">
        <f>2026+7</f>
        <v>2033</v>
      </c>
      <c r="K11" s="67">
        <f>2026+8</f>
        <v>2034</v>
      </c>
      <c r="L11" s="67">
        <f>2026+9</f>
        <v>2035</v>
      </c>
      <c r="M11" s="68" t="s">
        <v>151</v>
      </c>
    </row>
    <row r="12" spans="2:14" ht="15" customHeight="1" x14ac:dyDescent="0.25">
      <c r="B12" s="32" t="s">
        <v>152</v>
      </c>
      <c r="C12" s="69">
        <f>Investitionsrechnung!C41*12*((1+$C$7)^(C11-2026))</f>
        <v>17400</v>
      </c>
      <c r="D12" s="69">
        <f>Investitionsrechnung!C41*12*((1+$C$7)^(D11-2026))</f>
        <v>17748</v>
      </c>
      <c r="E12" s="69">
        <f>Investitionsrechnung!C41*12*((1+$C$7)^(E11-2026))</f>
        <v>18102.96</v>
      </c>
      <c r="F12" s="69">
        <f>Investitionsrechnung!C41*12*((1+$C$7)^(F11-2026))</f>
        <v>18465.019199999999</v>
      </c>
      <c r="G12" s="69">
        <f>Investitionsrechnung!C41*12*((1+$C$7)^(G11-2026))</f>
        <v>18834.319584000001</v>
      </c>
      <c r="H12" s="69">
        <f>Investitionsrechnung!C41*12*((1+$C$7)^(H11-2026))</f>
        <v>19211.00597568</v>
      </c>
      <c r="I12" s="69">
        <f>Investitionsrechnung!C41*12*((1+$C$7)^(I11-2026))</f>
        <v>19595.2260951936</v>
      </c>
      <c r="J12" s="69">
        <f>Investitionsrechnung!C41*12*((1+$C$7)^(J11-2026))</f>
        <v>19987.130617097468</v>
      </c>
      <c r="K12" s="69">
        <f>Investitionsrechnung!C41*12*((1+$C$7)^(K11-2026))</f>
        <v>20386.873229439421</v>
      </c>
      <c r="L12" s="69">
        <f>Investitionsrechnung!C41*12*((1+$C$7)^(L11-2026))</f>
        <v>20794.610694028208</v>
      </c>
      <c r="M12" s="70">
        <f t="shared" ref="M12:M17" si="0">SUM(C12:L12)</f>
        <v>190525.14539543871</v>
      </c>
    </row>
    <row r="13" spans="2:14" ht="15" customHeight="1" x14ac:dyDescent="0.25">
      <c r="B13" s="33" t="s">
        <v>153</v>
      </c>
      <c r="C13" s="71">
        <f>Investitionsrechnung!E52*((1+$C$8)^(C11-2026))</f>
        <v>4740</v>
      </c>
      <c r="D13" s="71">
        <f>Investitionsrechnung!E52*((1+$C$8)^(D11-2026))</f>
        <v>4811.0999999999995</v>
      </c>
      <c r="E13" s="71">
        <f>Investitionsrechnung!E52*((1+$C$8)^(E11-2026))</f>
        <v>4883.2664999999988</v>
      </c>
      <c r="F13" s="71">
        <f>Investitionsrechnung!E52*((1+$C$8)^(F11-2026))</f>
        <v>4956.5154974999978</v>
      </c>
      <c r="G13" s="71">
        <f>Investitionsrechnung!E52*((1+$C$8)^(G11-2026))</f>
        <v>5030.8632299624969</v>
      </c>
      <c r="H13" s="71">
        <f>Investitionsrechnung!E52*((1+$C$8)^(H11-2026))</f>
        <v>5106.3261784119341</v>
      </c>
      <c r="I13" s="71">
        <f>Investitionsrechnung!E52*((1+$C$8)^(I11-2026))</f>
        <v>5182.9210710881125</v>
      </c>
      <c r="J13" s="71">
        <f>Investitionsrechnung!E52*((1+$C$8)^(J11-2026))</f>
        <v>5260.664887154433</v>
      </c>
      <c r="K13" s="71">
        <f>Investitionsrechnung!E52*((1+$C$8)^(K11-2026))</f>
        <v>5339.5748604617493</v>
      </c>
      <c r="L13" s="71">
        <f>Investitionsrechnung!E52*((1+$C$8)^(L11-2026))</f>
        <v>5419.668483368675</v>
      </c>
      <c r="M13" s="72">
        <f t="shared" si="0"/>
        <v>50730.900707947389</v>
      </c>
    </row>
    <row r="14" spans="2:14" ht="15" customHeight="1" x14ac:dyDescent="0.25">
      <c r="B14" s="33" t="s">
        <v>140</v>
      </c>
      <c r="C14" s="71">
        <f>Tilgungsplan!E7</f>
        <v>10534.754999999999</v>
      </c>
      <c r="D14" s="71">
        <f>Tilgungsplan!E8</f>
        <v>10283.492885603629</v>
      </c>
      <c r="E14" s="71">
        <f>Tilgungsplan!E9</f>
        <v>10022.557179803</v>
      </c>
      <c r="F14" s="71">
        <f>Tilgungsplan!E10</f>
        <v>9751.5754493290424</v>
      </c>
      <c r="G14" s="71">
        <f>Tilgungsplan!E11</f>
        <v>9470.1609222318402</v>
      </c>
      <c r="H14" s="71">
        <f>Tilgungsplan!E12</f>
        <v>9177.9119358413936</v>
      </c>
      <c r="I14" s="71">
        <f>Tilgungsplan!E13</f>
        <v>8874.4113634749174</v>
      </c>
      <c r="J14" s="71">
        <f>Tilgungsplan!E14</f>
        <v>8559.22601907233</v>
      </c>
      <c r="K14" s="71">
        <f>Tilgungsplan!E15</f>
        <v>8231.9060389102451</v>
      </c>
      <c r="L14" s="71">
        <f>Tilgungsplan!E16</f>
        <v>7891.9842395119176</v>
      </c>
      <c r="M14" s="72">
        <f t="shared" si="0"/>
        <v>92797.981033778313</v>
      </c>
    </row>
    <row r="15" spans="2:14" ht="15" customHeight="1" x14ac:dyDescent="0.25">
      <c r="B15" s="23" t="s">
        <v>141</v>
      </c>
      <c r="C15" s="73">
        <f>Tilgungsplan!F7</f>
        <v>6526.2886856200257</v>
      </c>
      <c r="D15" s="73">
        <f>Tilgungsplan!F8</f>
        <v>6777.5508000163954</v>
      </c>
      <c r="E15" s="73">
        <f>Tilgungsplan!F9</f>
        <v>7038.4865058170253</v>
      </c>
      <c r="F15" s="73">
        <f>Tilgungsplan!F10</f>
        <v>7309.4682362909825</v>
      </c>
      <c r="G15" s="73">
        <f>Tilgungsplan!F11</f>
        <v>7590.8827633881847</v>
      </c>
      <c r="H15" s="73">
        <f>Tilgungsplan!F12</f>
        <v>7883.1317497786313</v>
      </c>
      <c r="I15" s="73">
        <f>Tilgungsplan!F13</f>
        <v>8186.6323221451075</v>
      </c>
      <c r="J15" s="73">
        <f>Tilgungsplan!F14</f>
        <v>8501.8176665476949</v>
      </c>
      <c r="K15" s="73">
        <f>Tilgungsplan!F15</f>
        <v>8829.1376467097798</v>
      </c>
      <c r="L15" s="73">
        <f>Tilgungsplan!F16</f>
        <v>9169.0594461081073</v>
      </c>
      <c r="M15" s="74">
        <f t="shared" si="0"/>
        <v>77812.455822421922</v>
      </c>
    </row>
    <row r="16" spans="2:14" ht="15" customHeight="1" x14ac:dyDescent="0.25">
      <c r="B16" s="31" t="s">
        <v>154</v>
      </c>
      <c r="C16" s="75">
        <f t="shared" ref="C16:L16" si="1">C12-C13</f>
        <v>12660</v>
      </c>
      <c r="D16" s="75">
        <f t="shared" si="1"/>
        <v>12936.900000000001</v>
      </c>
      <c r="E16" s="75">
        <f t="shared" si="1"/>
        <v>13219.693500000001</v>
      </c>
      <c r="F16" s="75">
        <f t="shared" si="1"/>
        <v>13508.503702500002</v>
      </c>
      <c r="G16" s="75">
        <f t="shared" si="1"/>
        <v>13803.456354037504</v>
      </c>
      <c r="H16" s="75">
        <f t="shared" si="1"/>
        <v>14104.679797268065</v>
      </c>
      <c r="I16" s="75">
        <f t="shared" si="1"/>
        <v>14412.305024105488</v>
      </c>
      <c r="J16" s="75">
        <f t="shared" si="1"/>
        <v>14726.465729943035</v>
      </c>
      <c r="K16" s="75">
        <f t="shared" si="1"/>
        <v>15047.298368977672</v>
      </c>
      <c r="L16" s="75">
        <f t="shared" si="1"/>
        <v>15374.942210659534</v>
      </c>
      <c r="M16" s="75">
        <f t="shared" si="0"/>
        <v>139794.24468749133</v>
      </c>
    </row>
    <row r="17" spans="2:13" ht="15" customHeight="1" x14ac:dyDescent="0.25">
      <c r="B17" s="31" t="s">
        <v>155</v>
      </c>
      <c r="C17" s="75">
        <f t="shared" ref="C17:L17" si="2">C16-C14-C15</f>
        <v>-4401.0436856200249</v>
      </c>
      <c r="D17" s="75">
        <f t="shared" si="2"/>
        <v>-4124.1436856200235</v>
      </c>
      <c r="E17" s="75">
        <f t="shared" si="2"/>
        <v>-3841.3501856200237</v>
      </c>
      <c r="F17" s="75">
        <f t="shared" si="2"/>
        <v>-3552.539983120023</v>
      </c>
      <c r="G17" s="75">
        <f t="shared" si="2"/>
        <v>-3257.5873315825211</v>
      </c>
      <c r="H17" s="75">
        <f t="shared" si="2"/>
        <v>-2956.3638883519598</v>
      </c>
      <c r="I17" s="75">
        <f t="shared" si="2"/>
        <v>-2648.7386615145369</v>
      </c>
      <c r="J17" s="75">
        <f t="shared" si="2"/>
        <v>-2334.5779556769903</v>
      </c>
      <c r="K17" s="75">
        <f t="shared" si="2"/>
        <v>-2013.7453166423529</v>
      </c>
      <c r="L17" s="75">
        <f t="shared" si="2"/>
        <v>-1686.101474960491</v>
      </c>
      <c r="M17" s="75">
        <f t="shared" si="0"/>
        <v>-30816.192168708945</v>
      </c>
    </row>
    <row r="18" spans="2:13" ht="15" customHeight="1" x14ac:dyDescent="0.25">
      <c r="B18" s="23" t="s">
        <v>156</v>
      </c>
      <c r="C18" s="73">
        <f>Investitionsrechnung!C19*((1+$C$9)^(C11-2026))</f>
        <v>320000</v>
      </c>
      <c r="D18" s="73">
        <f>Investitionsrechnung!C19*((1+$C$9)^(D11-2026))</f>
        <v>328000</v>
      </c>
      <c r="E18" s="73">
        <f>Investitionsrechnung!C19*((1+$C$9)^(E11-2026))</f>
        <v>336200</v>
      </c>
      <c r="F18" s="73">
        <f>Investitionsrechnung!C19*((1+$C$9)^(F11-2026))</f>
        <v>344604.99999999994</v>
      </c>
      <c r="G18" s="73">
        <f>Investitionsrechnung!C19*((1+$C$9)^(G11-2026))</f>
        <v>353220.12499999994</v>
      </c>
      <c r="H18" s="73">
        <f>Investitionsrechnung!C19*((1+$C$9)^(H11-2026))</f>
        <v>362050.62812499987</v>
      </c>
      <c r="I18" s="73">
        <f>Investitionsrechnung!C19*((1+$C$9)^(I11-2026))</f>
        <v>371101.89382812486</v>
      </c>
      <c r="J18" s="73">
        <f>Investitionsrechnung!C19*((1+$C$9)^(J11-2026))</f>
        <v>380379.44117382797</v>
      </c>
      <c r="K18" s="73">
        <f>Investitionsrechnung!C19*((1+$C$9)^(K11-2026))</f>
        <v>389888.92720317369</v>
      </c>
      <c r="L18" s="73">
        <f>Investitionsrechnung!C19*((1+$C$9)^(L11-2026))</f>
        <v>399636.15038325294</v>
      </c>
      <c r="M18" s="74">
        <f>L18</f>
        <v>399636.15038325294</v>
      </c>
    </row>
    <row r="19" spans="2:13" ht="15" customHeight="1" x14ac:dyDescent="0.25">
      <c r="B19" s="23" t="s">
        <v>157</v>
      </c>
      <c r="C19" s="73">
        <f>C18-Tilgungsplan!H7</f>
        <v>52896.288685620006</v>
      </c>
      <c r="D19" s="73">
        <f>D18-Tilgungsplan!H8</f>
        <v>67673.839485636388</v>
      </c>
      <c r="E19" s="73">
        <f>E18-Tilgungsplan!H9</f>
        <v>82912.325991453428</v>
      </c>
      <c r="F19" s="73">
        <f>F18-Tilgungsplan!H10</f>
        <v>98626.794227744365</v>
      </c>
      <c r="G19" s="73">
        <f>G18-Tilgungsplan!H11</f>
        <v>114832.80199113255</v>
      </c>
      <c r="H19" s="73">
        <f>H18-Tilgungsplan!H12</f>
        <v>131546.43686591112</v>
      </c>
      <c r="I19" s="73">
        <f>I18-Tilgungsplan!H13</f>
        <v>148784.33489118121</v>
      </c>
      <c r="J19" s="73">
        <f>J18-Tilgungsplan!H14</f>
        <v>166563.69990343202</v>
      </c>
      <c r="K19" s="73">
        <f>K18-Tilgungsplan!H15</f>
        <v>184902.32357948751</v>
      </c>
      <c r="L19" s="73">
        <f>L18-Tilgungsplan!H16</f>
        <v>203818.60620567488</v>
      </c>
      <c r="M19" s="74">
        <f>L19</f>
        <v>203818.60620567488</v>
      </c>
    </row>
  </sheetData>
  <mergeCells count="2">
    <mergeCell ref="B1:N3"/>
    <mergeCell ref="B4:N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Investitionsrechnung</vt:lpstr>
      <vt:lpstr>Tilgungsplan</vt:lpstr>
      <vt:lpstr>10J-Cashflow-Entwicklung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2026-06-10T05:09:20Z</dcterms:created>
  <dcterms:modified xsi:type="dcterms:W3CDTF">2026-06-10T06:54:21Z</dcterms:modified>
  <dc:language>en-US</dc:language>
</cp:coreProperties>
</file>