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Generador vertical\"/>
    </mc:Choice>
  </mc:AlternateContent>
  <xr:revisionPtr revIDLastSave="0" documentId="13_ncr:1_{C73F2AD1-D7A8-4A61-B156-7D07507A286B}" xr6:coauthVersionLast="47" xr6:coauthVersionMax="47" xr10:uidLastSave="{00000000-0000-0000-0000-000000000000}"/>
  <bookViews>
    <workbookView xWindow="1035" yWindow="1035" windowWidth="25500" windowHeight="13500" tabRatio="500" xr2:uid="{00000000-000D-0000-FFFF-FFFF00000000}"/>
  </bookViews>
  <sheets>
    <sheet name="Investitionsrechnung" sheetId="1" r:id="rId1"/>
    <sheet name="Prognose &amp; Tilgung" sheetId="2" r:id="rId2"/>
  </sheets>
  <definedNames>
    <definedName name="_xlnm.Print_Area" localSheetId="0">Investitionsrechnung!$A$1:$H$68</definedName>
    <definedName name="_xlnm.Print_Area" localSheetId="1">'Prognose &amp; Tilgung'!$A$1:$N$29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4" i="1" l="1"/>
  <c r="D43" i="1"/>
  <c r="D46" i="1" s="1"/>
  <c r="D47" i="1" s="1"/>
  <c r="G28" i="1"/>
  <c r="C28" i="1"/>
  <c r="D27" i="1"/>
  <c r="D29" i="1" s="1"/>
  <c r="D63" i="1" s="1"/>
  <c r="D20" i="1"/>
  <c r="D19" i="1"/>
  <c r="D18" i="1"/>
  <c r="D23" i="1" s="1"/>
  <c r="D34" i="1" l="1"/>
  <c r="D33" i="1"/>
  <c r="G27" i="1"/>
  <c r="D24" i="1"/>
  <c r="J17" i="2"/>
  <c r="J12" i="2"/>
  <c r="J7" i="2"/>
  <c r="J20" i="2"/>
  <c r="J15" i="2"/>
  <c r="J18" i="2"/>
  <c r="J14" i="2"/>
  <c r="J10" i="2"/>
  <c r="J13" i="2"/>
  <c r="J16" i="2"/>
  <c r="J11" i="2"/>
  <c r="J6" i="2"/>
  <c r="J8" i="2"/>
  <c r="J19" i="2"/>
  <c r="J9" i="2"/>
  <c r="C16" i="2"/>
  <c r="C11" i="2"/>
  <c r="C6" i="2"/>
  <c r="G10" i="1"/>
  <c r="C13" i="2"/>
  <c r="G8" i="1"/>
  <c r="C19" i="2"/>
  <c r="C14" i="2"/>
  <c r="C9" i="2"/>
  <c r="C17" i="2"/>
  <c r="C12" i="2"/>
  <c r="C7" i="2"/>
  <c r="C20" i="2"/>
  <c r="C15" i="2"/>
  <c r="G11" i="1"/>
  <c r="G9" i="1"/>
  <c r="C18" i="2"/>
  <c r="C8" i="2"/>
  <c r="C10" i="2"/>
  <c r="D58" i="1"/>
  <c r="D28" i="1"/>
  <c r="G19" i="1" l="1"/>
  <c r="G13" i="1"/>
  <c r="E10" i="2"/>
  <c r="J21" i="2"/>
  <c r="E12" i="2"/>
  <c r="D19" i="2"/>
  <c r="E19" i="2" s="1"/>
  <c r="D14" i="2"/>
  <c r="E14" i="2" s="1"/>
  <c r="D9" i="2"/>
  <c r="D15" i="2"/>
  <c r="E15" i="2" s="1"/>
  <c r="D17" i="2"/>
  <c r="E17" i="2" s="1"/>
  <c r="D7" i="2"/>
  <c r="E7" i="2" s="1"/>
  <c r="D12" i="2"/>
  <c r="D20" i="2"/>
  <c r="E20" i="2" s="1"/>
  <c r="D10" i="2"/>
  <c r="D13" i="2"/>
  <c r="E13" i="2" s="1"/>
  <c r="D18" i="2"/>
  <c r="E18" i="2" s="1"/>
  <c r="D8" i="2"/>
  <c r="D16" i="2"/>
  <c r="D11" i="2"/>
  <c r="E11" i="2" s="1"/>
  <c r="D6" i="2"/>
  <c r="E8" i="2"/>
  <c r="C21" i="2"/>
  <c r="D25" i="2" s="1"/>
  <c r="E6" i="2"/>
  <c r="G29" i="1"/>
  <c r="F6" i="2"/>
  <c r="D37" i="1"/>
  <c r="G14" i="1"/>
  <c r="G30" i="1"/>
  <c r="E16" i="2"/>
  <c r="E9" i="2"/>
  <c r="D21" i="2" l="1"/>
  <c r="G6" i="2"/>
  <c r="I6" i="2" s="1"/>
  <c r="D38" i="1"/>
  <c r="G15" i="1"/>
  <c r="G17" i="1"/>
  <c r="G16" i="1"/>
  <c r="G23" i="1" s="1"/>
  <c r="G20" i="1"/>
  <c r="E21" i="2"/>
  <c r="K6" i="2"/>
  <c r="G21" i="1"/>
  <c r="L6" i="2" l="1"/>
  <c r="H6" i="2"/>
  <c r="F7" i="2" l="1"/>
  <c r="G7" i="2" s="1"/>
  <c r="M6" i="2"/>
  <c r="H7" i="2" l="1"/>
  <c r="N6" i="2"/>
  <c r="K7" i="2"/>
  <c r="I7" i="2"/>
  <c r="L7" i="2" l="1"/>
  <c r="F8" i="2"/>
  <c r="K8" i="2" l="1"/>
  <c r="G8" i="2"/>
  <c r="M7" i="2"/>
  <c r="H8" i="2" l="1"/>
  <c r="N7" i="2"/>
  <c r="L8" i="2"/>
  <c r="I8" i="2"/>
  <c r="M8" i="2" l="1"/>
  <c r="N8" i="2"/>
  <c r="F9" i="2"/>
  <c r="K9" i="2" l="1"/>
  <c r="G9" i="2"/>
  <c r="H9" i="2" l="1"/>
  <c r="I9" i="2"/>
  <c r="L9" i="2"/>
  <c r="F10" i="2" l="1"/>
  <c r="M9" i="2"/>
  <c r="N9" i="2" l="1"/>
  <c r="K10" i="2"/>
  <c r="G10" i="2"/>
  <c r="H10" i="2" l="1"/>
  <c r="L10" i="2"/>
  <c r="I10" i="2"/>
  <c r="M10" i="2" l="1"/>
  <c r="N10" i="2" s="1"/>
  <c r="F11" i="2"/>
  <c r="G11" i="2" s="1"/>
  <c r="H11" i="2" s="1"/>
  <c r="F12" i="2" l="1"/>
  <c r="G12" i="2"/>
  <c r="H12" i="2" s="1"/>
  <c r="K11" i="2"/>
  <c r="L11" i="2" s="1"/>
  <c r="I11" i="2"/>
  <c r="M11" i="2" s="1"/>
  <c r="N11" i="2" s="1"/>
  <c r="F13" i="2" l="1"/>
  <c r="G13" i="2" s="1"/>
  <c r="H13" i="2" s="1"/>
  <c r="K12" i="2"/>
  <c r="L12" i="2" s="1"/>
  <c r="I12" i="2"/>
  <c r="M12" i="2" s="1"/>
  <c r="N12" i="2" s="1"/>
  <c r="F14" i="2" l="1"/>
  <c r="K13" i="2"/>
  <c r="L13" i="2" s="1"/>
  <c r="I13" i="2"/>
  <c r="M13" i="2" s="1"/>
  <c r="N13" i="2" s="1"/>
  <c r="K14" i="2" l="1"/>
  <c r="L14" i="2" s="1"/>
  <c r="G14" i="2"/>
  <c r="H14" i="2" s="1"/>
  <c r="F15" i="2" l="1"/>
  <c r="I14" i="2"/>
  <c r="M14" i="2" s="1"/>
  <c r="N14" i="2" s="1"/>
  <c r="K15" i="2" l="1"/>
  <c r="L15" i="2" s="1"/>
  <c r="G15" i="2"/>
  <c r="H15" i="2" s="1"/>
  <c r="F16" i="2" l="1"/>
  <c r="I15" i="2"/>
  <c r="M15" i="2" s="1"/>
  <c r="N15" i="2" s="1"/>
  <c r="K16" i="2" l="1"/>
  <c r="L16" i="2" s="1"/>
  <c r="G16" i="2"/>
  <c r="H16" i="2" s="1"/>
  <c r="F17" i="2" l="1"/>
  <c r="G17" i="2" s="1"/>
  <c r="H17" i="2" s="1"/>
  <c r="I16" i="2"/>
  <c r="M16" i="2" s="1"/>
  <c r="N16" i="2" s="1"/>
  <c r="F18" i="2" l="1"/>
  <c r="K17" i="2"/>
  <c r="L17" i="2" s="1"/>
  <c r="I17" i="2"/>
  <c r="M17" i="2" s="1"/>
  <c r="N17" i="2" s="1"/>
  <c r="K18" i="2" l="1"/>
  <c r="L18" i="2" s="1"/>
  <c r="G18" i="2"/>
  <c r="H18" i="2" s="1"/>
  <c r="F19" i="2" l="1"/>
  <c r="I18" i="2"/>
  <c r="M18" i="2" s="1"/>
  <c r="N18" i="2" s="1"/>
  <c r="K19" i="2" l="1"/>
  <c r="L19" i="2" s="1"/>
  <c r="G19" i="2"/>
  <c r="H19" i="2" s="1"/>
  <c r="F20" i="2" l="1"/>
  <c r="I19" i="2"/>
  <c r="M19" i="2" s="1"/>
  <c r="N19" i="2" s="1"/>
  <c r="K20" i="2" l="1"/>
  <c r="F21" i="2"/>
  <c r="D26" i="2" s="1"/>
  <c r="G20" i="2"/>
  <c r="G21" i="2" l="1"/>
  <c r="H25" i="2" s="1"/>
  <c r="H20" i="2"/>
  <c r="I20" i="2"/>
  <c r="L20" i="2"/>
  <c r="L21" i="2" s="1"/>
  <c r="K21" i="2"/>
  <c r="M20" i="2" l="1"/>
  <c r="I21" i="2"/>
  <c r="M25" i="2"/>
  <c r="H21" i="2"/>
  <c r="M21" i="2" l="1"/>
  <c r="D27" i="2" s="1"/>
  <c r="N20" i="2"/>
  <c r="M27" i="2" l="1"/>
  <c r="M26" i="2"/>
  <c r="H27" i="2"/>
  <c r="H26" i="2"/>
  <c r="N2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C18" authorId="0" shapeId="0" xr:uid="{00000000-0006-0000-0000-000001000000}">
      <text>
        <r>
          <rPr>
            <sz val="10"/>
            <rFont val="Arial"/>
            <family val="2"/>
          </rPr>
          <t>Beispielwerte je Bundesland: Bayern 3,5% · Berlin 6,0% · Sachsen 5,5% · NRW 6,5%</t>
        </r>
      </text>
    </comment>
    <comment ref="C19" authorId="0" shapeId="0" xr:uid="{00000000-0006-0000-0000-000002000000}">
      <text>
        <r>
          <rPr>
            <sz val="10"/>
            <rFont val="Arial"/>
            <family val="2"/>
          </rPr>
          <t>Üblicherweise ca. 1,5% des Kaufpreises</t>
        </r>
      </text>
    </comment>
    <comment ref="C20" authorId="0" shapeId="0" xr:uid="{00000000-0006-0000-0000-000003000000}">
      <text>
        <r>
          <rPr>
            <sz val="10"/>
            <rFont val="Arial"/>
            <family val="2"/>
          </rPr>
          <t>3,57% Käuferanteil bei hälftiger Teilung</t>
        </r>
      </text>
    </comment>
    <comment ref="D22" authorId="0" shapeId="0" xr:uid="{00000000-0006-0000-0000-000005000000}">
      <text>
        <r>
          <rPr>
            <sz val="10"/>
            <rFont val="Arial"/>
            <family val="2"/>
          </rPr>
          <t>z.B. Gutachten, Energieausweis, Finanzierungsvermittlung</t>
        </r>
      </text>
    </comment>
    <comment ref="C27" authorId="0" shapeId="0" xr:uid="{00000000-0006-0000-0000-000004000000}">
      <text>
        <r>
          <rPr>
            <sz val="10"/>
            <rFont val="Arial"/>
            <family val="2"/>
          </rPr>
          <t>Üblich 70–85%. Höherer Gebäudeanteil = höhere AfA</t>
        </r>
      </text>
    </comment>
    <comment ref="D35" authorId="0" shapeId="0" xr:uid="{00000000-0006-0000-0000-000006000000}">
      <text>
        <r>
          <rPr>
            <sz val="10"/>
            <rFont val="Arial"/>
            <family val="2"/>
          </rPr>
          <t>Marktüblicher Zins für 10-jährige Sollzinsbindung</t>
        </r>
      </text>
    </comment>
    <comment ref="D36" authorId="0" shapeId="0" xr:uid="{00000000-0006-0000-0000-000007000000}">
      <text>
        <r>
          <rPr>
            <sz val="10"/>
            <rFont val="Arial"/>
            <family val="2"/>
          </rPr>
          <t>Mindestens 2% empfohlen</t>
        </r>
      </text>
    </comment>
    <comment ref="D48" authorId="0" shapeId="0" xr:uid="{00000000-0006-0000-0000-000008000000}">
      <text>
        <r>
          <rPr>
            <sz val="10"/>
            <rFont val="Arial"/>
            <family val="2"/>
          </rPr>
          <t>Realistische Annahme: 1,0–2,0% p.a.</t>
        </r>
      </text>
    </comment>
    <comment ref="D49" authorId="0" shapeId="0" xr:uid="{00000000-0006-0000-0000-000009000000}">
      <text>
        <r>
          <rPr>
            <sz val="10"/>
            <rFont val="Arial"/>
            <family val="2"/>
          </rPr>
          <t>Risikoabschlag für strukturellen Leerstand</t>
        </r>
      </text>
    </comment>
    <comment ref="D55" authorId="0" shapeId="0" xr:uid="{00000000-0006-0000-0000-00000A000000}">
      <text>
        <r>
          <rPr>
            <sz val="10"/>
            <rFont val="Arial"/>
            <family val="2"/>
          </rPr>
          <t>z.B. SEV-Verwalter: ca. 25–35 € je Einheit/Monat</t>
        </r>
      </text>
    </comment>
    <comment ref="D61" authorId="0" shapeId="0" xr:uid="{00000000-0006-0000-0000-00000B000000}">
      <text>
        <r>
          <rPr>
            <sz val="10"/>
            <rFont val="Arial"/>
            <family val="2"/>
          </rPr>
          <t>Inkl. SolZ. Standardwert für Spitzenverdiener: 42% bzw. 47,475%</t>
        </r>
      </text>
    </comment>
    <comment ref="D62" authorId="0" shapeId="0" xr:uid="{00000000-0006-0000-0000-00000C000000}">
      <text>
        <r>
          <rPr>
            <sz val="10"/>
            <rFont val="Arial"/>
            <family val="2"/>
          </rPr>
          <t>Linear: 2% (Baujahr ab 1925) · 2,5% (vor 1925) · 3% (Neubau ab 2023, § 7 Abs. 4 EStG)</t>
        </r>
      </text>
    </comment>
    <comment ref="D64" authorId="0" shapeId="0" xr:uid="{00000000-0006-0000-0000-00000D000000}">
      <text>
        <r>
          <rPr>
            <sz val="10"/>
            <rFont val="Arial"/>
            <family val="2"/>
          </rPr>
          <t>Sofort abzugsfähige Reparaturen</t>
        </r>
      </text>
    </comment>
  </commentList>
</comments>
</file>

<file path=xl/sharedStrings.xml><?xml version="1.0" encoding="utf-8"?>
<sst xmlns="http://schemas.openxmlformats.org/spreadsheetml/2006/main" count="106" uniqueCount="105">
  <si>
    <t>Investitionsrechnung Immobilien — Wirtschaftlichkeitsanalyse</t>
  </si>
  <si>
    <t>Geschäftsjahr 2026  ·  Vollständige Renditeberechnung mit 15-Jahres-Prognose</t>
  </si>
  <si>
    <t xml:space="preserve">  Legende:   ■ Blaue Zellen = Eingaben (anpassbar)   ■ Schwarze Zellen = Berechnungen   ■ Gelbe Zellen = Kennzahlen / Ergebnisse</t>
  </si>
  <si>
    <t>1. Objektdaten</t>
  </si>
  <si>
    <t>Wirtschaftlichkeitskennzahlen</t>
  </si>
  <si>
    <t>Objektbezeichnung</t>
  </si>
  <si>
    <t>Eigentumswohnung Lindenallee</t>
  </si>
  <si>
    <t>Bruttomietrendite (auf Kaufpreis)</t>
  </si>
  <si>
    <t>Adresse</t>
  </si>
  <si>
    <t>Lindenallee 12, 04275 Leipzig</t>
  </si>
  <si>
    <t>Bruttomietrendite (auf Gesamtinvestition)</t>
  </si>
  <si>
    <t>Objekttyp</t>
  </si>
  <si>
    <t>Eigentumswohnung</t>
  </si>
  <si>
    <t>Nettomietrendite</t>
  </si>
  <si>
    <t>Baujahr</t>
  </si>
  <si>
    <t>Mietmultiplikator (Kaufpreisfaktor)</t>
  </si>
  <si>
    <t>Wohnfläche (m²)</t>
  </si>
  <si>
    <t>Anzahl Einheiten</t>
  </si>
  <si>
    <t>Net Operating Income (NOI)</t>
  </si>
  <si>
    <t>Erwerbsdatum</t>
  </si>
  <si>
    <t>01.04.2026</t>
  </si>
  <si>
    <t>Zinsen Jahr 1</t>
  </si>
  <si>
    <t>Tilgung Jahr 1</t>
  </si>
  <si>
    <t>2. Investitionskosten / Kaufnebenkosten</t>
  </si>
  <si>
    <t>Cashflow vor Steuern (Jahr 1)</t>
  </si>
  <si>
    <t>Kaufpreis Immobilie</t>
  </si>
  <si>
    <t>Cashflow nach Steuern (Jahr 1)</t>
  </si>
  <si>
    <t>Grunderwerbsteuersatz</t>
  </si>
  <si>
    <t>Notar- und Grundbuchkosten (%)</t>
  </si>
  <si>
    <t>Eigenkapitalrendite vor Steuern</t>
  </si>
  <si>
    <t>Maklercourtage inkl. USt (%)</t>
  </si>
  <si>
    <t>Gesamtrendite EK (inkl. Tilgung)</t>
  </si>
  <si>
    <t>Modernisierung / Renovierung</t>
  </si>
  <si>
    <t>Schuldendienstdeckungsgrad (DSCR)</t>
  </si>
  <si>
    <t>Sonstige Anschaffungsnebenkosten</t>
  </si>
  <si>
    <t>Gesamtinvestition</t>
  </si>
  <si>
    <t>Ampel-Bewertung Cashflow</t>
  </si>
  <si>
    <t>Kaufnebenkosten in %</t>
  </si>
  <si>
    <t>3. Aufteilung Gebäude / Grundstück (für AfA-Berechnung)</t>
  </si>
  <si>
    <t>Zusammenfassung Investition</t>
  </si>
  <si>
    <t>Gebäudeanteil</t>
  </si>
  <si>
    <t>Grundstücksanteil</t>
  </si>
  <si>
    <t>Eingesetztes Eigenkapital</t>
  </si>
  <si>
    <t>AfA-Bemessungsgrundlage</t>
  </si>
  <si>
    <t>Fremdfinanzierung</t>
  </si>
  <si>
    <t>Beleihungsauslauf (LTV)</t>
  </si>
  <si>
    <t>4. Finanzierung</t>
  </si>
  <si>
    <t>Eigenkapital</t>
  </si>
  <si>
    <t>Darlehensbetrag</t>
  </si>
  <si>
    <t>Eigenkapitalquote</t>
  </si>
  <si>
    <t>Sollzinssatz p.a.</t>
  </si>
  <si>
    <t>Anfängliche Tilgung p.a.</t>
  </si>
  <si>
    <t>Annuität p.a.</t>
  </si>
  <si>
    <t>Annuität p.m.</t>
  </si>
  <si>
    <t>Sollzinsbindung (Jahre)</t>
  </si>
  <si>
    <t>5. Mieteinnahmen</t>
  </si>
  <si>
    <t>Kaltmiete je m² (€/Monat)</t>
  </si>
  <si>
    <t>Kaltmiete monatlich</t>
  </si>
  <si>
    <t>Stellplatz / Garage (€/Monat)</t>
  </si>
  <si>
    <t>Sonstige Mieteinnahmen p.m.</t>
  </si>
  <si>
    <t>Mieteinnahmen gesamt p.m.</t>
  </si>
  <si>
    <t>Mieteinnahmen gesamt p.a.</t>
  </si>
  <si>
    <t>Mietsteigerung p.a.</t>
  </si>
  <si>
    <t>Leerstandsquote</t>
  </si>
  <si>
    <t>6. Bewirtschaftungskosten (nicht umlagefähig)</t>
  </si>
  <si>
    <t>Hausgeld nicht umlagefähig (€/Monat)</t>
  </si>
  <si>
    <t>Instandhaltungsrücklage (€/m²/Monat)</t>
  </si>
  <si>
    <t>Instandhaltungsrücklage gesamt p.m.</t>
  </si>
  <si>
    <t>Verwaltungskosten p.a.</t>
  </si>
  <si>
    <t>Sonstige Kosten p.a. (Versicherung etc.)</t>
  </si>
  <si>
    <t>Mietausfallwagnis (% Jahresmiete)</t>
  </si>
  <si>
    <t>Bewirtschaftungskosten gesamt p.a.</t>
  </si>
  <si>
    <t>7. Steuerliche Annahmen</t>
  </si>
  <si>
    <t>Persönlicher Grenzsteuersatz</t>
  </si>
  <si>
    <t>AfA-Satz Gebäude</t>
  </si>
  <si>
    <t>AfA Gebäude p.a.</t>
  </si>
  <si>
    <t>Erhaltungsaufwand p.a. (Werbungskosten)</t>
  </si>
  <si>
    <t>Hinweis: Diese Vorlage dient ausschließlich zur Wirtschaftlichkeitseinschätzung. Für eine verbindliche Beratung wenden Sie sich an Steuerberater bzw. Finanzierungsberater. Die Detailprognose über 15 Jahre finden Sie auf dem Tabellenblatt »Prognose &amp; Tilgung«.</t>
  </si>
  <si>
    <t>15-Jahres-Prognose: Cashflow, Tilgung &amp; steuerliche Wirkung</t>
  </si>
  <si>
    <t>Prognosezeitraum 2026 – 2040  ·  Alle Eingaben werden vom Tabellenblatt »Investitionsrechnung« übernommen</t>
  </si>
  <si>
    <t>Jahr</t>
  </si>
  <si>
    <t>Mieteinnahmen</t>
  </si>
  <si>
    <t>Bewirt.-Kosten</t>
  </si>
  <si>
    <t>NOI</t>
  </si>
  <si>
    <t>Zinsen</t>
  </si>
  <si>
    <t>Tilgung</t>
  </si>
  <si>
    <t>Restschuld</t>
  </si>
  <si>
    <t>CF vor Steuern</t>
  </si>
  <si>
    <t>AfA</t>
  </si>
  <si>
    <t>Stl. Ergebnis</t>
  </si>
  <si>
    <t>Steuereffekt</t>
  </si>
  <si>
    <t>CF nach Steuern</t>
  </si>
  <si>
    <t>Kumulierter CF</t>
  </si>
  <si>
    <t>Σ 15 J.</t>
  </si>
  <si>
    <t>Auswertung &amp; wichtige Eckdaten</t>
  </si>
  <si>
    <t>Summe Mieteinnahmen 15 J.</t>
  </si>
  <si>
    <t>Summe Tilgung 15 J.</t>
  </si>
  <si>
    <t>Restschuld nach 15 J.</t>
  </si>
  <si>
    <t>Summe Zinsen 15 J.</t>
  </si>
  <si>
    <t>Summe CF n. Steuern 15 J.</t>
  </si>
  <si>
    <t>Vermögenszuwachs (CF + Tilgung)</t>
  </si>
  <si>
    <t>Durchschnitt. Cashflow p.a.</t>
  </si>
  <si>
    <t>Ø Rendite EK p.a. (15 J., n. St.)</t>
  </si>
  <si>
    <t>Gesamtrendite EK p.a. (inkl. Tilgung)</t>
  </si>
  <si>
    <t>Hinweise zur Berechnung: Mieteinnahmen und Bewirtschaftungskosten steigen jährlich mit dem auf dem Eingabeblatt definierten Indexierungssatz. Der Zinssatz wird über den gesamten Prognosezeitraum konstant gehalten – nach Ablauf der Zinsbindung können die Konditionen abweichen. Die Tilgung erhöht sich automatisch im Annuitätenmodell. Steuerlicher Effekt = stl. Ergebnis × Grenzsteuersatz (negative Werte = Steuervorteil aus Vermietung &amp; Verpachtung).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</si>
</sst>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%;[Red]\-0.00%;\-"/>
    <numFmt numFmtId="165" formatCode="0.0\x"/>
    <numFmt numFmtId="166" formatCode="#,##0.00;[Red]\-#,##0.00;\-"/>
    <numFmt numFmtId="167" formatCode="#,##0;[Red]\-#,##0;\-"/>
    <numFmt numFmtId="168" formatCode="#,##0&quot; €&quot;;[Red]\-#,##0&quot; €&quot;;\-"/>
    <numFmt numFmtId="169" formatCode="#,##0.00&quot; €&quot;;[Red]\-#,##0.00&quot; €&quot;;\-"/>
  </numFmts>
  <fonts count="17" x14ac:knownFonts="1">
    <font>
      <sz val="11"/>
      <color theme="1"/>
      <name val="Calibri"/>
      <family val="2"/>
      <charset val="1"/>
    </font>
    <font>
      <i/>
      <sz val="10"/>
      <color rgb="FFFFFFFF"/>
      <name val="Calibri"/>
      <charset val="1"/>
    </font>
    <font>
      <i/>
      <sz val="9"/>
      <color rgb="FF595959"/>
      <name val="Calibri"/>
      <charset val="1"/>
    </font>
    <font>
      <b/>
      <sz val="11"/>
      <color rgb="FFFFFFFF"/>
      <name val="Calibri"/>
      <charset val="1"/>
    </font>
    <font>
      <b/>
      <sz val="12"/>
      <color rgb="FFFFFFFF"/>
      <name val="Calibri"/>
      <charset val="1"/>
    </font>
    <font>
      <sz val="10"/>
      <color rgb="FF000000"/>
      <name val="Calibri"/>
      <charset val="1"/>
    </font>
    <font>
      <b/>
      <sz val="10"/>
      <color rgb="FF0000FF"/>
      <name val="Calibri"/>
      <charset val="1"/>
    </font>
    <font>
      <b/>
      <sz val="11"/>
      <color rgb="FF1F3A5F"/>
      <name val="Calibri"/>
      <charset val="1"/>
    </font>
    <font>
      <b/>
      <sz val="10"/>
      <color rgb="FF000000"/>
      <name val="Calibri"/>
      <charset val="1"/>
    </font>
    <font>
      <b/>
      <sz val="11"/>
      <color rgb="FF000000"/>
      <name val="Calibri"/>
      <charset val="1"/>
    </font>
    <font>
      <i/>
      <sz val="10"/>
      <color rgb="FF000000"/>
      <name val="Calibri"/>
      <charset val="1"/>
    </font>
    <font>
      <i/>
      <sz val="10"/>
      <color rgb="FF595959"/>
      <name val="Calibri"/>
      <charset val="1"/>
    </font>
    <font>
      <sz val="10"/>
      <name val="Arial"/>
      <family val="2"/>
    </font>
    <font>
      <b/>
      <sz val="15"/>
      <color rgb="FFFFFFFF"/>
      <name val="Calibri"/>
      <charset val="1"/>
    </font>
    <font>
      <b/>
      <sz val="10"/>
      <color rgb="FFFFFFFF"/>
      <name val="Calibri"/>
      <charset val="1"/>
    </font>
    <font>
      <b/>
      <sz val="10"/>
      <color rgb="FF1F3A5F"/>
      <name val="Calibri"/>
      <charset val="1"/>
    </font>
    <font>
      <b/>
      <sz val="22"/>
      <color rgb="FFFFFFFF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1F3A5F"/>
        <bgColor rgb="FF333333"/>
      </patternFill>
    </fill>
    <fill>
      <patternFill patternType="solid">
        <fgColor rgb="FF2E5C8A"/>
        <bgColor rgb="FF595959"/>
      </patternFill>
    </fill>
    <fill>
      <patternFill patternType="solid">
        <fgColor rgb="FFFDFDEA"/>
        <bgColor rgb="FFFFFFFF"/>
      </patternFill>
    </fill>
    <fill>
      <patternFill patternType="solid">
        <fgColor rgb="FFFFF2CC"/>
        <bgColor rgb="FFFDFDEA"/>
      </patternFill>
    </fill>
    <fill>
      <patternFill patternType="solid">
        <fgColor rgb="FFE2EFDA"/>
        <bgColor rgb="FFD6E4F0"/>
      </patternFill>
    </fill>
    <fill>
      <patternFill patternType="solid">
        <fgColor rgb="FFD6E4F0"/>
        <bgColor rgb="FFE2EFDA"/>
      </patternFill>
    </fill>
    <fill>
      <patternFill patternType="solid">
        <fgColor rgb="FFF4F8FC"/>
        <bgColor rgb="FFFFFFFF"/>
      </patternFill>
    </fill>
    <fill>
      <patternFill patternType="solid">
        <fgColor rgb="FFFBE9A3"/>
        <bgColor rgb="FFFFEB9C"/>
      </patternFill>
    </fill>
  </fills>
  <borders count="5">
    <border>
      <left/>
      <right/>
      <top/>
      <bottom/>
      <diagonal/>
    </border>
    <border>
      <left style="thin">
        <color rgb="FFB4C7E7"/>
      </left>
      <right style="thin">
        <color rgb="FFB4C7E7"/>
      </right>
      <top style="thin">
        <color rgb="FFB4C7E7"/>
      </top>
      <bottom style="thin">
        <color rgb="FFB4C7E7"/>
      </bottom>
      <diagonal/>
    </border>
    <border>
      <left style="thin">
        <color rgb="FFB4C7E7"/>
      </left>
      <right style="thin">
        <color rgb="FFB4C7E7"/>
      </right>
      <top style="medium">
        <color rgb="FF1F3A5F"/>
      </top>
      <bottom style="medium">
        <color rgb="FF1F3A5F"/>
      </bottom>
      <diagonal/>
    </border>
    <border>
      <left style="medium">
        <color rgb="FF1F3A5F"/>
      </left>
      <right style="thin">
        <color rgb="FFB4C7E7"/>
      </right>
      <top style="medium">
        <color rgb="FF1F3A5F"/>
      </top>
      <bottom style="medium">
        <color rgb="FF1F3A5F"/>
      </bottom>
      <diagonal/>
    </border>
    <border>
      <left style="thin">
        <color rgb="FFB4C7E7"/>
      </left>
      <right style="medium">
        <color rgb="FF1F3A5F"/>
      </right>
      <top style="medium">
        <color rgb="FF1F3A5F"/>
      </top>
      <bottom style="medium">
        <color rgb="FF1F3A5F"/>
      </bottom>
      <diagonal/>
    </border>
  </borders>
  <cellStyleXfs count="1">
    <xf numFmtId="0" fontId="0" fillId="0" borderId="0"/>
  </cellStyleXfs>
  <cellXfs count="46">
    <xf numFmtId="0" fontId="0" fillId="0" borderId="0" xfId="0"/>
    <xf numFmtId="168" fontId="6" fillId="4" borderId="1" xfId="0" applyNumberFormat="1" applyFont="1" applyFill="1" applyBorder="1" applyAlignment="1">
      <alignment horizontal="right" vertical="center"/>
    </xf>
    <xf numFmtId="167" fontId="6" fillId="4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 indent="1"/>
    </xf>
    <xf numFmtId="164" fontId="7" fillId="5" borderId="1" xfId="0" applyNumberFormat="1" applyFont="1" applyFill="1" applyBorder="1" applyAlignment="1">
      <alignment horizontal="right" vertical="center"/>
    </xf>
    <xf numFmtId="165" fontId="7" fillId="5" borderId="1" xfId="0" applyNumberFormat="1" applyFont="1" applyFill="1" applyBorder="1" applyAlignment="1">
      <alignment horizontal="right" vertical="center"/>
    </xf>
    <xf numFmtId="168" fontId="7" fillId="5" borderId="1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indent="2"/>
    </xf>
    <xf numFmtId="164" fontId="6" fillId="4" borderId="1" xfId="0" applyNumberFormat="1" applyFont="1" applyFill="1" applyBorder="1" applyAlignment="1">
      <alignment horizontal="right" vertical="center"/>
    </xf>
    <xf numFmtId="168" fontId="5" fillId="0" borderId="1" xfId="0" applyNumberFormat="1" applyFont="1" applyBorder="1" applyAlignment="1">
      <alignment horizontal="right" vertical="center"/>
    </xf>
    <xf numFmtId="166" fontId="7" fillId="5" borderId="1" xfId="0" applyNumberFormat="1" applyFont="1" applyFill="1" applyBorder="1" applyAlignment="1">
      <alignment horizontal="right" vertical="center"/>
    </xf>
    <xf numFmtId="168" fontId="8" fillId="6" borderId="1" xfId="0" applyNumberFormat="1" applyFont="1" applyFill="1" applyBorder="1" applyAlignment="1">
      <alignment horizontal="right" vertical="center"/>
    </xf>
    <xf numFmtId="0" fontId="9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indent="2"/>
    </xf>
    <xf numFmtId="164" fontId="11" fillId="0" borderId="1" xfId="0" applyNumberFormat="1" applyFont="1" applyBorder="1" applyAlignment="1">
      <alignment horizontal="right" vertical="center"/>
    </xf>
    <xf numFmtId="168" fontId="7" fillId="7" borderId="1" xfId="0" applyNumberFormat="1" applyFont="1" applyFill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8" fontId="11" fillId="0" borderId="1" xfId="0" applyNumberFormat="1" applyFont="1" applyBorder="1" applyAlignment="1">
      <alignment horizontal="right" vertical="center"/>
    </xf>
    <xf numFmtId="164" fontId="7" fillId="7" borderId="1" xfId="0" applyNumberFormat="1" applyFont="1" applyFill="1" applyBorder="1" applyAlignment="1">
      <alignment horizontal="right" vertical="center"/>
    </xf>
    <xf numFmtId="169" fontId="11" fillId="0" borderId="1" xfId="0" applyNumberFormat="1" applyFont="1" applyBorder="1" applyAlignment="1">
      <alignment horizontal="right" vertical="center"/>
    </xf>
    <xf numFmtId="169" fontId="8" fillId="6" borderId="1" xfId="0" applyNumberFormat="1" applyFont="1" applyFill="1" applyBorder="1" applyAlignment="1">
      <alignment horizontal="right" vertical="center"/>
    </xf>
    <xf numFmtId="0" fontId="14" fillId="3" borderId="2" xfId="0" applyFont="1" applyFill="1" applyBorder="1" applyAlignment="1">
      <alignment horizontal="center" vertical="center" wrapText="1"/>
    </xf>
    <xf numFmtId="1" fontId="15" fillId="7" borderId="1" xfId="0" applyNumberFormat="1" applyFont="1" applyFill="1" applyBorder="1" applyAlignment="1">
      <alignment horizontal="center" vertical="center"/>
    </xf>
    <xf numFmtId="168" fontId="15" fillId="5" borderId="1" xfId="0" applyNumberFormat="1" applyFont="1" applyFill="1" applyBorder="1" applyAlignment="1">
      <alignment horizontal="right" vertical="center"/>
    </xf>
    <xf numFmtId="168" fontId="5" fillId="8" borderId="1" xfId="0" applyNumberFormat="1" applyFont="1" applyFill="1" applyBorder="1" applyAlignment="1">
      <alignment horizontal="right" vertical="center"/>
    </xf>
    <xf numFmtId="168" fontId="15" fillId="9" borderId="1" xfId="0" applyNumberFormat="1" applyFont="1" applyFill="1" applyBorder="1" applyAlignment="1">
      <alignment horizontal="right" vertical="center"/>
    </xf>
    <xf numFmtId="0" fontId="14" fillId="2" borderId="3" xfId="0" applyFont="1" applyFill="1" applyBorder="1" applyAlignment="1">
      <alignment horizontal="center" vertical="center"/>
    </xf>
    <xf numFmtId="168" fontId="14" fillId="2" borderId="2" xfId="0" applyNumberFormat="1" applyFont="1" applyFill="1" applyBorder="1" applyAlignment="1">
      <alignment horizontal="right" vertical="center"/>
    </xf>
    <xf numFmtId="168" fontId="14" fillId="2" borderId="4" xfId="0" applyNumberFormat="1" applyFont="1" applyFill="1" applyBorder="1" applyAlignment="1">
      <alignment horizontal="right" vertical="center"/>
    </xf>
    <xf numFmtId="169" fontId="6" fillId="4" borderId="1" xfId="0" applyNumberFormat="1" applyFont="1" applyFill="1" applyBorder="1" applyAlignment="1">
      <alignment horizontal="right" vertical="center"/>
    </xf>
    <xf numFmtId="0" fontId="3" fillId="3" borderId="0" xfId="0" applyFont="1" applyFill="1" applyAlignment="1">
      <alignment horizontal="left" vertical="center" indent="1"/>
    </xf>
    <xf numFmtId="0" fontId="2" fillId="0" borderId="0" xfId="0" applyFont="1" applyAlignment="1">
      <alignment horizontal="left" vertical="center" wrapText="1"/>
    </xf>
    <xf numFmtId="167" fontId="6" fillId="4" borderId="1" xfId="0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right" vertical="center"/>
    </xf>
    <xf numFmtId="168" fontId="6" fillId="4" borderId="1" xfId="0" applyNumberFormat="1" applyFont="1" applyFill="1" applyBorder="1" applyAlignment="1">
      <alignment horizontal="right" vertical="center"/>
    </xf>
    <xf numFmtId="1" fontId="6" fillId="4" borderId="1" xfId="0" applyNumberFormat="1" applyFont="1" applyFill="1" applyBorder="1" applyAlignment="1">
      <alignment horizontal="right" vertical="center"/>
    </xf>
    <xf numFmtId="166" fontId="6" fillId="4" borderId="1" xfId="0" applyNumberFormat="1" applyFont="1" applyFill="1" applyBorder="1" applyAlignment="1">
      <alignment horizontal="right" vertical="center"/>
    </xf>
    <xf numFmtId="0" fontId="16" fillId="2" borderId="0" xfId="0" applyFont="1" applyFill="1" applyAlignment="1">
      <alignment horizontal="left" vertical="center" indent="1"/>
    </xf>
    <xf numFmtId="0" fontId="1" fillId="3" borderId="0" xfId="0" applyFont="1" applyFill="1" applyAlignment="1">
      <alignment horizontal="left" vertical="center" indent="1"/>
    </xf>
    <xf numFmtId="0" fontId="2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 vertical="center" indent="1"/>
    </xf>
    <xf numFmtId="168" fontId="15" fillId="5" borderId="1" xfId="0" applyNumberFormat="1" applyFont="1" applyFill="1" applyBorder="1" applyAlignment="1">
      <alignment horizontal="right" vertical="center"/>
    </xf>
    <xf numFmtId="0" fontId="5" fillId="7" borderId="1" xfId="0" applyFont="1" applyFill="1" applyBorder="1" applyAlignment="1">
      <alignment horizontal="left" vertical="center" indent="1"/>
    </xf>
    <xf numFmtId="164" fontId="15" fillId="5" borderId="1" xfId="0" applyNumberFormat="1" applyFont="1" applyFill="1" applyBorder="1" applyAlignment="1">
      <alignment horizontal="right" vertical="center"/>
    </xf>
    <xf numFmtId="0" fontId="13" fillId="2" borderId="0" xfId="0" applyFont="1" applyFill="1" applyAlignment="1">
      <alignment horizontal="left" vertical="center" indent="1"/>
    </xf>
  </cellXfs>
  <cellStyles count="1">
    <cellStyle name="Standard" xfId="0" builtinId="0"/>
  </cellStyles>
  <dxfs count="7">
    <dxf>
      <font>
        <b/>
        <sz val="10"/>
        <color rgb="FF006100"/>
        <name val="Calibri"/>
        <charset val="1"/>
      </font>
    </dxf>
    <dxf>
      <font>
        <b/>
        <sz val="10"/>
        <color rgb="FF9C0006"/>
        <name val="Calibri"/>
        <charset val="1"/>
      </font>
    </dxf>
    <dxf>
      <font>
        <b/>
        <sz val="10"/>
        <color rgb="FF006100"/>
        <name val="Calibri"/>
        <charset val="1"/>
      </font>
    </dxf>
    <dxf>
      <font>
        <b/>
        <sz val="10"/>
        <color rgb="FF9C0006"/>
        <name val="Calibri"/>
        <charset val="1"/>
      </font>
    </dxf>
    <dxf>
      <font>
        <b/>
        <sz val="11"/>
        <color rgb="FF9C0006"/>
        <name val="Calibri"/>
        <charset val="1"/>
      </font>
      <fill>
        <patternFill>
          <bgColor rgb="FFFFC7CE"/>
        </patternFill>
      </fill>
    </dxf>
    <dxf>
      <font>
        <b/>
        <sz val="11"/>
        <color rgb="FF9C5700"/>
        <name val="Calibri"/>
        <charset val="1"/>
      </font>
      <fill>
        <patternFill>
          <bgColor rgb="FFFFEB9C"/>
        </patternFill>
      </fill>
    </dxf>
    <dxf>
      <font>
        <b/>
        <sz val="11"/>
        <color rgb="FF006100"/>
        <name val="Calibri"/>
        <charset val="1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BE9A3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2CC"/>
      <rgbColor rgb="FFE2EFDA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4F8FC"/>
      <rgbColor rgb="FFC6EFCE"/>
      <rgbColor rgb="FFFFEB9C"/>
      <rgbColor rgb="FFFDFDEA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1F3A5F"/>
      <rgbColor rgb="FF339966"/>
      <rgbColor rgb="FF003300"/>
      <rgbColor rgb="FF333300"/>
      <rgbColor rgb="FF9C5700"/>
      <rgbColor rgb="FF993366"/>
      <rgbColor rgb="FF2E5C8A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8"/>
  <sheetViews>
    <sheetView showGridLines="0" tabSelected="1" zoomScaleNormal="100" workbookViewId="0">
      <selection activeCell="P13" sqref="P13"/>
    </sheetView>
  </sheetViews>
  <sheetFormatPr baseColWidth="10" defaultColWidth="8.7109375" defaultRowHeight="15" x14ac:dyDescent="0.25"/>
  <cols>
    <col min="1" max="1" width="0.5703125" customWidth="1"/>
    <col min="2" max="2" width="36.140625" bestFit="1" customWidth="1"/>
    <col min="3" max="3" width="8.42578125" customWidth="1"/>
    <col min="4" max="4" width="17.28515625" customWidth="1"/>
    <col min="5" max="5" width="2.5703125" customWidth="1"/>
    <col min="6" max="6" width="35.5703125" bestFit="1" customWidth="1"/>
    <col min="7" max="7" width="12.28515625" bestFit="1" customWidth="1"/>
    <col min="8" max="8" width="2" customWidth="1"/>
  </cols>
  <sheetData>
    <row r="1" spans="2:7" ht="6" customHeight="1" x14ac:dyDescent="0.25"/>
    <row r="2" spans="2:7" ht="31.5" customHeight="1" x14ac:dyDescent="0.25">
      <c r="B2" s="38" t="s">
        <v>0</v>
      </c>
      <c r="C2" s="38"/>
      <c r="D2" s="38"/>
      <c r="E2" s="38"/>
      <c r="F2" s="38"/>
      <c r="G2" s="38"/>
    </row>
    <row r="3" spans="2:7" ht="19.5" customHeight="1" x14ac:dyDescent="0.25">
      <c r="B3" s="39" t="s">
        <v>1</v>
      </c>
      <c r="C3" s="39"/>
      <c r="D3" s="39"/>
      <c r="E3" s="39"/>
      <c r="F3" s="39"/>
      <c r="G3" s="39"/>
    </row>
    <row r="4" spans="2:7" ht="7.5" customHeight="1" x14ac:dyDescent="0.25"/>
    <row r="5" spans="2:7" x14ac:dyDescent="0.25">
      <c r="B5" s="40" t="s">
        <v>2</v>
      </c>
      <c r="C5" s="40"/>
      <c r="D5" s="40"/>
      <c r="E5" s="40"/>
      <c r="F5" s="40"/>
      <c r="G5" s="40"/>
    </row>
    <row r="6" spans="2:7" ht="9.75" customHeight="1" x14ac:dyDescent="0.25"/>
    <row r="7" spans="2:7" ht="21.75" customHeight="1" x14ac:dyDescent="0.25">
      <c r="B7" s="31" t="s">
        <v>3</v>
      </c>
      <c r="C7" s="31"/>
      <c r="D7" s="31"/>
      <c r="F7" s="41" t="s">
        <v>4</v>
      </c>
      <c r="G7" s="41"/>
    </row>
    <row r="8" spans="2:7" x14ac:dyDescent="0.25">
      <c r="B8" s="3" t="s">
        <v>5</v>
      </c>
      <c r="C8" s="34" t="s">
        <v>6</v>
      </c>
      <c r="D8" s="34"/>
      <c r="F8" s="3" t="s">
        <v>7</v>
      </c>
      <c r="G8" s="4">
        <f>D47/C17</f>
        <v>3.7008979591836737E-2</v>
      </c>
    </row>
    <row r="9" spans="2:7" x14ac:dyDescent="0.25">
      <c r="B9" s="3" t="s">
        <v>8</v>
      </c>
      <c r="C9" s="34" t="s">
        <v>9</v>
      </c>
      <c r="D9" s="34"/>
      <c r="F9" s="3" t="s">
        <v>10</v>
      </c>
      <c r="G9" s="4">
        <f>D47/D23</f>
        <v>3.1549444756634133E-2</v>
      </c>
    </row>
    <row r="10" spans="2:7" x14ac:dyDescent="0.25">
      <c r="B10" s="3" t="s">
        <v>11</v>
      </c>
      <c r="C10" s="34" t="s">
        <v>12</v>
      </c>
      <c r="D10" s="34"/>
      <c r="F10" s="3" t="s">
        <v>13</v>
      </c>
      <c r="G10" s="4">
        <f>(D47-D58)/D23</f>
        <v>2.2210820243113612E-2</v>
      </c>
    </row>
    <row r="11" spans="2:7" x14ac:dyDescent="0.25">
      <c r="B11" s="3" t="s">
        <v>14</v>
      </c>
      <c r="C11" s="36">
        <v>1998</v>
      </c>
      <c r="D11" s="36"/>
      <c r="F11" s="3" t="s">
        <v>15</v>
      </c>
      <c r="G11" s="5">
        <f>C17/D47</f>
        <v>27.02046938415387</v>
      </c>
    </row>
    <row r="12" spans="2:7" x14ac:dyDescent="0.25">
      <c r="B12" s="3" t="s">
        <v>16</v>
      </c>
      <c r="C12" s="37">
        <v>72</v>
      </c>
      <c r="D12" s="37"/>
    </row>
    <row r="13" spans="2:7" x14ac:dyDescent="0.25">
      <c r="B13" s="3" t="s">
        <v>17</v>
      </c>
      <c r="C13" s="33">
        <v>1</v>
      </c>
      <c r="D13" s="33"/>
      <c r="F13" s="3" t="s">
        <v>18</v>
      </c>
      <c r="G13" s="6">
        <f>D47-D58</f>
        <v>6383.3120000000008</v>
      </c>
    </row>
    <row r="14" spans="2:7" x14ac:dyDescent="0.25">
      <c r="B14" s="3" t="s">
        <v>19</v>
      </c>
      <c r="C14" s="34" t="s">
        <v>20</v>
      </c>
      <c r="D14" s="34"/>
      <c r="F14" s="3" t="s">
        <v>21</v>
      </c>
      <c r="G14" s="6">
        <f>D33*D35</f>
        <v>8641.0669999999991</v>
      </c>
    </row>
    <row r="15" spans="2:7" x14ac:dyDescent="0.25">
      <c r="F15" s="3" t="s">
        <v>22</v>
      </c>
      <c r="G15" s="6">
        <f>D37-D33*D35</f>
        <v>4547.93</v>
      </c>
    </row>
    <row r="16" spans="2:7" ht="21.75" customHeight="1" x14ac:dyDescent="0.25">
      <c r="B16" s="31" t="s">
        <v>23</v>
      </c>
      <c r="C16" s="31"/>
      <c r="D16" s="31"/>
      <c r="F16" s="7" t="s">
        <v>24</v>
      </c>
      <c r="G16" s="6">
        <f>D47-D58-D37</f>
        <v>-6805.6849999999986</v>
      </c>
    </row>
    <row r="17" spans="2:7" x14ac:dyDescent="0.25">
      <c r="B17" s="7" t="s">
        <v>25</v>
      </c>
      <c r="C17" s="35">
        <v>245000</v>
      </c>
      <c r="D17" s="35"/>
      <c r="F17" s="7" t="s">
        <v>26</v>
      </c>
      <c r="G17" s="6">
        <f>D47-D58-D37-(D47-D58-D33*D35-D63-D64)*D61</f>
        <v>-4037.0034199999996</v>
      </c>
    </row>
    <row r="18" spans="2:7" x14ac:dyDescent="0.25">
      <c r="B18" s="8" t="s">
        <v>27</v>
      </c>
      <c r="C18" s="9">
        <v>5.5E-2</v>
      </c>
      <c r="D18" s="10">
        <f>$C17*C18</f>
        <v>13475</v>
      </c>
    </row>
    <row r="19" spans="2:7" x14ac:dyDescent="0.25">
      <c r="B19" s="8" t="s">
        <v>28</v>
      </c>
      <c r="C19" s="9">
        <v>1.4999999999999999E-2</v>
      </c>
      <c r="D19" s="10">
        <f>$C17*C19</f>
        <v>3675</v>
      </c>
      <c r="F19" s="3" t="s">
        <v>29</v>
      </c>
      <c r="G19" s="4">
        <f>(D47-D58-D33*D35)/D32</f>
        <v>-3.7629249999999968E-2</v>
      </c>
    </row>
    <row r="20" spans="2:7" x14ac:dyDescent="0.25">
      <c r="B20" s="8" t="s">
        <v>30</v>
      </c>
      <c r="C20" s="9">
        <v>3.5700000000000003E-2</v>
      </c>
      <c r="D20" s="10">
        <f>$C17*C20</f>
        <v>8746.5</v>
      </c>
      <c r="F20" s="3" t="s">
        <v>31</v>
      </c>
      <c r="G20" s="4">
        <f>(D47-D58-D33*D35+(D37-D33*D35))/D32</f>
        <v>3.8169583333333368E-2</v>
      </c>
    </row>
    <row r="21" spans="2:7" x14ac:dyDescent="0.25">
      <c r="B21" s="3" t="s">
        <v>32</v>
      </c>
      <c r="D21" s="1">
        <v>15000</v>
      </c>
      <c r="F21" s="3" t="s">
        <v>33</v>
      </c>
      <c r="G21" s="11">
        <f>(D47-D58)/D37</f>
        <v>0.48398767548434513</v>
      </c>
    </row>
    <row r="22" spans="2:7" x14ac:dyDescent="0.25">
      <c r="B22" s="3" t="s">
        <v>34</v>
      </c>
      <c r="D22" s="1">
        <v>1500</v>
      </c>
    </row>
    <row r="23" spans="2:7" x14ac:dyDescent="0.25">
      <c r="B23" s="7" t="s">
        <v>35</v>
      </c>
      <c r="D23" s="12">
        <f>C17+D18+D19+D20+D21+D22</f>
        <v>287396.5</v>
      </c>
      <c r="F23" s="7" t="s">
        <v>36</v>
      </c>
      <c r="G23" s="13" t="str">
        <f>IF(G16&gt;0,"✓ Positiv",IF(G16&gt;-D37*0.1,"~ Knapp","✗ Zuzahlung"))</f>
        <v>✗ Zuzahlung</v>
      </c>
    </row>
    <row r="24" spans="2:7" x14ac:dyDescent="0.25">
      <c r="B24" s="14" t="s">
        <v>37</v>
      </c>
      <c r="D24" s="15">
        <f>(D23-C17)/C17</f>
        <v>0.1730469387755102</v>
      </c>
    </row>
    <row r="26" spans="2:7" ht="19.5" customHeight="1" x14ac:dyDescent="0.25">
      <c r="B26" s="31" t="s">
        <v>38</v>
      </c>
      <c r="C26" s="31"/>
      <c r="D26" s="31"/>
      <c r="F26" s="31" t="s">
        <v>39</v>
      </c>
      <c r="G26" s="31"/>
    </row>
    <row r="27" spans="2:7" x14ac:dyDescent="0.25">
      <c r="B27" s="3" t="s">
        <v>40</v>
      </c>
      <c r="C27" s="9">
        <v>0.8</v>
      </c>
      <c r="D27" s="10">
        <f>C17*C27</f>
        <v>196000</v>
      </c>
      <c r="F27" s="3" t="s">
        <v>35</v>
      </c>
      <c r="G27" s="16">
        <f>D23</f>
        <v>287396.5</v>
      </c>
    </row>
    <row r="28" spans="2:7" x14ac:dyDescent="0.25">
      <c r="B28" s="3" t="s">
        <v>41</v>
      </c>
      <c r="C28" s="17">
        <f>1-C27</f>
        <v>0.19999999999999996</v>
      </c>
      <c r="D28" s="10">
        <f>C17-D27</f>
        <v>49000</v>
      </c>
      <c r="F28" s="3" t="s">
        <v>42</v>
      </c>
      <c r="G28" s="16">
        <f>D32</f>
        <v>60000</v>
      </c>
    </row>
    <row r="29" spans="2:7" x14ac:dyDescent="0.25">
      <c r="B29" s="14" t="s">
        <v>43</v>
      </c>
      <c r="D29" s="18">
        <f>D27+(D18+D19+D20)*C27</f>
        <v>216717.2</v>
      </c>
      <c r="F29" s="3" t="s">
        <v>44</v>
      </c>
      <c r="G29" s="16">
        <f>D33</f>
        <v>227396.5</v>
      </c>
    </row>
    <row r="30" spans="2:7" x14ac:dyDescent="0.25">
      <c r="F30" s="3" t="s">
        <v>45</v>
      </c>
      <c r="G30" s="19">
        <f>D33/C17</f>
        <v>0.92814897959183673</v>
      </c>
    </row>
    <row r="31" spans="2:7" ht="21.75" customHeight="1" x14ac:dyDescent="0.25">
      <c r="B31" s="31" t="s">
        <v>46</v>
      </c>
      <c r="C31" s="31"/>
      <c r="D31" s="31"/>
    </row>
    <row r="32" spans="2:7" x14ac:dyDescent="0.25">
      <c r="B32" s="3" t="s">
        <v>47</v>
      </c>
      <c r="D32" s="1">
        <v>60000</v>
      </c>
    </row>
    <row r="33" spans="2:4" x14ac:dyDescent="0.25">
      <c r="B33" s="7" t="s">
        <v>48</v>
      </c>
      <c r="D33" s="12">
        <f>D23-D32</f>
        <v>227396.5</v>
      </c>
    </row>
    <row r="34" spans="2:4" x14ac:dyDescent="0.25">
      <c r="B34" s="14" t="s">
        <v>49</v>
      </c>
      <c r="D34" s="15">
        <f>D32/D23</f>
        <v>0.20877080966539258</v>
      </c>
    </row>
    <row r="35" spans="2:4" x14ac:dyDescent="0.25">
      <c r="B35" s="3" t="s">
        <v>50</v>
      </c>
      <c r="D35" s="9">
        <v>3.7999999999999999E-2</v>
      </c>
    </row>
    <row r="36" spans="2:4" x14ac:dyDescent="0.25">
      <c r="B36" s="3" t="s">
        <v>51</v>
      </c>
      <c r="D36" s="9">
        <v>0.02</v>
      </c>
    </row>
    <row r="37" spans="2:4" x14ac:dyDescent="0.25">
      <c r="B37" s="14" t="s">
        <v>52</v>
      </c>
      <c r="D37" s="18">
        <f>D33*(D35+D36)</f>
        <v>13188.996999999999</v>
      </c>
    </row>
    <row r="38" spans="2:4" x14ac:dyDescent="0.25">
      <c r="B38" s="14" t="s">
        <v>53</v>
      </c>
      <c r="D38" s="20">
        <f>D37/12</f>
        <v>1099.0830833333332</v>
      </c>
    </row>
    <row r="39" spans="2:4" x14ac:dyDescent="0.25">
      <c r="B39" s="3" t="s">
        <v>54</v>
      </c>
      <c r="D39" s="2">
        <v>10</v>
      </c>
    </row>
    <row r="41" spans="2:4" ht="21.75" customHeight="1" x14ac:dyDescent="0.25">
      <c r="B41" s="31" t="s">
        <v>55</v>
      </c>
      <c r="C41" s="31"/>
      <c r="D41" s="31"/>
    </row>
    <row r="42" spans="2:4" x14ac:dyDescent="0.25">
      <c r="B42" s="3" t="s">
        <v>56</v>
      </c>
      <c r="C42" s="30">
        <v>9.8000000000000007</v>
      </c>
      <c r="D42" s="30"/>
    </row>
    <row r="43" spans="2:4" x14ac:dyDescent="0.25">
      <c r="B43" s="14" t="s">
        <v>57</v>
      </c>
      <c r="D43" s="20">
        <f>C42*C12</f>
        <v>705.6</v>
      </c>
    </row>
    <row r="44" spans="2:4" x14ac:dyDescent="0.25">
      <c r="B44" s="3" t="s">
        <v>58</v>
      </c>
      <c r="D44" s="1">
        <v>50</v>
      </c>
    </row>
    <row r="45" spans="2:4" x14ac:dyDescent="0.25">
      <c r="B45" s="3" t="s">
        <v>59</v>
      </c>
      <c r="D45" s="1">
        <v>0</v>
      </c>
    </row>
    <row r="46" spans="2:4" x14ac:dyDescent="0.25">
      <c r="B46" s="7" t="s">
        <v>60</v>
      </c>
      <c r="D46" s="21">
        <f>D43+D44+D45</f>
        <v>755.6</v>
      </c>
    </row>
    <row r="47" spans="2:4" x14ac:dyDescent="0.25">
      <c r="B47" s="7" t="s">
        <v>61</v>
      </c>
      <c r="D47" s="12">
        <f>D46*12</f>
        <v>9067.2000000000007</v>
      </c>
    </row>
    <row r="48" spans="2:4" x14ac:dyDescent="0.25">
      <c r="B48" s="3" t="s">
        <v>62</v>
      </c>
      <c r="D48" s="9">
        <v>1.4999999999999999E-2</v>
      </c>
    </row>
    <row r="49" spans="2:4" x14ac:dyDescent="0.25">
      <c r="B49" s="3" t="s">
        <v>63</v>
      </c>
      <c r="D49" s="9">
        <v>0.02</v>
      </c>
    </row>
    <row r="51" spans="2:4" ht="21.75" customHeight="1" x14ac:dyDescent="0.25">
      <c r="B51" s="31" t="s">
        <v>64</v>
      </c>
      <c r="C51" s="31"/>
      <c r="D51" s="31"/>
    </row>
    <row r="52" spans="2:4" x14ac:dyDescent="0.25">
      <c r="B52" s="3" t="s">
        <v>65</v>
      </c>
      <c r="D52" s="1">
        <v>85</v>
      </c>
    </row>
    <row r="53" spans="2:4" x14ac:dyDescent="0.25">
      <c r="B53" s="3" t="s">
        <v>66</v>
      </c>
      <c r="C53" s="30">
        <v>0.8</v>
      </c>
      <c r="D53" s="30"/>
    </row>
    <row r="54" spans="2:4" x14ac:dyDescent="0.25">
      <c r="B54" s="14" t="s">
        <v>67</v>
      </c>
      <c r="D54" s="20">
        <f>C53*C12</f>
        <v>57.6</v>
      </c>
    </row>
    <row r="55" spans="2:4" x14ac:dyDescent="0.25">
      <c r="B55" s="3" t="s">
        <v>68</v>
      </c>
      <c r="D55" s="1">
        <v>360</v>
      </c>
    </row>
    <row r="56" spans="2:4" x14ac:dyDescent="0.25">
      <c r="B56" s="3" t="s">
        <v>69</v>
      </c>
      <c r="D56" s="1">
        <v>250</v>
      </c>
    </row>
    <row r="57" spans="2:4" x14ac:dyDescent="0.25">
      <c r="B57" s="3" t="s">
        <v>70</v>
      </c>
      <c r="D57" s="9">
        <v>0.02</v>
      </c>
    </row>
    <row r="58" spans="2:4" x14ac:dyDescent="0.25">
      <c r="B58" s="7" t="s">
        <v>71</v>
      </c>
      <c r="D58" s="12">
        <f>(D52+D54)*12+D55+D56+D47*(D49+D57)</f>
        <v>2683.8879999999999</v>
      </c>
    </row>
    <row r="60" spans="2:4" ht="21.75" customHeight="1" x14ac:dyDescent="0.25">
      <c r="B60" s="31" t="s">
        <v>72</v>
      </c>
      <c r="C60" s="31"/>
      <c r="D60" s="31"/>
    </row>
    <row r="61" spans="2:4" x14ac:dyDescent="0.25">
      <c r="B61" s="3" t="s">
        <v>73</v>
      </c>
      <c r="D61" s="9">
        <v>0.42</v>
      </c>
    </row>
    <row r="62" spans="2:4" x14ac:dyDescent="0.25">
      <c r="B62" s="3" t="s">
        <v>74</v>
      </c>
      <c r="D62" s="9">
        <v>0.02</v>
      </c>
    </row>
    <row r="63" spans="2:4" x14ac:dyDescent="0.25">
      <c r="B63" s="14" t="s">
        <v>75</v>
      </c>
      <c r="D63" s="18">
        <f>D29*D62</f>
        <v>4334.3440000000001</v>
      </c>
    </row>
    <row r="64" spans="2:4" x14ac:dyDescent="0.25">
      <c r="B64" s="3" t="s">
        <v>76</v>
      </c>
      <c r="D64" s="1">
        <v>0</v>
      </c>
    </row>
    <row r="68" spans="2:7" ht="31.5" customHeight="1" x14ac:dyDescent="0.25">
      <c r="B68" s="32" t="s">
        <v>77</v>
      </c>
      <c r="C68" s="32"/>
      <c r="D68" s="32"/>
      <c r="E68" s="32"/>
      <c r="F68" s="32"/>
      <c r="G68" s="32"/>
    </row>
  </sheetData>
  <mergeCells count="23">
    <mergeCell ref="B2:G2"/>
    <mergeCell ref="B3:G3"/>
    <mergeCell ref="B5:G5"/>
    <mergeCell ref="B7:D7"/>
    <mergeCell ref="F7:G7"/>
    <mergeCell ref="C8:D8"/>
    <mergeCell ref="C9:D9"/>
    <mergeCell ref="C10:D10"/>
    <mergeCell ref="C11:D11"/>
    <mergeCell ref="C12:D12"/>
    <mergeCell ref="C13:D13"/>
    <mergeCell ref="C14:D14"/>
    <mergeCell ref="B16:D16"/>
    <mergeCell ref="C17:D17"/>
    <mergeCell ref="B26:D26"/>
    <mergeCell ref="C53:D53"/>
    <mergeCell ref="B60:D60"/>
    <mergeCell ref="B68:G68"/>
    <mergeCell ref="F26:G26"/>
    <mergeCell ref="B31:D31"/>
    <mergeCell ref="B41:D41"/>
    <mergeCell ref="C42:D42"/>
    <mergeCell ref="B51:D51"/>
  </mergeCells>
  <conditionalFormatting sqref="G23">
    <cfRule type="cellIs" dxfId="6" priority="2" operator="equal">
      <formula>"✓ Positiv"</formula>
    </cfRule>
    <cfRule type="cellIs" dxfId="5" priority="3" operator="equal">
      <formula>"~ Knapp"</formula>
    </cfRule>
    <cfRule type="cellIs" dxfId="4" priority="4" operator="equal">
      <formula>"✗ Zuzahlung"</formula>
    </cfRule>
  </conditionalFormatting>
  <printOptions horizontalCentered="1"/>
  <pageMargins left="0.4" right="0.4" top="0.5" bottom="0.5" header="0.511811023622047" footer="0.511811023622047"/>
  <pageSetup orientation="landscape" horizontalDpi="300" verticalDpi="30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29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baseColWidth="10" defaultColWidth="8.7109375" defaultRowHeight="15" x14ac:dyDescent="0.25"/>
  <cols>
    <col min="1" max="1" width="2" customWidth="1"/>
    <col min="2" max="2" width="8" customWidth="1"/>
    <col min="3" max="14" width="14" customWidth="1"/>
  </cols>
  <sheetData>
    <row r="1" spans="2:14" ht="6" customHeight="1" x14ac:dyDescent="0.25"/>
    <row r="2" spans="2:14" ht="31.5" customHeight="1" x14ac:dyDescent="0.25">
      <c r="B2" s="45" t="s">
        <v>78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2:14" ht="19.5" customHeight="1" x14ac:dyDescent="0.25">
      <c r="B3" s="39" t="s">
        <v>79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2:14" ht="9.75" customHeight="1" x14ac:dyDescent="0.25"/>
    <row r="5" spans="2:14" ht="37.5" customHeight="1" x14ac:dyDescent="0.25">
      <c r="B5" s="22" t="s">
        <v>80</v>
      </c>
      <c r="C5" s="22" t="s">
        <v>81</v>
      </c>
      <c r="D5" s="22" t="s">
        <v>82</v>
      </c>
      <c r="E5" s="22" t="s">
        <v>83</v>
      </c>
      <c r="F5" s="22" t="s">
        <v>84</v>
      </c>
      <c r="G5" s="22" t="s">
        <v>85</v>
      </c>
      <c r="H5" s="22" t="s">
        <v>86</v>
      </c>
      <c r="I5" s="22" t="s">
        <v>87</v>
      </c>
      <c r="J5" s="22" t="s">
        <v>88</v>
      </c>
      <c r="K5" s="22" t="s">
        <v>89</v>
      </c>
      <c r="L5" s="22" t="s">
        <v>90</v>
      </c>
      <c r="M5" s="22" t="s">
        <v>91</v>
      </c>
      <c r="N5" s="22" t="s">
        <v>92</v>
      </c>
    </row>
    <row r="6" spans="2:14" x14ac:dyDescent="0.25">
      <c r="B6" s="23">
        <v>2026</v>
      </c>
      <c r="C6" s="10">
        <f>Investitionsrechnung!D47*(1+Investitionsrechnung!D48)^(1-1)</f>
        <v>9067.2000000000007</v>
      </c>
      <c r="D6" s="10">
        <f>Investitionsrechnung!D58*(1+Investitionsrechnung!D48)^(1-1)</f>
        <v>2683.8879999999999</v>
      </c>
      <c r="E6" s="10">
        <f t="shared" ref="E6:E20" si="0">C6-D6</f>
        <v>6383.3120000000008</v>
      </c>
      <c r="F6" s="10">
        <f>Investitionsrechnung!D33*Investitionsrechnung!D35</f>
        <v>8641.0669999999991</v>
      </c>
      <c r="G6" s="10">
        <f>MIN(Investitionsrechnung!D37-F6, Investitionsrechnung!D33)</f>
        <v>4547.93</v>
      </c>
      <c r="H6" s="10">
        <f>MAX(Investitionsrechnung!D33-G6,0)</f>
        <v>222848.57</v>
      </c>
      <c r="I6" s="10">
        <f t="shared" ref="I6:I20" si="1">E6-F6-G6</f>
        <v>-6805.6849999999986</v>
      </c>
      <c r="J6" s="10">
        <f>Investitionsrechnung!D63</f>
        <v>4334.3440000000001</v>
      </c>
      <c r="K6" s="10">
        <f>E6-F6-J6-Investitionsrechnung!D64</f>
        <v>-6592.0989999999983</v>
      </c>
      <c r="L6" s="10">
        <f>K6*Investitionsrechnung!D61</f>
        <v>-2768.681579999999</v>
      </c>
      <c r="M6" s="24">
        <f t="shared" ref="M6:M20" si="2">I6-L6</f>
        <v>-4037.0034199999996</v>
      </c>
      <c r="N6" s="24">
        <f>M6</f>
        <v>-4037.0034199999996</v>
      </c>
    </row>
    <row r="7" spans="2:14" x14ac:dyDescent="0.25">
      <c r="B7" s="23">
        <v>2027</v>
      </c>
      <c r="C7" s="25">
        <f>Investitionsrechnung!D47*(1+Investitionsrechnung!D48)^(2-1)</f>
        <v>9203.2080000000005</v>
      </c>
      <c r="D7" s="25">
        <f>Investitionsrechnung!D58*(1+Investitionsrechnung!D48)^(2-1)</f>
        <v>2724.1463199999998</v>
      </c>
      <c r="E7" s="25">
        <f t="shared" si="0"/>
        <v>6479.0616800000007</v>
      </c>
      <c r="F7" s="25">
        <f>H6*IF(2&lt;=Investitionsrechnung!D39,Investitionsrechnung!D35,Investitionsrechnung!D35)</f>
        <v>8468.2456600000005</v>
      </c>
      <c r="G7" s="25">
        <f>IF(H6&gt;0,MIN(Investitionsrechnung!D37-F7, H6),0)</f>
        <v>4720.7513399999989</v>
      </c>
      <c r="H7" s="25">
        <f t="shared" ref="H7:H20" si="3">MAX(H6-G7,0)</f>
        <v>218127.81866000002</v>
      </c>
      <c r="I7" s="25">
        <f t="shared" si="1"/>
        <v>-6709.9353199999987</v>
      </c>
      <c r="J7" s="25">
        <f>Investitionsrechnung!D63</f>
        <v>4334.3440000000001</v>
      </c>
      <c r="K7" s="25">
        <f>E7-F7-J7-Investitionsrechnung!D64</f>
        <v>-6323.5279799999998</v>
      </c>
      <c r="L7" s="25">
        <f>K7*Investitionsrechnung!D61</f>
        <v>-2655.8817515999999</v>
      </c>
      <c r="M7" s="26">
        <f t="shared" si="2"/>
        <v>-4054.0535683999988</v>
      </c>
      <c r="N7" s="26">
        <f t="shared" ref="N7:N20" si="4">N6+M7</f>
        <v>-8091.0569883999979</v>
      </c>
    </row>
    <row r="8" spans="2:14" x14ac:dyDescent="0.25">
      <c r="B8" s="23">
        <v>2028</v>
      </c>
      <c r="C8" s="10">
        <f>Investitionsrechnung!D47*(1+Investitionsrechnung!D48)^(3-1)</f>
        <v>9341.2561199999982</v>
      </c>
      <c r="D8" s="10">
        <f>Investitionsrechnung!D58*(1+Investitionsrechnung!D48)^(3-1)</f>
        <v>2765.0085147999994</v>
      </c>
      <c r="E8" s="10">
        <f t="shared" si="0"/>
        <v>6576.2476051999984</v>
      </c>
      <c r="F8" s="10">
        <f>H7*IF(3&lt;=Investitionsrechnung!D39,Investitionsrechnung!D35,Investitionsrechnung!D35)</f>
        <v>8288.8571090799996</v>
      </c>
      <c r="G8" s="10">
        <f>IF(H7&gt;0,MIN(Investitionsrechnung!D37-F8, H7),0)</f>
        <v>4900.1398909199997</v>
      </c>
      <c r="H8" s="10">
        <f t="shared" si="3"/>
        <v>213227.67876908003</v>
      </c>
      <c r="I8" s="10">
        <f t="shared" si="1"/>
        <v>-6612.749394800001</v>
      </c>
      <c r="J8" s="10">
        <f>Investitionsrechnung!D63</f>
        <v>4334.3440000000001</v>
      </c>
      <c r="K8" s="10">
        <f>E8-F8-J8-Investitionsrechnung!D64</f>
        <v>-6046.9535038800013</v>
      </c>
      <c r="L8" s="10">
        <f>K8*Investitionsrechnung!D61</f>
        <v>-2539.7204716296005</v>
      </c>
      <c r="M8" s="24">
        <f t="shared" si="2"/>
        <v>-4073.0289231704005</v>
      </c>
      <c r="N8" s="24">
        <f t="shared" si="4"/>
        <v>-12164.085911570399</v>
      </c>
    </row>
    <row r="9" spans="2:14" x14ac:dyDescent="0.25">
      <c r="B9" s="23">
        <v>2029</v>
      </c>
      <c r="C9" s="25">
        <f>Investitionsrechnung!D47*(1+Investitionsrechnung!D48)^(4-1)</f>
        <v>9481.3749617999965</v>
      </c>
      <c r="D9" s="25">
        <f>Investitionsrechnung!D58*(1+Investitionsrechnung!D48)^(4-1)</f>
        <v>2806.4836425219987</v>
      </c>
      <c r="E9" s="25">
        <f t="shared" si="0"/>
        <v>6674.8913192779983</v>
      </c>
      <c r="F9" s="25">
        <f>H8*IF(4&lt;=Investitionsrechnung!D39,Investitionsrechnung!D35,Investitionsrechnung!D35)</f>
        <v>8102.6517932250408</v>
      </c>
      <c r="G9" s="25">
        <f>IF(H8&gt;0,MIN(Investitionsrechnung!D37-F9, H8),0)</f>
        <v>5086.3452067749586</v>
      </c>
      <c r="H9" s="25">
        <f t="shared" si="3"/>
        <v>208141.33356230508</v>
      </c>
      <c r="I9" s="25">
        <f t="shared" si="1"/>
        <v>-6514.1056807220011</v>
      </c>
      <c r="J9" s="25">
        <f>Investitionsrechnung!D63</f>
        <v>4334.3440000000001</v>
      </c>
      <c r="K9" s="25">
        <f>E9-F9-J9-Investitionsrechnung!D64</f>
        <v>-5762.1044739470426</v>
      </c>
      <c r="L9" s="25">
        <f>K9*Investitionsrechnung!D61</f>
        <v>-2420.0838790577577</v>
      </c>
      <c r="M9" s="26">
        <f t="shared" si="2"/>
        <v>-4094.0218016642434</v>
      </c>
      <c r="N9" s="26">
        <f t="shared" si="4"/>
        <v>-16258.107713234642</v>
      </c>
    </row>
    <row r="10" spans="2:14" x14ac:dyDescent="0.25">
      <c r="B10" s="23">
        <v>2030</v>
      </c>
      <c r="C10" s="10">
        <f>Investitionsrechnung!D47*(1+Investitionsrechnung!D48)^(5-1)</f>
        <v>9623.5955862269948</v>
      </c>
      <c r="D10" s="10">
        <f>Investitionsrechnung!D58*(1+Investitionsrechnung!D48)^(5-1)</f>
        <v>2848.5808971598285</v>
      </c>
      <c r="E10" s="10">
        <f t="shared" si="0"/>
        <v>6775.0146890671658</v>
      </c>
      <c r="F10" s="10">
        <f>H9*IF(5&lt;=Investitionsrechnung!D39,Investitionsrechnung!D35,Investitionsrechnung!D35)</f>
        <v>7909.3706753675933</v>
      </c>
      <c r="G10" s="10">
        <f>IF(H9&gt;0,MIN(Investitionsrechnung!D37-F10, H9),0)</f>
        <v>5279.6263246324061</v>
      </c>
      <c r="H10" s="10">
        <f t="shared" si="3"/>
        <v>202861.70723767267</v>
      </c>
      <c r="I10" s="10">
        <f t="shared" si="1"/>
        <v>-6413.9823109328336</v>
      </c>
      <c r="J10" s="10">
        <f>Investitionsrechnung!D63</f>
        <v>4334.3440000000001</v>
      </c>
      <c r="K10" s="10">
        <f>E10-F10-J10-Investitionsrechnung!D64</f>
        <v>-5468.6999863004276</v>
      </c>
      <c r="L10" s="10">
        <f>K10*Investitionsrechnung!D61</f>
        <v>-2296.8539942461794</v>
      </c>
      <c r="M10" s="24">
        <f t="shared" si="2"/>
        <v>-4117.1283166866542</v>
      </c>
      <c r="N10" s="24">
        <f t="shared" si="4"/>
        <v>-20375.236029921296</v>
      </c>
    </row>
    <row r="11" spans="2:14" x14ac:dyDescent="0.25">
      <c r="B11" s="23">
        <v>2031</v>
      </c>
      <c r="C11" s="25">
        <f>Investitionsrechnung!D47*(1+Investitionsrechnung!D48)^(6-1)</f>
        <v>9767.9495200204001</v>
      </c>
      <c r="D11" s="25">
        <f>Investitionsrechnung!D58*(1+Investitionsrechnung!D48)^(6-1)</f>
        <v>2891.3096106172256</v>
      </c>
      <c r="E11" s="25">
        <f t="shared" si="0"/>
        <v>6876.6399094031749</v>
      </c>
      <c r="F11" s="25">
        <f>H10*IF(6&lt;=Investitionsrechnung!D39,Investitionsrechnung!D35,Investitionsrechnung!D35)</f>
        <v>7708.7448750315616</v>
      </c>
      <c r="G11" s="25">
        <f>IF(H10&gt;0,MIN(Investitionsrechnung!D37-F11, H10),0)</f>
        <v>5480.2521249684378</v>
      </c>
      <c r="H11" s="25">
        <f t="shared" si="3"/>
        <v>197381.45511270422</v>
      </c>
      <c r="I11" s="25">
        <f t="shared" si="1"/>
        <v>-6312.3570905968245</v>
      </c>
      <c r="J11" s="25">
        <f>Investitionsrechnung!D63</f>
        <v>4334.3440000000001</v>
      </c>
      <c r="K11" s="25">
        <f>E11-F11-J11-Investitionsrechnung!D64</f>
        <v>-5166.4489656283868</v>
      </c>
      <c r="L11" s="25">
        <f>K11*Investitionsrechnung!D61</f>
        <v>-2169.9085655639224</v>
      </c>
      <c r="M11" s="26">
        <f t="shared" si="2"/>
        <v>-4142.4485250329017</v>
      </c>
      <c r="N11" s="26">
        <f t="shared" si="4"/>
        <v>-24517.684554954198</v>
      </c>
    </row>
    <row r="12" spans="2:14" x14ac:dyDescent="0.25">
      <c r="B12" s="23">
        <v>2032</v>
      </c>
      <c r="C12" s="10">
        <f>Investitionsrechnung!D47*(1+Investitionsrechnung!D48)^(7-1)</f>
        <v>9914.468762820703</v>
      </c>
      <c r="D12" s="10">
        <f>Investitionsrechnung!D58*(1+Investitionsrechnung!D48)^(7-1)</f>
        <v>2934.679254776483</v>
      </c>
      <c r="E12" s="10">
        <f t="shared" si="0"/>
        <v>6979.7895080442195</v>
      </c>
      <c r="F12" s="10">
        <f>H11*IF(7&lt;=Investitionsrechnung!D39,Investitionsrechnung!D35,Investitionsrechnung!D35)</f>
        <v>7500.4952942827604</v>
      </c>
      <c r="G12" s="10">
        <f>IF(H11&gt;0,MIN(Investitionsrechnung!D37-F12, H11),0)</f>
        <v>5688.501705717239</v>
      </c>
      <c r="H12" s="10">
        <f t="shared" si="3"/>
        <v>191692.95340698698</v>
      </c>
      <c r="I12" s="10">
        <f t="shared" si="1"/>
        <v>-6209.2074919557799</v>
      </c>
      <c r="J12" s="10">
        <f>Investitionsrechnung!D63</f>
        <v>4334.3440000000001</v>
      </c>
      <c r="K12" s="10">
        <f>E12-F12-J12-Investitionsrechnung!D64</f>
        <v>-4855.0497862385409</v>
      </c>
      <c r="L12" s="10">
        <f>K12*Investitionsrechnung!D61</f>
        <v>-2039.1209102201872</v>
      </c>
      <c r="M12" s="24">
        <f t="shared" si="2"/>
        <v>-4170.0865817355925</v>
      </c>
      <c r="N12" s="24">
        <f t="shared" si="4"/>
        <v>-28687.771136689789</v>
      </c>
    </row>
    <row r="13" spans="2:14" x14ac:dyDescent="0.25">
      <c r="B13" s="23">
        <v>2033</v>
      </c>
      <c r="C13" s="25">
        <f>Investitionsrechnung!D47*(1+Investitionsrechnung!D48)^(8-1)</f>
        <v>10063.185794263012</v>
      </c>
      <c r="D13" s="25">
        <f>Investitionsrechnung!D58*(1+Investitionsrechnung!D48)^(8-1)</f>
        <v>2978.6994435981301</v>
      </c>
      <c r="E13" s="25">
        <f t="shared" si="0"/>
        <v>7084.4863506648817</v>
      </c>
      <c r="F13" s="25">
        <f>H12*IF(8&lt;=Investitionsrechnung!D39,Investitionsrechnung!D35,Investitionsrechnung!D35)</f>
        <v>7284.3322294655054</v>
      </c>
      <c r="G13" s="25">
        <f>IF(H12&gt;0,MIN(Investitionsrechnung!D37-F13, H12),0)</f>
        <v>5904.664770534494</v>
      </c>
      <c r="H13" s="25">
        <f t="shared" si="3"/>
        <v>185788.28863645249</v>
      </c>
      <c r="I13" s="25">
        <f t="shared" si="1"/>
        <v>-6104.5106493351177</v>
      </c>
      <c r="J13" s="25">
        <f>Investitionsrechnung!D63</f>
        <v>4334.3440000000001</v>
      </c>
      <c r="K13" s="25">
        <f>E13-F13-J13-Investitionsrechnung!D64</f>
        <v>-4534.1898788006238</v>
      </c>
      <c r="L13" s="25">
        <f>K13*Investitionsrechnung!D61</f>
        <v>-1904.359749096262</v>
      </c>
      <c r="M13" s="26">
        <f t="shared" si="2"/>
        <v>-4200.1509002388557</v>
      </c>
      <c r="N13" s="26">
        <f t="shared" si="4"/>
        <v>-32887.922036928649</v>
      </c>
    </row>
    <row r="14" spans="2:14" x14ac:dyDescent="0.25">
      <c r="B14" s="23">
        <v>2034</v>
      </c>
      <c r="C14" s="10">
        <f>Investitionsrechnung!D47*(1+Investitionsrechnung!D48)^(9-1)</f>
        <v>10214.133581176957</v>
      </c>
      <c r="D14" s="10">
        <f>Investitionsrechnung!D58*(1+Investitionsrechnung!D48)^(9-1)</f>
        <v>3023.3799352521019</v>
      </c>
      <c r="E14" s="10">
        <f t="shared" si="0"/>
        <v>7190.7536459248549</v>
      </c>
      <c r="F14" s="10">
        <f>H13*IF(9&lt;=Investitionsrechnung!D39,Investitionsrechnung!D35,Investitionsrechnung!D35)</f>
        <v>7059.954968185194</v>
      </c>
      <c r="G14" s="10">
        <f>IF(H13&gt;0,MIN(Investitionsrechnung!D37-F14, H13),0)</f>
        <v>6129.0420318148053</v>
      </c>
      <c r="H14" s="10">
        <f t="shared" si="3"/>
        <v>179659.24660463768</v>
      </c>
      <c r="I14" s="10">
        <f t="shared" si="1"/>
        <v>-5998.2433540751445</v>
      </c>
      <c r="J14" s="10">
        <f>Investitionsrechnung!D63</f>
        <v>4334.3440000000001</v>
      </c>
      <c r="K14" s="10">
        <f>E14-F14-J14-Investitionsrechnung!D64</f>
        <v>-4203.5453222603392</v>
      </c>
      <c r="L14" s="10">
        <f>K14*Investitionsrechnung!D61</f>
        <v>-1765.4890353493424</v>
      </c>
      <c r="M14" s="24">
        <f t="shared" si="2"/>
        <v>-4232.7543187258016</v>
      </c>
      <c r="N14" s="24">
        <f t="shared" si="4"/>
        <v>-37120.676355654447</v>
      </c>
    </row>
    <row r="15" spans="2:14" x14ac:dyDescent="0.25">
      <c r="B15" s="23">
        <v>2035</v>
      </c>
      <c r="C15" s="25">
        <f>Investitionsrechnung!D47*(1+Investitionsrechnung!D48)^(10-1)</f>
        <v>10367.345584894611</v>
      </c>
      <c r="D15" s="25">
        <f>Investitionsrechnung!D58*(1+Investitionsrechnung!D48)^(10-1)</f>
        <v>3068.7306342808829</v>
      </c>
      <c r="E15" s="25">
        <f t="shared" si="0"/>
        <v>7298.6149506137281</v>
      </c>
      <c r="F15" s="25">
        <f>H14*IF(10&lt;=Investitionsrechnung!D39,Investitionsrechnung!D35,Investitionsrechnung!D35)</f>
        <v>6827.0513709762317</v>
      </c>
      <c r="G15" s="25">
        <f>IF(H14&gt;0,MIN(Investitionsrechnung!D37-F15, H14),0)</f>
        <v>6361.9456290237677</v>
      </c>
      <c r="H15" s="25">
        <f t="shared" si="3"/>
        <v>173297.30097561391</v>
      </c>
      <c r="I15" s="25">
        <f t="shared" si="1"/>
        <v>-5890.3820493862713</v>
      </c>
      <c r="J15" s="25">
        <f>Investitionsrechnung!D63</f>
        <v>4334.3440000000001</v>
      </c>
      <c r="K15" s="25">
        <f>E15-F15-J15-Investitionsrechnung!D64</f>
        <v>-3862.7804203625037</v>
      </c>
      <c r="L15" s="25">
        <f>K15*Investitionsrechnung!D61</f>
        <v>-1622.3677765522516</v>
      </c>
      <c r="M15" s="26">
        <f t="shared" si="2"/>
        <v>-4268.0142728340197</v>
      </c>
      <c r="N15" s="26">
        <f t="shared" si="4"/>
        <v>-41388.690628488468</v>
      </c>
    </row>
    <row r="16" spans="2:14" x14ac:dyDescent="0.25">
      <c r="B16" s="23">
        <v>2036</v>
      </c>
      <c r="C16" s="10">
        <f>Investitionsrechnung!D47*(1+Investitionsrechnung!D48)^(11-1)</f>
        <v>10522.855768668027</v>
      </c>
      <c r="D16" s="10">
        <f>Investitionsrechnung!D58*(1+Investitionsrechnung!D48)^(11-1)</f>
        <v>3114.7615937950959</v>
      </c>
      <c r="E16" s="10">
        <f t="shared" si="0"/>
        <v>7408.094174872931</v>
      </c>
      <c r="F16" s="10">
        <f>H15*IF(11&lt;=Investitionsrechnung!D39,Investitionsrechnung!D35,Investitionsrechnung!D35)</f>
        <v>6585.2974370733282</v>
      </c>
      <c r="G16" s="10">
        <f>IF(H15&gt;0,MIN(Investitionsrechnung!D37-F16, H15),0)</f>
        <v>6603.6995629266712</v>
      </c>
      <c r="H16" s="10">
        <f t="shared" si="3"/>
        <v>166693.60141268725</v>
      </c>
      <c r="I16" s="10">
        <f t="shared" si="1"/>
        <v>-5780.9028251270684</v>
      </c>
      <c r="J16" s="10">
        <f>Investitionsrechnung!D63</f>
        <v>4334.3440000000001</v>
      </c>
      <c r="K16" s="10">
        <f>E16-F16-J16-Investitionsrechnung!D64</f>
        <v>-3511.5472622003972</v>
      </c>
      <c r="L16" s="10">
        <f>K16*Investitionsrechnung!D61</f>
        <v>-1474.8498501241668</v>
      </c>
      <c r="M16" s="24">
        <f t="shared" si="2"/>
        <v>-4306.0529750029018</v>
      </c>
      <c r="N16" s="24">
        <f t="shared" si="4"/>
        <v>-45694.74360349137</v>
      </c>
    </row>
    <row r="17" spans="2:14" x14ac:dyDescent="0.25">
      <c r="B17" s="23">
        <v>2037</v>
      </c>
      <c r="C17" s="25">
        <f>Investitionsrechnung!D47*(1+Investitionsrechnung!D48)^(12-1)</f>
        <v>10680.698605198048</v>
      </c>
      <c r="D17" s="25">
        <f>Investitionsrechnung!D58*(1+Investitionsrechnung!D48)^(12-1)</f>
        <v>3161.4830177020217</v>
      </c>
      <c r="E17" s="25">
        <f t="shared" si="0"/>
        <v>7519.2155874960263</v>
      </c>
      <c r="F17" s="25">
        <f>H16*IF(12&lt;=Investitionsrechnung!D39,Investitionsrechnung!D35,Investitionsrechnung!D35)</f>
        <v>6334.3568536821149</v>
      </c>
      <c r="G17" s="25">
        <f>IF(H16&gt;0,MIN(Investitionsrechnung!D37-F17, H16),0)</f>
        <v>6854.6401463178845</v>
      </c>
      <c r="H17" s="25">
        <f t="shared" si="3"/>
        <v>159838.96126636936</v>
      </c>
      <c r="I17" s="25">
        <f t="shared" si="1"/>
        <v>-5669.7814125039731</v>
      </c>
      <c r="J17" s="25">
        <f>Investitionsrechnung!D63</f>
        <v>4334.3440000000001</v>
      </c>
      <c r="K17" s="25">
        <f>E17-F17-J17-Investitionsrechnung!D64</f>
        <v>-3149.4852661860887</v>
      </c>
      <c r="L17" s="25">
        <f>K17*Investitionsrechnung!D61</f>
        <v>-1322.7838117981571</v>
      </c>
      <c r="M17" s="26">
        <f t="shared" si="2"/>
        <v>-4346.9976007058158</v>
      </c>
      <c r="N17" s="26">
        <f t="shared" si="4"/>
        <v>-50041.741204197184</v>
      </c>
    </row>
    <row r="18" spans="2:14" x14ac:dyDescent="0.25">
      <c r="B18" s="23">
        <v>2038</v>
      </c>
      <c r="C18" s="10">
        <f>Investitionsrechnung!D47*(1+Investitionsrechnung!D48)^(13-1)</f>
        <v>10840.909084276016</v>
      </c>
      <c r="D18" s="10">
        <f>Investitionsrechnung!D58*(1+Investitionsrechnung!D48)^(13-1)</f>
        <v>3208.9052629675516</v>
      </c>
      <c r="E18" s="10">
        <f t="shared" si="0"/>
        <v>7632.0038213084645</v>
      </c>
      <c r="F18" s="10">
        <f>H17*IF(13&lt;=Investitionsrechnung!D39,Investitionsrechnung!D35,Investitionsrechnung!D35)</f>
        <v>6073.8805281220357</v>
      </c>
      <c r="G18" s="10">
        <f>IF(H17&gt;0,MIN(Investitionsrechnung!D37-F18, H17),0)</f>
        <v>7115.1164718779637</v>
      </c>
      <c r="H18" s="10">
        <f t="shared" si="3"/>
        <v>152723.84479449139</v>
      </c>
      <c r="I18" s="10">
        <f t="shared" si="1"/>
        <v>-5556.9931786915349</v>
      </c>
      <c r="J18" s="10">
        <f>Investitionsrechnung!D63</f>
        <v>4334.3440000000001</v>
      </c>
      <c r="K18" s="10">
        <f>E18-F18-J18-Investitionsrechnung!D64</f>
        <v>-2776.2207068135713</v>
      </c>
      <c r="L18" s="10">
        <f>K18*Investitionsrechnung!D61</f>
        <v>-1166.0126968616999</v>
      </c>
      <c r="M18" s="24">
        <f t="shared" si="2"/>
        <v>-4390.9804818298353</v>
      </c>
      <c r="N18" s="24">
        <f t="shared" si="4"/>
        <v>-54432.72168602702</v>
      </c>
    </row>
    <row r="19" spans="2:14" x14ac:dyDescent="0.25">
      <c r="B19" s="23">
        <v>2039</v>
      </c>
      <c r="C19" s="25">
        <f>Investitionsrechnung!D47*(1+Investitionsrechnung!D48)^(14-1)</f>
        <v>11003.522720540155</v>
      </c>
      <c r="D19" s="25">
        <f>Investitionsrechnung!D58*(1+Investitionsrechnung!D48)^(14-1)</f>
        <v>3257.0388419120645</v>
      </c>
      <c r="E19" s="25">
        <f t="shared" si="0"/>
        <v>7746.4838786280907</v>
      </c>
      <c r="F19" s="25">
        <f>H18*IF(14&lt;=Investitionsrechnung!D39,Investitionsrechnung!D35,Investitionsrechnung!D35)</f>
        <v>5803.5061021906731</v>
      </c>
      <c r="G19" s="25">
        <f>IF(H18&gt;0,MIN(Investitionsrechnung!D37-F19, H18),0)</f>
        <v>7385.4908978093263</v>
      </c>
      <c r="H19" s="25">
        <f t="shared" si="3"/>
        <v>145338.35389668206</v>
      </c>
      <c r="I19" s="25">
        <f t="shared" si="1"/>
        <v>-5442.5131213719087</v>
      </c>
      <c r="J19" s="25">
        <f>Investitionsrechnung!D63</f>
        <v>4334.3440000000001</v>
      </c>
      <c r="K19" s="25">
        <f>E19-F19-J19-Investitionsrechnung!D64</f>
        <v>-2391.3662235625825</v>
      </c>
      <c r="L19" s="25">
        <f>K19*Investitionsrechnung!D61</f>
        <v>-1004.3738138962846</v>
      </c>
      <c r="M19" s="26">
        <f t="shared" si="2"/>
        <v>-4438.1393074756243</v>
      </c>
      <c r="N19" s="26">
        <f t="shared" si="4"/>
        <v>-58870.860993502647</v>
      </c>
    </row>
    <row r="20" spans="2:14" x14ac:dyDescent="0.25">
      <c r="B20" s="23">
        <v>2040</v>
      </c>
      <c r="C20" s="10">
        <f>Investitionsrechnung!D47*(1+Investitionsrechnung!D48)^(15-1)</f>
        <v>11168.575561348254</v>
      </c>
      <c r="D20" s="10">
        <f>Investitionsrechnung!D58*(1+Investitionsrechnung!D48)^(15-1)</f>
        <v>3305.8944245407447</v>
      </c>
      <c r="E20" s="10">
        <f t="shared" si="0"/>
        <v>7862.6811368075096</v>
      </c>
      <c r="F20" s="10">
        <f>H19*IF(15&lt;=Investitionsrechnung!D39,Investitionsrechnung!D35,Investitionsrechnung!D35)</f>
        <v>5522.857448073918</v>
      </c>
      <c r="G20" s="10">
        <f>IF(H19&gt;0,MIN(Investitionsrechnung!D37-F20, H19),0)</f>
        <v>7666.1395519260814</v>
      </c>
      <c r="H20" s="10">
        <f t="shared" si="3"/>
        <v>137672.21434475598</v>
      </c>
      <c r="I20" s="10">
        <f t="shared" si="1"/>
        <v>-5326.3158631924898</v>
      </c>
      <c r="J20" s="10">
        <f>Investitionsrechnung!D63</f>
        <v>4334.3440000000001</v>
      </c>
      <c r="K20" s="10">
        <f>E20-F20-J20-Investitionsrechnung!D64</f>
        <v>-1994.5203112664085</v>
      </c>
      <c r="L20" s="10">
        <f>K20*Investitionsrechnung!D61</f>
        <v>-837.69853073189154</v>
      </c>
      <c r="M20" s="24">
        <f t="shared" si="2"/>
        <v>-4488.6173324605979</v>
      </c>
      <c r="N20" s="24">
        <f t="shared" si="4"/>
        <v>-63359.478325963246</v>
      </c>
    </row>
    <row r="21" spans="2:14" ht="24" customHeight="1" x14ac:dyDescent="0.25">
      <c r="B21" s="27" t="s">
        <v>93</v>
      </c>
      <c r="C21" s="28">
        <f>SUM(C6:C20)</f>
        <v>151260.27965123317</v>
      </c>
      <c r="D21" s="28">
        <f>SUM(D6:D20)</f>
        <v>44772.989393924123</v>
      </c>
      <c r="E21" s="28">
        <f>SUM(E6:E20)</f>
        <v>106487.29025730904</v>
      </c>
      <c r="F21" s="28">
        <f>SUM(F6:F20)</f>
        <v>108110.66934475597</v>
      </c>
      <c r="G21" s="28">
        <f>SUM(G6:G20)</f>
        <v>89724.285655244021</v>
      </c>
      <c r="H21" s="28">
        <f>H20</f>
        <v>137672.21434475598</v>
      </c>
      <c r="I21" s="28">
        <f>SUM(I6:I20)</f>
        <v>-91347.664742690962</v>
      </c>
      <c r="J21" s="28">
        <f>SUM(J6:J20)</f>
        <v>65015.159999999982</v>
      </c>
      <c r="K21" s="28">
        <f>SUM(K6:K20)</f>
        <v>-66638.539087446901</v>
      </c>
      <c r="L21" s="28">
        <f>SUM(L6:L20)</f>
        <v>-27988.186416727698</v>
      </c>
      <c r="M21" s="28">
        <f>SUM(M6:M20)</f>
        <v>-63359.478325963246</v>
      </c>
      <c r="N21" s="29">
        <f>N20</f>
        <v>-63359.478325963246</v>
      </c>
    </row>
    <row r="24" spans="2:14" ht="21.75" customHeight="1" x14ac:dyDescent="0.25">
      <c r="B24" s="41" t="s">
        <v>94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</row>
    <row r="25" spans="2:14" x14ac:dyDescent="0.25">
      <c r="B25" s="43" t="s">
        <v>95</v>
      </c>
      <c r="C25" s="43"/>
      <c r="D25" s="42">
        <f>C21</f>
        <v>151260.27965123317</v>
      </c>
      <c r="E25" s="42"/>
      <c r="F25" s="43" t="s">
        <v>96</v>
      </c>
      <c r="G25" s="43"/>
      <c r="H25" s="42">
        <f>G21</f>
        <v>89724.285655244021</v>
      </c>
      <c r="I25" s="42"/>
      <c r="J25" s="43" t="s">
        <v>97</v>
      </c>
      <c r="K25" s="43"/>
      <c r="L25" s="43"/>
      <c r="M25" s="42">
        <f>H20</f>
        <v>137672.21434475598</v>
      </c>
      <c r="N25" s="42"/>
    </row>
    <row r="26" spans="2:14" x14ac:dyDescent="0.25">
      <c r="B26" s="43" t="s">
        <v>98</v>
      </c>
      <c r="C26" s="43"/>
      <c r="D26" s="42">
        <f>F21</f>
        <v>108110.66934475597</v>
      </c>
      <c r="E26" s="42"/>
      <c r="F26" s="43" t="s">
        <v>99</v>
      </c>
      <c r="G26" s="43"/>
      <c r="H26" s="42">
        <f>N20</f>
        <v>-63359.478325963246</v>
      </c>
      <c r="I26" s="42"/>
      <c r="J26" s="43" t="s">
        <v>100</v>
      </c>
      <c r="K26" s="43"/>
      <c r="L26" s="43"/>
      <c r="M26" s="42">
        <f>N20+G21</f>
        <v>26364.807329280775</v>
      </c>
      <c r="N26" s="42"/>
    </row>
    <row r="27" spans="2:14" x14ac:dyDescent="0.25">
      <c r="B27" s="43" t="s">
        <v>101</v>
      </c>
      <c r="C27" s="43"/>
      <c r="D27" s="42">
        <f>M21/15</f>
        <v>-4223.9652217308831</v>
      </c>
      <c r="E27" s="42"/>
      <c r="F27" s="43" t="s">
        <v>102</v>
      </c>
      <c r="G27" s="43"/>
      <c r="H27" s="44">
        <f>(N20/15)/Investitionsrechnung!D32</f>
        <v>-7.0399420362181386E-2</v>
      </c>
      <c r="I27" s="44"/>
      <c r="J27" s="43" t="s">
        <v>103</v>
      </c>
      <c r="K27" s="43"/>
      <c r="L27" s="43"/>
      <c r="M27" s="44">
        <f>((N20+G21)/15)/Investitionsrechnung!D32</f>
        <v>2.9294230365867528E-2</v>
      </c>
      <c r="N27" s="44"/>
    </row>
    <row r="29" spans="2:14" ht="42" customHeight="1" x14ac:dyDescent="0.25">
      <c r="B29" s="32" t="s">
        <v>104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</row>
  </sheetData>
  <mergeCells count="22">
    <mergeCell ref="B2:N2"/>
    <mergeCell ref="B3:N3"/>
    <mergeCell ref="B24:N24"/>
    <mergeCell ref="B25:C25"/>
    <mergeCell ref="D25:E25"/>
    <mergeCell ref="F25:G25"/>
    <mergeCell ref="H25:I25"/>
    <mergeCell ref="J25:L25"/>
    <mergeCell ref="M25:N25"/>
    <mergeCell ref="B29:N29"/>
    <mergeCell ref="M26:N26"/>
    <mergeCell ref="B27:C27"/>
    <mergeCell ref="D27:E27"/>
    <mergeCell ref="F27:G27"/>
    <mergeCell ref="H27:I27"/>
    <mergeCell ref="J27:L27"/>
    <mergeCell ref="M27:N27"/>
    <mergeCell ref="B26:C26"/>
    <mergeCell ref="D26:E26"/>
    <mergeCell ref="F26:G26"/>
    <mergeCell ref="H26:I26"/>
    <mergeCell ref="J26:L26"/>
  </mergeCells>
  <conditionalFormatting sqref="I6:I20">
    <cfRule type="cellIs" dxfId="3" priority="2" operator="lessThan">
      <formula>0</formula>
    </cfRule>
    <cfRule type="cellIs" dxfId="2" priority="3" operator="greaterThan">
      <formula>0</formula>
    </cfRule>
  </conditionalFormatting>
  <conditionalFormatting sqref="M6:M20">
    <cfRule type="cellIs" dxfId="1" priority="4" operator="lessThan">
      <formula>0</formula>
    </cfRule>
    <cfRule type="cellIs" dxfId="0" priority="5" operator="greaterThan">
      <formula>0</formula>
    </cfRule>
  </conditionalFormatting>
  <printOptions horizontalCentered="1"/>
  <pageMargins left="0.3" right="0.3" top="0.5" bottom="0.5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Investitionsrechnung</vt:lpstr>
      <vt:lpstr>Prognose &amp; Tilgung</vt:lpstr>
      <vt:lpstr>Investitionsrechnung!Druckbereich</vt:lpstr>
      <vt:lpstr>'Prognose &amp; Tilgung'!Druckbereich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2026-06-10T05:10:52Z</dcterms:created>
  <dcterms:modified xsi:type="dcterms:W3CDTF">2026-06-10T06:55:21Z</dcterms:modified>
  <dc:language>en-US</dc:language>
</cp:coreProperties>
</file>