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F1F5C568-EAE2-4A62-B484-87B3467481B4}" xr6:coauthVersionLast="47" xr6:coauthVersionMax="47" xr10:uidLastSave="{00000000-0000-0000-0000-000000000000}"/>
  <bookViews>
    <workbookView xWindow="1035" yWindow="1035" windowWidth="25500" windowHeight="13500" xr2:uid="{00000000-000D-0000-FFFF-FFFF00000000}"/>
  </bookViews>
  <sheets>
    <sheet name="Hauskauf-Rechner" sheetId="1" r:id="rId1"/>
    <sheet name="Objektvergleich" sheetId="2" r:id="rId2"/>
    <sheet name="Einstellunge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2" l="1"/>
  <c r="N12" i="2" s="1"/>
  <c r="J12" i="2"/>
  <c r="K12" i="2" s="1"/>
  <c r="M12" i="2" s="1"/>
  <c r="L11" i="2"/>
  <c r="J11" i="2"/>
  <c r="K11" i="2" s="1"/>
  <c r="L10" i="2"/>
  <c r="J10" i="2"/>
  <c r="K10" i="2" s="1"/>
  <c r="L9" i="2"/>
  <c r="J9" i="2"/>
  <c r="K9" i="2" s="1"/>
  <c r="M9" i="2" s="1"/>
  <c r="L8" i="2"/>
  <c r="J8" i="2"/>
  <c r="K8" i="2" s="1"/>
  <c r="M8" i="2" s="1"/>
  <c r="L7" i="2"/>
  <c r="N7" i="2" s="1"/>
  <c r="J7" i="2"/>
  <c r="K7" i="2" s="1"/>
  <c r="M7" i="2" s="1"/>
  <c r="L6" i="2"/>
  <c r="T6" i="2" s="1"/>
  <c r="J6" i="2"/>
  <c r="K6" i="2" s="1"/>
  <c r="M6" i="2" s="1"/>
  <c r="L5" i="2"/>
  <c r="J5" i="2"/>
  <c r="K5" i="2" s="1"/>
  <c r="C46" i="1"/>
  <c r="B46" i="1"/>
  <c r="E16" i="1"/>
  <c r="I15" i="1"/>
  <c r="I14" i="1"/>
  <c r="E13" i="1"/>
  <c r="I12" i="1"/>
  <c r="E11" i="1"/>
  <c r="I18" i="1" s="1"/>
  <c r="B11" i="1"/>
  <c r="E6" i="1" s="1"/>
  <c r="E10" i="1"/>
  <c r="I17" i="1" s="1"/>
  <c r="E9" i="1"/>
  <c r="I16" i="1" s="1"/>
  <c r="E8" i="1"/>
  <c r="E7" i="1"/>
  <c r="E5" i="1"/>
  <c r="N5" i="2" l="1"/>
  <c r="N8" i="2"/>
  <c r="M10" i="2"/>
  <c r="N10" i="2"/>
  <c r="N9" i="2"/>
  <c r="E19" i="1"/>
  <c r="I13" i="1"/>
  <c r="E12" i="1"/>
  <c r="M11" i="2"/>
  <c r="N11" i="2"/>
  <c r="R6" i="2"/>
  <c r="M5" i="2"/>
  <c r="C43" i="1"/>
  <c r="N6" i="2"/>
  <c r="B43" i="1"/>
  <c r="R7" i="2" l="1"/>
  <c r="T7" i="2"/>
  <c r="R5" i="2"/>
  <c r="T5" i="2"/>
  <c r="E22" i="1"/>
  <c r="L8" i="1" s="1"/>
  <c r="H6" i="1"/>
  <c r="E14" i="1"/>
  <c r="E20" i="1"/>
  <c r="J8" i="1"/>
  <c r="J6" i="1" l="1"/>
  <c r="E15" i="1"/>
  <c r="B27" i="1"/>
  <c r="D27" i="1" l="1"/>
  <c r="G27" i="1" s="1"/>
  <c r="C35" i="1"/>
  <c r="E17" i="1"/>
  <c r="C34" i="1"/>
  <c r="L6" i="1"/>
  <c r="C31" i="1"/>
  <c r="C33" i="1"/>
  <c r="C30" i="1"/>
  <c r="C38" i="1"/>
  <c r="C32" i="1"/>
  <c r="C29" i="1"/>
  <c r="C27" i="1"/>
  <c r="E27" i="1" s="1"/>
  <c r="H27" i="1" s="1"/>
  <c r="C28" i="1"/>
  <c r="C36" i="1"/>
  <c r="C37" i="1"/>
  <c r="E18" i="1"/>
  <c r="C45" i="1" l="1"/>
  <c r="H8" i="1"/>
  <c r="E21" i="1"/>
  <c r="N6" i="1" s="1"/>
  <c r="B45" i="1"/>
  <c r="N8" i="1"/>
  <c r="B44" i="1"/>
  <c r="C44" i="1"/>
  <c r="F27" i="1"/>
  <c r="B28" i="1" s="1"/>
  <c r="D28" i="1" l="1"/>
  <c r="G28" i="1" l="1"/>
  <c r="E28" i="1"/>
  <c r="H28" i="1" l="1"/>
  <c r="F28" i="1"/>
  <c r="B29" i="1" s="1"/>
  <c r="D29" i="1" l="1"/>
  <c r="E29" i="1" l="1"/>
  <c r="G29" i="1"/>
  <c r="F29" i="1" l="1"/>
  <c r="B30" i="1" s="1"/>
  <c r="H29" i="1"/>
  <c r="D30" i="1" l="1"/>
  <c r="E30" i="1" l="1"/>
  <c r="G30" i="1"/>
  <c r="F30" i="1" l="1"/>
  <c r="B31" i="1" s="1"/>
  <c r="H30" i="1"/>
  <c r="D31" i="1" l="1"/>
  <c r="E31" i="1" l="1"/>
  <c r="G31" i="1"/>
  <c r="H31" i="1" l="1"/>
  <c r="F31" i="1"/>
  <c r="B32" i="1" s="1"/>
  <c r="D32" i="1" l="1"/>
  <c r="E32" i="1" l="1"/>
  <c r="G32" i="1"/>
  <c r="F32" i="1" l="1"/>
  <c r="B33" i="1" s="1"/>
  <c r="H32" i="1"/>
  <c r="D33" i="1" l="1"/>
  <c r="E33" i="1" l="1"/>
  <c r="G33" i="1"/>
  <c r="F33" i="1" l="1"/>
  <c r="B34" i="1" s="1"/>
  <c r="H33" i="1"/>
  <c r="D34" i="1" l="1"/>
  <c r="E34" i="1" l="1"/>
  <c r="G34" i="1"/>
  <c r="H34" i="1" l="1"/>
  <c r="F34" i="1"/>
  <c r="B35" i="1" s="1"/>
  <c r="D35" i="1" l="1"/>
  <c r="E35" i="1" l="1"/>
  <c r="G35" i="1"/>
  <c r="F35" i="1" l="1"/>
  <c r="B36" i="1" s="1"/>
  <c r="H35" i="1"/>
  <c r="D36" i="1" l="1"/>
  <c r="E36" i="1" l="1"/>
  <c r="G36" i="1"/>
  <c r="H36" i="1" l="1"/>
  <c r="F36" i="1"/>
  <c r="B37" i="1" s="1"/>
  <c r="D37" i="1" l="1"/>
  <c r="E37" i="1" l="1"/>
  <c r="G37" i="1"/>
  <c r="H37" i="1" l="1"/>
  <c r="F37" i="1"/>
  <c r="B38" i="1" s="1"/>
  <c r="D38" i="1" l="1"/>
  <c r="E38" i="1" l="1"/>
  <c r="G38" i="1"/>
  <c r="H38" i="1" l="1"/>
  <c r="F38" i="1"/>
</calcChain>
</file>

<file path=xl/sharedStrings.xml><?xml version="1.0" encoding="utf-8"?>
<sst xmlns="http://schemas.openxmlformats.org/spreadsheetml/2006/main" count="235" uniqueCount="148">
  <si>
    <t>Generische Beispielvorlage für Kaufkosten, Nebenkosten, Finanzierung, Budget und Tilgungsübersicht. Beispielwerte bitte ersetzen.</t>
  </si>
  <si>
    <t>Eingaben</t>
  </si>
  <si>
    <t>Kaufkosten &amp; Finanzierung</t>
  </si>
  <si>
    <t>Ergebnisübersicht</t>
  </si>
  <si>
    <t>Objekt / Variante</t>
  </si>
  <si>
    <t>Beispielobjekt 2026</t>
  </si>
  <si>
    <t>Kaufpreis</t>
  </si>
  <si>
    <t>€</t>
  </si>
  <si>
    <t>Gesamtkosten</t>
  </si>
  <si>
    <t>Finanzierungsbedarf</t>
  </si>
  <si>
    <t>Monatliche Rate</t>
  </si>
  <si>
    <t>Status</t>
  </si>
  <si>
    <t>Bundesland</t>
  </si>
  <si>
    <t>Niedersachsen</t>
  </si>
  <si>
    <t>Grunderwerbsteuer</t>
  </si>
  <si>
    <t>Notar + Grundbuch</t>
  </si>
  <si>
    <t>Restbudget nach Rate</t>
  </si>
  <si>
    <t>Kaufnebenkosten</t>
  </si>
  <si>
    <t>Eigenkapitalquote</t>
  </si>
  <si>
    <t>Belastungsquote</t>
  </si>
  <si>
    <t>Makler beauftragt?</t>
  </si>
  <si>
    <t>Ja</t>
  </si>
  <si>
    <t>Maklerkosten</t>
  </si>
  <si>
    <t>Maklerprovision Käuferanteil</t>
  </si>
  <si>
    <t>%</t>
  </si>
  <si>
    <t>Modernisierung / Sanierung</t>
  </si>
  <si>
    <t>Umzug &amp; Einrichtung</t>
  </si>
  <si>
    <t>Sicherheitspuffer</t>
  </si>
  <si>
    <t>Kostenart</t>
  </si>
  <si>
    <t>Betrag</t>
  </si>
  <si>
    <t>Eigenkapital</t>
  </si>
  <si>
    <t>Eigenkapital verfügbar</t>
  </si>
  <si>
    <t>Zinssatz p.a.</t>
  </si>
  <si>
    <t>Freies Budget vor Rate</t>
  </si>
  <si>
    <t>Modernisierung</t>
  </si>
  <si>
    <t>Anfängliche Tilgung p.a.</t>
  </si>
  <si>
    <t>Zinsbindung</t>
  </si>
  <si>
    <t>Jahre</t>
  </si>
  <si>
    <t>Monatliches Haushaltsnetto</t>
  </si>
  <si>
    <t>Kaufnebenkosten gesamt</t>
  </si>
  <si>
    <t>Bestehende monatliche Fixkosten</t>
  </si>
  <si>
    <t>Kaufnebenkostenquote</t>
  </si>
  <si>
    <t>Gewünschte Rücklage/Monat</t>
  </si>
  <si>
    <t>Beurteilung</t>
  </si>
  <si>
    <t>Max. Belastungsquote</t>
  </si>
  <si>
    <t>Tilgungsplan – erste 12 Monate</t>
  </si>
  <si>
    <t>Monat</t>
  </si>
  <si>
    <t>Anfangsschuld</t>
  </si>
  <si>
    <t>Rate</t>
  </si>
  <si>
    <t>Zinsanteil</t>
  </si>
  <si>
    <t>Tilgung</t>
  </si>
  <si>
    <t>Restschuld</t>
  </si>
  <si>
    <t>Kumulierte Zinsen</t>
  </si>
  <si>
    <t>Kumulierte Tilgung</t>
  </si>
  <si>
    <t>Plausibilitäts-Check</t>
  </si>
  <si>
    <t>Prüfpunkt</t>
  </si>
  <si>
    <t>Ergebnis</t>
  </si>
  <si>
    <t>Hinweis</t>
  </si>
  <si>
    <t>Eigenkapital deckt Kaufnebenkosten?</t>
  </si>
  <si>
    <t>Rate unter Belastungsquote?</t>
  </si>
  <si>
    <t>Restbudget positiv?</t>
  </si>
  <si>
    <t>Sanierungspuffer eingetragen?</t>
  </si>
  <si>
    <t>Objektvergleich Hauskauf 2026</t>
  </si>
  <si>
    <t>Vergleicht mehrere generische Kaufoptionen mit Nebenkosten, Sanierungsbudget, monatlicher Rate und Bewertungs-Score.</t>
  </si>
  <si>
    <t>Objekt</t>
  </si>
  <si>
    <t>Wohnfläche m²</t>
  </si>
  <si>
    <t>Baujahr</t>
  </si>
  <si>
    <t>Zustand</t>
  </si>
  <si>
    <t>Energieklasse</t>
  </si>
  <si>
    <t>Makler Käuferanteil</t>
  </si>
  <si>
    <t>Sanierung/Reserve</t>
  </si>
  <si>
    <t>Preis pro m²</t>
  </si>
  <si>
    <t>Rate/Monat</t>
  </si>
  <si>
    <t>Score 0-100</t>
  </si>
  <si>
    <t>Notizen</t>
  </si>
  <si>
    <t>Schnellauswertung</t>
  </si>
  <si>
    <t>Objekt A</t>
  </si>
  <si>
    <t>Gut</t>
  </si>
  <si>
    <t>C</t>
  </si>
  <si>
    <t>Beispieldaten: solide Option mit moderatem Sanierungsbedarf</t>
  </si>
  <si>
    <t>Bester Score</t>
  </si>
  <si>
    <t>Monatsrate</t>
  </si>
  <si>
    <t>Objekt B</t>
  </si>
  <si>
    <t>Bayern</t>
  </si>
  <si>
    <t>Sehr gut</t>
  </si>
  <si>
    <t>B</t>
  </si>
  <si>
    <t>Beispieldaten: höherer Kaufpreis, bessere Substanz</t>
  </si>
  <si>
    <t>Günstigste Gesamtkosten</t>
  </si>
  <si>
    <t>Preis/m²</t>
  </si>
  <si>
    <t>Objekt C</t>
  </si>
  <si>
    <t>Nordrhein-Westfalen</t>
  </si>
  <si>
    <t>Renovierungsbedürftig</t>
  </si>
  <si>
    <t>E</t>
  </si>
  <si>
    <t>Beispieldaten: günstiger Einstieg, höherer Puffer</t>
  </si>
  <si>
    <t>Niedrigste Rate</t>
  </si>
  <si>
    <t>Objekt D</t>
  </si>
  <si>
    <t>Sachsen</t>
  </si>
  <si>
    <t>Mittel</t>
  </si>
  <si>
    <t>D</t>
  </si>
  <si>
    <t>Beispieldaten: kompakt und vergleichbar</t>
  </si>
  <si>
    <t>Objekt E</t>
  </si>
  <si>
    <t>Hamburg</t>
  </si>
  <si>
    <t>Beispieldaten: teurer Markt, höhere Gesamtkosten</t>
  </si>
  <si>
    <t>Objekt F</t>
  </si>
  <si>
    <t>Thüringen</t>
  </si>
  <si>
    <t>Beispieldaten: ohne Makler angenommen</t>
  </si>
  <si>
    <t>Objekt G</t>
  </si>
  <si>
    <t>Brandenburg</t>
  </si>
  <si>
    <t>Stark sanierungsbedürftig</t>
  </si>
  <si>
    <t>F</t>
  </si>
  <si>
    <t>Beispieldaten: hoher Sanierungsblock</t>
  </si>
  <si>
    <t>Objekt H</t>
  </si>
  <si>
    <t>Rheinland-Pfalz</t>
  </si>
  <si>
    <t>Beispieldaten: ausgewogene Vergleichsoption</t>
  </si>
  <si>
    <t>Einstellungen und Listen 2026</t>
  </si>
  <si>
    <t>Beispielwerte für eine generische Hauskauf-Vorlage. Alle gelben/blauen Eingaben können angepasst werden.</t>
  </si>
  <si>
    <t>Grunderwerbsteuer 2026</t>
  </si>
  <si>
    <t>Punkte</t>
  </si>
  <si>
    <t>Liste</t>
  </si>
  <si>
    <t>Werte</t>
  </si>
  <si>
    <t>Baden-Württemberg</t>
  </si>
  <si>
    <t>A+</t>
  </si>
  <si>
    <t>A</t>
  </si>
  <si>
    <t>Nein</t>
  </si>
  <si>
    <t>Berlin</t>
  </si>
  <si>
    <t>Checkstatus</t>
  </si>
  <si>
    <t>Offen</t>
  </si>
  <si>
    <t>In Prüfung</t>
  </si>
  <si>
    <t>Bremen</t>
  </si>
  <si>
    <t>Erledigt</t>
  </si>
  <si>
    <t>Hessen</t>
  </si>
  <si>
    <t>Mecklenburg-Vorpommern</t>
  </si>
  <si>
    <t>G</t>
  </si>
  <si>
    <t>H</t>
  </si>
  <si>
    <t>Saarland</t>
  </si>
  <si>
    <t>Sachsen-Anhalt</t>
  </si>
  <si>
    <t>Schleswig-Holstein</t>
  </si>
  <si>
    <t>Parameter</t>
  </si>
  <si>
    <t>Wert</t>
  </si>
  <si>
    <t>Notar + Grundbuch (%)</t>
  </si>
  <si>
    <t>Makler Käuferanteil Standard (%)</t>
  </si>
  <si>
    <t>Zinssatz p.a. Beispiel</t>
  </si>
  <si>
    <t>Anfängliche Tilgung p.a. Beispiel</t>
  </si>
  <si>
    <t>Rücklage pro m² und Jahr</t>
  </si>
  <si>
    <t>Referenzpreis pro m² für Score</t>
  </si>
  <si>
    <t>Referenz-Gesamtkosten für Score</t>
  </si>
  <si>
    <t>Bewertungsjahr</t>
  </si>
  <si>
    <t>Hauskauf Excel Vorlage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</si>
</sst>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\€"/>
  </numFmts>
  <fonts count="14" x14ac:knownFonts="1">
    <font>
      <sz val="11"/>
      <name val="Carlito"/>
    </font>
    <font>
      <b/>
      <sz val="16"/>
      <color rgb="FFFFFFFF"/>
      <name val="Carlito"/>
    </font>
    <font>
      <i/>
      <sz val="11"/>
      <color rgb="FF555555"/>
      <name val="Carlito"/>
    </font>
    <font>
      <b/>
      <sz val="11"/>
      <color rgb="FFFFFFFF"/>
      <name val="Carlito"/>
    </font>
    <font>
      <sz val="11"/>
      <color rgb="FF0000FF"/>
      <name val="Carlito"/>
    </font>
    <font>
      <b/>
      <sz val="18"/>
      <color rgb="FFFFFFFF"/>
      <name val="Carlito"/>
    </font>
    <font>
      <b/>
      <sz val="11"/>
      <color rgb="FF000000"/>
      <name val="Carlito"/>
    </font>
    <font>
      <b/>
      <sz val="11"/>
      <color rgb="FF555555"/>
      <name val="Carlito"/>
    </font>
    <font>
      <sz val="11"/>
      <color rgb="FF008000"/>
      <name val="Carlito"/>
    </font>
    <font>
      <sz val="11"/>
      <color rgb="FF000000"/>
      <name val="Carlito"/>
    </font>
    <font>
      <b/>
      <sz val="12"/>
      <name val="Carlito"/>
    </font>
    <font>
      <b/>
      <sz val="12"/>
      <color rgb="FF000000"/>
      <name val="Carlito"/>
    </font>
    <font>
      <b/>
      <sz val="11"/>
      <name val="Carlito"/>
    </font>
    <font>
      <sz val="11"/>
      <name val="Carlito"/>
    </font>
  </fonts>
  <fills count="9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F2F2F2"/>
      </patternFill>
    </fill>
    <fill>
      <patternFill patternType="solid">
        <fgColor rgb="FFFFFFFF"/>
      </patternFill>
    </fill>
    <fill>
      <patternFill patternType="solid">
        <fgColor rgb="FFFFF2CC"/>
      </patternFill>
    </fill>
    <fill>
      <patternFill patternType="solid">
        <fgColor rgb="FF17365D"/>
      </patternFill>
    </fill>
    <fill>
      <patternFill patternType="solid">
        <fgColor rgb="FFEAF3F8"/>
      </patternFill>
    </fill>
    <fill>
      <patternFill patternType="solid">
        <fgColor rgb="FFD9EAF7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3" fillId="0" borderId="0"/>
  </cellStyleXfs>
  <cellXfs count="42">
    <xf numFmtId="0" fontId="0" fillId="0" borderId="0" xfId="0"/>
    <xf numFmtId="0" fontId="3" fillId="2" borderId="0" xfId="1" applyFont="1" applyFill="1" applyAlignment="1">
      <alignment horizontal="center" vertical="center" wrapText="1"/>
    </xf>
    <xf numFmtId="0" fontId="0" fillId="4" borderId="0" xfId="1" applyFont="1" applyFill="1"/>
    <xf numFmtId="0" fontId="4" fillId="4" borderId="0" xfId="1" applyFont="1" applyFill="1"/>
    <xf numFmtId="10" fontId="4" fillId="4" borderId="0" xfId="1" applyNumberFormat="1" applyFont="1" applyFill="1" applyAlignment="1">
      <alignment horizontal="right"/>
    </xf>
    <xf numFmtId="10" fontId="4" fillId="5" borderId="0" xfId="1" applyNumberFormat="1" applyFont="1" applyFill="1" applyAlignment="1">
      <alignment horizontal="right"/>
    </xf>
    <xf numFmtId="3" fontId="4" fillId="5" borderId="0" xfId="1" applyNumberFormat="1" applyFont="1" applyFill="1" applyAlignment="1">
      <alignment horizontal="right"/>
    </xf>
    <xf numFmtId="0" fontId="6" fillId="7" borderId="0" xfId="1" applyFont="1" applyFill="1" applyAlignment="1">
      <alignment horizontal="left" vertical="center"/>
    </xf>
    <xf numFmtId="0" fontId="4" fillId="5" borderId="0" xfId="1" applyFont="1" applyFill="1" applyAlignment="1">
      <alignment horizontal="left" vertical="center"/>
    </xf>
    <xf numFmtId="0" fontId="7" fillId="7" borderId="0" xfId="1" applyFont="1" applyFill="1" applyAlignment="1">
      <alignment horizontal="center"/>
    </xf>
    <xf numFmtId="164" fontId="4" fillId="5" borderId="0" xfId="1" applyNumberFormat="1" applyFont="1" applyFill="1" applyAlignment="1">
      <alignment horizontal="left" vertical="center"/>
    </xf>
    <xf numFmtId="10" fontId="4" fillId="5" borderId="0" xfId="1" applyNumberFormat="1" applyFont="1" applyFill="1" applyAlignment="1">
      <alignment horizontal="left" vertical="center"/>
    </xf>
    <xf numFmtId="10" fontId="8" fillId="4" borderId="0" xfId="1" applyNumberFormat="1" applyFont="1" applyFill="1" applyAlignment="1">
      <alignment horizontal="right" vertical="center"/>
    </xf>
    <xf numFmtId="1" fontId="4" fillId="5" borderId="0" xfId="1" applyNumberFormat="1" applyFont="1" applyFill="1" applyAlignment="1">
      <alignment horizontal="left" vertical="center"/>
    </xf>
    <xf numFmtId="164" fontId="9" fillId="4" borderId="0" xfId="1" applyNumberFormat="1" applyFont="1" applyFill="1" applyAlignment="1">
      <alignment horizontal="right" vertical="center"/>
    </xf>
    <xf numFmtId="10" fontId="9" fillId="4" borderId="0" xfId="1" applyNumberFormat="1" applyFont="1" applyFill="1" applyAlignment="1">
      <alignment horizontal="right" vertical="center"/>
    </xf>
    <xf numFmtId="49" fontId="9" fillId="4" borderId="0" xfId="1" applyNumberFormat="1" applyFont="1" applyFill="1" applyAlignment="1">
      <alignment horizontal="right" vertical="center"/>
    </xf>
    <xf numFmtId="0" fontId="6" fillId="8" borderId="0" xfId="1" applyFont="1" applyFill="1" applyAlignment="1">
      <alignment horizontal="center" vertical="center" wrapText="1"/>
    </xf>
    <xf numFmtId="0" fontId="11" fillId="4" borderId="0" xfId="1" applyFont="1" applyFill="1" applyAlignment="1">
      <alignment horizontal="center" vertical="center" wrapText="1"/>
    </xf>
    <xf numFmtId="0" fontId="10" fillId="4" borderId="0" xfId="1" applyFont="1" applyFill="1" applyAlignment="1">
      <alignment horizontal="center" vertical="center"/>
    </xf>
    <xf numFmtId="164" fontId="10" fillId="4" borderId="0" xfId="1" applyNumberFormat="1" applyFont="1" applyFill="1" applyAlignment="1">
      <alignment horizontal="center" vertical="center"/>
    </xf>
    <xf numFmtId="10" fontId="10" fillId="4" borderId="0" xfId="1" applyNumberFormat="1" applyFont="1" applyFill="1" applyAlignment="1">
      <alignment horizontal="center" vertical="center"/>
    </xf>
    <xf numFmtId="1" fontId="0" fillId="0" borderId="0" xfId="1" applyNumberFormat="1" applyFont="1" applyAlignment="1">
      <alignment vertical="center" wrapText="1"/>
    </xf>
    <xf numFmtId="164" fontId="0" fillId="0" borderId="0" xfId="1" applyNumberFormat="1" applyFont="1" applyAlignment="1">
      <alignment vertical="center" wrapText="1"/>
    </xf>
    <xf numFmtId="0" fontId="12" fillId="0" borderId="0" xfId="1" applyFont="1" applyAlignment="1">
      <alignment horizontal="center"/>
    </xf>
    <xf numFmtId="0" fontId="0" fillId="0" borderId="0" xfId="1" applyFont="1" applyAlignment="1">
      <alignment wrapText="1"/>
    </xf>
    <xf numFmtId="0" fontId="4" fillId="5" borderId="0" xfId="1" applyFont="1" applyFill="1" applyAlignment="1">
      <alignment vertical="center" wrapText="1"/>
    </xf>
    <xf numFmtId="164" fontId="4" fillId="5" borderId="0" xfId="1" applyNumberFormat="1" applyFont="1" applyFill="1" applyAlignment="1">
      <alignment vertical="center" wrapText="1"/>
    </xf>
    <xf numFmtId="10" fontId="4" fillId="5" borderId="0" xfId="1" applyNumberFormat="1" applyFont="1" applyFill="1" applyAlignment="1">
      <alignment vertical="center" wrapText="1"/>
    </xf>
    <xf numFmtId="164" fontId="9" fillId="4" borderId="0" xfId="1" applyNumberFormat="1" applyFont="1" applyFill="1" applyAlignment="1">
      <alignment horizontal="right" vertical="center" wrapText="1"/>
    </xf>
    <xf numFmtId="1" fontId="9" fillId="4" borderId="0" xfId="1" applyNumberFormat="1" applyFont="1" applyFill="1" applyAlignment="1">
      <alignment horizontal="right" vertical="center" wrapText="1"/>
    </xf>
    <xf numFmtId="164" fontId="6" fillId="8" borderId="0" xfId="1" applyNumberFormat="1" applyFont="1" applyFill="1" applyAlignment="1">
      <alignment horizontal="right" vertical="center"/>
    </xf>
    <xf numFmtId="0" fontId="6" fillId="7" borderId="0" xfId="1" applyFont="1" applyFill="1" applyAlignment="1">
      <alignment horizontal="left" vertical="center" wrapText="1"/>
    </xf>
    <xf numFmtId="0" fontId="12" fillId="4" borderId="0" xfId="1" applyFont="1" applyFill="1" applyAlignment="1">
      <alignment wrapText="1"/>
    </xf>
    <xf numFmtId="164" fontId="12" fillId="4" borderId="0" xfId="1" applyNumberFormat="1" applyFont="1" applyFill="1" applyAlignment="1">
      <alignment horizontal="right" wrapText="1"/>
    </xf>
    <xf numFmtId="0" fontId="5" fillId="2" borderId="0" xfId="1" applyFont="1" applyFill="1" applyAlignment="1">
      <alignment horizontal="center"/>
    </xf>
    <xf numFmtId="0" fontId="0" fillId="0" borderId="0" xfId="0"/>
    <xf numFmtId="0" fontId="2" fillId="3" borderId="0" xfId="1" applyFont="1" applyFill="1" applyAlignment="1">
      <alignment wrapText="1"/>
    </xf>
    <xf numFmtId="0" fontId="3" fillId="6" borderId="0" xfId="1" applyFont="1" applyFill="1" applyAlignment="1">
      <alignment horizontal="left" vertical="center"/>
    </xf>
    <xf numFmtId="0" fontId="1" fillId="2" borderId="0" xfId="1" applyFont="1" applyFill="1" applyAlignment="1">
      <alignment horizontal="center"/>
    </xf>
    <xf numFmtId="0" fontId="5" fillId="2" borderId="0" xfId="1" applyFont="1" applyFill="1" applyAlignment="1">
      <alignment horizontal="left"/>
    </xf>
    <xf numFmtId="0" fontId="0" fillId="0" borderId="0" xfId="0" applyAlignment="1">
      <alignment horizontal="left"/>
    </xf>
  </cellXfs>
  <cellStyles count="2">
    <cellStyle name="Normal" xfId="1" xr:uid="{00000000-0005-0000-0000-000000000000}"/>
    <cellStyle name="Standard" xfId="0" builtinId="0"/>
  </cellStyles>
  <dxfs count="6">
    <dxf>
      <fill>
        <patternFill patternType="solid">
          <bgColor rgb="FFFFF2CC"/>
        </patternFill>
      </fill>
    </dxf>
    <dxf>
      <fill>
        <patternFill patternType="solid">
          <bgColor rgb="FFE2F0D9"/>
        </patternFill>
      </fill>
    </dxf>
    <dxf>
      <fill>
        <patternFill patternType="solid">
          <bgColor rgb="FFF4CCCC"/>
        </patternFill>
      </fill>
    </dxf>
    <dxf>
      <fill>
        <patternFill patternType="solid">
          <bgColor rgb="FFF4CCCC"/>
        </patternFill>
      </fill>
    </dxf>
    <dxf>
      <fill>
        <patternFill patternType="solid">
          <bgColor rgb="FFFFF2CC"/>
        </patternFill>
      </fill>
    </dxf>
    <dxf>
      <fill>
        <patternFill patternType="solid">
          <bgColor rgb="FFE2F0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Betrag</c:v>
          </c:tx>
          <c:invertIfNegative val="1"/>
          <c:cat>
            <c:strRef>
              <c:f>'Hauskauf-Rechner'!$H$12:$H$18</c:f>
              <c:strCache>
                <c:ptCount val="7"/>
                <c:pt idx="0">
                  <c:v>Kaufpreis</c:v>
                </c:pt>
                <c:pt idx="1">
                  <c:v>Grunderwerbsteuer</c:v>
                </c:pt>
                <c:pt idx="2">
                  <c:v>Notar + Grundbuch</c:v>
                </c:pt>
                <c:pt idx="3">
                  <c:v>Maklerkosten</c:v>
                </c:pt>
                <c:pt idx="4">
                  <c:v>Modernisierung</c:v>
                </c:pt>
                <c:pt idx="5">
                  <c:v>Umzug &amp; Einrichtung</c:v>
                </c:pt>
                <c:pt idx="6">
                  <c:v>Sicherheitspuffer</c:v>
                </c:pt>
              </c:strCache>
            </c:strRef>
          </c:cat>
          <c:val>
            <c:numRef>
              <c:f>'Hauskauf-Rechner'!$I$12:$I$18</c:f>
              <c:numCache>
                <c:formatCode>#,##0\ \€</c:formatCode>
                <c:ptCount val="7"/>
                <c:pt idx="0">
                  <c:v>415000</c:v>
                </c:pt>
                <c:pt idx="1">
                  <c:v>20750</c:v>
                </c:pt>
                <c:pt idx="2">
                  <c:v>7469.9999999999991</c:v>
                </c:pt>
                <c:pt idx="3">
                  <c:v>14815.500000000002</c:v>
                </c:pt>
                <c:pt idx="4">
                  <c:v>38000</c:v>
                </c:pt>
                <c:pt idx="5">
                  <c:v>12000</c:v>
                </c:pt>
                <c:pt idx="6">
                  <c:v>15000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FA-43BD-9228-DE6A6C2E8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\ \€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Gesamtkosten</c:v>
          </c:tx>
          <c:invertIfNegative val="1"/>
          <c:cat>
            <c:strRef>
              <c:f>Objektvergleich!$A$5:$A$12</c:f>
              <c:strCache>
                <c:ptCount val="8"/>
                <c:pt idx="0">
                  <c:v>Objekt A</c:v>
                </c:pt>
                <c:pt idx="1">
                  <c:v>Objekt B</c:v>
                </c:pt>
                <c:pt idx="2">
                  <c:v>Objekt C</c:v>
                </c:pt>
                <c:pt idx="3">
                  <c:v>Objekt D</c:v>
                </c:pt>
                <c:pt idx="4">
                  <c:v>Objekt E</c:v>
                </c:pt>
                <c:pt idx="5">
                  <c:v>Objekt F</c:v>
                </c:pt>
                <c:pt idx="6">
                  <c:v>Objekt G</c:v>
                </c:pt>
                <c:pt idx="7">
                  <c:v>Objekt H</c:v>
                </c:pt>
              </c:strCache>
            </c:strRef>
          </c:cat>
          <c:val>
            <c:numRef>
              <c:f>Objektvergleich!$K$5:$K$12</c:f>
              <c:numCache>
                <c:formatCode>#,##0\ \€</c:formatCode>
                <c:ptCount val="8"/>
                <c:pt idx="0">
                  <c:v>496035.5</c:v>
                </c:pt>
                <c:pt idx="1">
                  <c:v>551463</c:v>
                </c:pt>
                <c:pt idx="2">
                  <c:v>467732</c:v>
                </c:pt>
                <c:pt idx="3">
                  <c:v>369066.5</c:v>
                </c:pt>
                <c:pt idx="4">
                  <c:v>667502.5</c:v>
                </c:pt>
                <c:pt idx="5">
                  <c:v>320340</c:v>
                </c:pt>
                <c:pt idx="6">
                  <c:v>469764.5</c:v>
                </c:pt>
                <c:pt idx="7">
                  <c:v>452924.5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AA-44AA-9E6D-D4EA9352B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\ \€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10</xdr:row>
      <xdr:rowOff>0</xdr:rowOff>
    </xdr:from>
    <xdr:to>
      <xdr:col>14</xdr:col>
      <xdr:colOff>0</xdr:colOff>
      <xdr:row>25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9</xdr:row>
      <xdr:rowOff>0</xdr:rowOff>
    </xdr:from>
    <xdr:to>
      <xdr:col>20</xdr:col>
      <xdr:colOff>0</xdr:colOff>
      <xdr:row>25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bjektvergleichTabelle" displayName="ObjektvergleichTabelle" ref="A4:O50">
  <tableColumns count="15">
    <tableColumn id="1" xr3:uid="{00000000-0010-0000-0000-000001000000}" name="Objekt"/>
    <tableColumn id="2" xr3:uid="{00000000-0010-0000-0000-000002000000}" name="Bundesland"/>
    <tableColumn id="3" xr3:uid="{00000000-0010-0000-0000-000003000000}" name="Kaufpreis"/>
    <tableColumn id="4" xr3:uid="{00000000-0010-0000-0000-000004000000}" name="Wohnfläche m²"/>
    <tableColumn id="5" xr3:uid="{00000000-0010-0000-0000-000005000000}" name="Baujahr"/>
    <tableColumn id="6" xr3:uid="{00000000-0010-0000-0000-000006000000}" name="Zustand"/>
    <tableColumn id="7" xr3:uid="{00000000-0010-0000-0000-000007000000}" name="Energieklasse"/>
    <tableColumn id="8" xr3:uid="{00000000-0010-0000-0000-000008000000}" name="Makler Käuferanteil"/>
    <tableColumn id="9" xr3:uid="{00000000-0010-0000-0000-000009000000}" name="Sanierung/Reserve"/>
    <tableColumn id="10" xr3:uid="{00000000-0010-0000-0000-00000A000000}" name="Kaufnebenkosten"/>
    <tableColumn id="11" xr3:uid="{00000000-0010-0000-0000-00000B000000}" name="Gesamtkosten"/>
    <tableColumn id="12" xr3:uid="{00000000-0010-0000-0000-00000C000000}" name="Preis pro m²"/>
    <tableColumn id="13" xr3:uid="{00000000-0010-0000-0000-00000D000000}" name="Rate/Monat"/>
    <tableColumn id="14" xr3:uid="{00000000-0010-0000-0000-00000E000000}" name="Score 0-100"/>
    <tableColumn id="15" xr3:uid="{00000000-0010-0000-0000-00000F000000}" name="Notize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workbookViewId="0">
      <selection activeCell="A2" sqref="A2:N2"/>
    </sheetView>
  </sheetViews>
  <sheetFormatPr baseColWidth="10" defaultColWidth="9" defaultRowHeight="15" x14ac:dyDescent="0.25"/>
  <cols>
    <col min="1" max="1" width="30" customWidth="1"/>
    <col min="2" max="2" width="18" customWidth="1"/>
    <col min="3" max="3" width="10" customWidth="1"/>
    <col min="4" max="4" width="30" customWidth="1"/>
    <col min="5" max="5" width="18" customWidth="1"/>
    <col min="6" max="6" width="10" customWidth="1"/>
    <col min="7" max="7" width="18" customWidth="1"/>
    <col min="8" max="8" width="22" customWidth="1"/>
    <col min="9" max="9" width="18" customWidth="1"/>
    <col min="10" max="10" width="20" customWidth="1"/>
    <col min="11" max="14" width="18" customWidth="1"/>
  </cols>
  <sheetData>
    <row r="1" spans="1:14" ht="27.95" customHeight="1" x14ac:dyDescent="0.35">
      <c r="A1" s="40" t="s">
        <v>147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27.95" customHeight="1" x14ac:dyDescent="0.25">
      <c r="A2" s="37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20.100000000000001" customHeight="1" x14ac:dyDescent="0.25"/>
    <row r="4" spans="1:14" ht="20.100000000000001" customHeight="1" x14ac:dyDescent="0.25">
      <c r="A4" s="38" t="s">
        <v>1</v>
      </c>
      <c r="B4" s="36"/>
      <c r="C4" s="36"/>
      <c r="D4" s="38" t="s">
        <v>2</v>
      </c>
      <c r="E4" s="36"/>
      <c r="F4" s="36"/>
      <c r="H4" s="38" t="s">
        <v>3</v>
      </c>
      <c r="I4" s="36"/>
      <c r="J4" s="36"/>
      <c r="K4" s="36"/>
      <c r="L4" s="36"/>
      <c r="M4" s="36"/>
      <c r="N4" s="36"/>
    </row>
    <row r="5" spans="1:14" ht="24" customHeight="1" x14ac:dyDescent="0.25">
      <c r="A5" s="7" t="s">
        <v>4</v>
      </c>
      <c r="B5" s="8" t="s">
        <v>5</v>
      </c>
      <c r="C5" s="9"/>
      <c r="D5" s="7" t="s">
        <v>6</v>
      </c>
      <c r="E5" s="14">
        <f>B7</f>
        <v>415000</v>
      </c>
      <c r="F5" s="9" t="s">
        <v>7</v>
      </c>
      <c r="H5" s="17" t="s">
        <v>8</v>
      </c>
      <c r="I5" s="17"/>
      <c r="J5" s="17" t="s">
        <v>9</v>
      </c>
      <c r="K5" s="17"/>
      <c r="L5" s="17" t="s">
        <v>10</v>
      </c>
      <c r="M5" s="17"/>
      <c r="N5" s="17" t="s">
        <v>11</v>
      </c>
    </row>
    <row r="6" spans="1:14" ht="24" customHeight="1" x14ac:dyDescent="0.25">
      <c r="A6" s="7" t="s">
        <v>12</v>
      </c>
      <c r="B6" s="8" t="s">
        <v>13</v>
      </c>
      <c r="C6" s="9"/>
      <c r="D6" s="7" t="s">
        <v>14</v>
      </c>
      <c r="E6" s="14">
        <f>B7*B11</f>
        <v>20750</v>
      </c>
      <c r="F6" s="9" t="s">
        <v>7</v>
      </c>
      <c r="H6" s="20">
        <f>E12</f>
        <v>523035.5</v>
      </c>
      <c r="I6" s="19"/>
      <c r="J6" s="20">
        <f>E14</f>
        <v>428035.5</v>
      </c>
      <c r="K6" s="19"/>
      <c r="L6" s="20">
        <f>E15</f>
        <v>2086.6730625</v>
      </c>
      <c r="M6" s="19"/>
      <c r="N6" s="19" t="str">
        <f>E21</f>
        <v>Prüfen</v>
      </c>
    </row>
    <row r="7" spans="1:14" ht="24" customHeight="1" x14ac:dyDescent="0.25">
      <c r="A7" s="7" t="s">
        <v>6</v>
      </c>
      <c r="B7" s="10">
        <v>415000</v>
      </c>
      <c r="C7" s="9" t="s">
        <v>7</v>
      </c>
      <c r="D7" s="7" t="s">
        <v>15</v>
      </c>
      <c r="E7" s="14">
        <f>B7*B10</f>
        <v>7469.9999999999991</v>
      </c>
      <c r="F7" s="9" t="s">
        <v>7</v>
      </c>
      <c r="H7" s="18" t="s">
        <v>16</v>
      </c>
      <c r="I7" s="18"/>
      <c r="J7" s="18" t="s">
        <v>17</v>
      </c>
      <c r="K7" s="18"/>
      <c r="L7" s="18" t="s">
        <v>18</v>
      </c>
      <c r="M7" s="18"/>
      <c r="N7" s="18" t="s">
        <v>19</v>
      </c>
    </row>
    <row r="8" spans="1:14" ht="24" customHeight="1" x14ac:dyDescent="0.25">
      <c r="A8" s="7" t="s">
        <v>20</v>
      </c>
      <c r="B8" s="8" t="s">
        <v>21</v>
      </c>
      <c r="C8" s="9"/>
      <c r="D8" s="7" t="s">
        <v>22</v>
      </c>
      <c r="E8" s="14">
        <f>IF(B8="Ja",B7*B9,0)</f>
        <v>14815.500000000002</v>
      </c>
      <c r="F8" s="9" t="s">
        <v>7</v>
      </c>
      <c r="H8" s="20">
        <f>E18</f>
        <v>613.32693749999999</v>
      </c>
      <c r="I8" s="19"/>
      <c r="J8" s="20">
        <f>E19</f>
        <v>43035.5</v>
      </c>
      <c r="K8" s="19"/>
      <c r="L8" s="21">
        <f>E22</f>
        <v>0.18163203071302045</v>
      </c>
      <c r="M8" s="19"/>
      <c r="N8" s="21">
        <f>E17</f>
        <v>0.37939510227272727</v>
      </c>
    </row>
    <row r="9" spans="1:14" ht="20.100000000000001" customHeight="1" x14ac:dyDescent="0.25">
      <c r="A9" s="7" t="s">
        <v>23</v>
      </c>
      <c r="B9" s="11">
        <v>3.5700000000000003E-2</v>
      </c>
      <c r="C9" s="9" t="s">
        <v>24</v>
      </c>
      <c r="D9" s="7" t="s">
        <v>25</v>
      </c>
      <c r="E9" s="14">
        <f>B12</f>
        <v>38000</v>
      </c>
      <c r="F9" s="9" t="s">
        <v>7</v>
      </c>
      <c r="H9" s="19"/>
      <c r="I9" s="19"/>
      <c r="J9" s="19"/>
      <c r="K9" s="19"/>
      <c r="L9" s="19"/>
      <c r="M9" s="19"/>
      <c r="N9" s="19"/>
    </row>
    <row r="10" spans="1:14" ht="20.100000000000001" customHeight="1" x14ac:dyDescent="0.25">
      <c r="A10" s="7" t="s">
        <v>15</v>
      </c>
      <c r="B10" s="11">
        <v>1.7999999999999999E-2</v>
      </c>
      <c r="C10" s="9" t="s">
        <v>24</v>
      </c>
      <c r="D10" s="7" t="s">
        <v>26</v>
      </c>
      <c r="E10" s="14">
        <f>B13</f>
        <v>12000</v>
      </c>
      <c r="F10" s="9" t="s">
        <v>7</v>
      </c>
    </row>
    <row r="11" spans="1:14" ht="20.100000000000001" customHeight="1" x14ac:dyDescent="0.25">
      <c r="A11" s="7" t="s">
        <v>14</v>
      </c>
      <c r="B11" s="12">
        <f>VLOOKUP(B6,Einstellungen!$A$4:$B$19,2,FALSE)</f>
        <v>0.05</v>
      </c>
      <c r="C11" s="9" t="s">
        <v>24</v>
      </c>
      <c r="D11" s="7" t="s">
        <v>27</v>
      </c>
      <c r="E11" s="14">
        <f>B14</f>
        <v>15000</v>
      </c>
      <c r="F11" s="9" t="s">
        <v>7</v>
      </c>
      <c r="H11" s="1" t="s">
        <v>28</v>
      </c>
      <c r="I11" s="1" t="s">
        <v>29</v>
      </c>
    </row>
    <row r="12" spans="1:14" ht="20.100000000000001" customHeight="1" x14ac:dyDescent="0.25">
      <c r="A12" s="7" t="s">
        <v>25</v>
      </c>
      <c r="B12" s="10">
        <v>38000</v>
      </c>
      <c r="C12" s="9" t="s">
        <v>7</v>
      </c>
      <c r="D12" s="7" t="s">
        <v>8</v>
      </c>
      <c r="E12" s="31">
        <f>SUM(E5:E11)</f>
        <v>523035.5</v>
      </c>
      <c r="F12" s="9" t="s">
        <v>7</v>
      </c>
      <c r="H12" s="2" t="s">
        <v>6</v>
      </c>
      <c r="I12" s="14">
        <f t="shared" ref="I12:I18" si="0">E5</f>
        <v>415000</v>
      </c>
    </row>
    <row r="13" spans="1:14" ht="20.100000000000001" customHeight="1" x14ac:dyDescent="0.25">
      <c r="A13" s="7" t="s">
        <v>26</v>
      </c>
      <c r="B13" s="10">
        <v>12000</v>
      </c>
      <c r="C13" s="9" t="s">
        <v>7</v>
      </c>
      <c r="D13" s="7" t="s">
        <v>30</v>
      </c>
      <c r="E13" s="14">
        <f>B15</f>
        <v>95000</v>
      </c>
      <c r="F13" s="9" t="s">
        <v>7</v>
      </c>
      <c r="H13" s="2" t="s">
        <v>14</v>
      </c>
      <c r="I13" s="14">
        <f t="shared" si="0"/>
        <v>20750</v>
      </c>
    </row>
    <row r="14" spans="1:14" ht="20.100000000000001" customHeight="1" x14ac:dyDescent="0.25">
      <c r="A14" s="7" t="s">
        <v>27</v>
      </c>
      <c r="B14" s="10">
        <v>15000</v>
      </c>
      <c r="C14" s="9" t="s">
        <v>7</v>
      </c>
      <c r="D14" s="7" t="s">
        <v>9</v>
      </c>
      <c r="E14" s="31">
        <f>MAX(0,E12-E13)</f>
        <v>428035.5</v>
      </c>
      <c r="F14" s="9" t="s">
        <v>7</v>
      </c>
      <c r="H14" s="2" t="s">
        <v>15</v>
      </c>
      <c r="I14" s="14">
        <f t="shared" si="0"/>
        <v>7469.9999999999991</v>
      </c>
    </row>
    <row r="15" spans="1:14" ht="20.100000000000001" customHeight="1" x14ac:dyDescent="0.25">
      <c r="A15" s="7" t="s">
        <v>31</v>
      </c>
      <c r="B15" s="10">
        <v>95000</v>
      </c>
      <c r="C15" s="9" t="s">
        <v>7</v>
      </c>
      <c r="D15" s="7" t="s">
        <v>10</v>
      </c>
      <c r="E15" s="31">
        <f>E14*($B$16+$B$17)/12</f>
        <v>2086.6730625</v>
      </c>
      <c r="F15" s="9" t="s">
        <v>7</v>
      </c>
      <c r="H15" s="2" t="s">
        <v>22</v>
      </c>
      <c r="I15" s="14">
        <f t="shared" si="0"/>
        <v>14815.500000000002</v>
      </c>
    </row>
    <row r="16" spans="1:14" ht="20.100000000000001" customHeight="1" x14ac:dyDescent="0.25">
      <c r="A16" s="7" t="s">
        <v>32</v>
      </c>
      <c r="B16" s="11">
        <v>3.85E-2</v>
      </c>
      <c r="C16" s="9" t="s">
        <v>24</v>
      </c>
      <c r="D16" s="7" t="s">
        <v>33</v>
      </c>
      <c r="E16" s="14">
        <f>B19-B20-B21</f>
        <v>2700</v>
      </c>
      <c r="F16" s="9" t="s">
        <v>7</v>
      </c>
      <c r="H16" s="2" t="s">
        <v>34</v>
      </c>
      <c r="I16" s="14">
        <f t="shared" si="0"/>
        <v>38000</v>
      </c>
    </row>
    <row r="17" spans="1:9" ht="20.100000000000001" customHeight="1" x14ac:dyDescent="0.25">
      <c r="A17" s="7" t="s">
        <v>35</v>
      </c>
      <c r="B17" s="11">
        <v>0.02</v>
      </c>
      <c r="C17" s="9" t="s">
        <v>24</v>
      </c>
      <c r="D17" s="7" t="s">
        <v>19</v>
      </c>
      <c r="E17" s="15">
        <f>IF(B19=0,0,E15/B19)</f>
        <v>0.37939510227272727</v>
      </c>
      <c r="F17" s="9" t="s">
        <v>24</v>
      </c>
      <c r="H17" s="2" t="s">
        <v>26</v>
      </c>
      <c r="I17" s="14">
        <f t="shared" si="0"/>
        <v>12000</v>
      </c>
    </row>
    <row r="18" spans="1:9" ht="20.100000000000001" customHeight="1" x14ac:dyDescent="0.25">
      <c r="A18" s="7" t="s">
        <v>36</v>
      </c>
      <c r="B18" s="13">
        <v>10</v>
      </c>
      <c r="C18" s="9" t="s">
        <v>37</v>
      </c>
      <c r="D18" s="7" t="s">
        <v>16</v>
      </c>
      <c r="E18" s="31">
        <f>E16-E15</f>
        <v>613.32693749999999</v>
      </c>
      <c r="F18" s="9" t="s">
        <v>7</v>
      </c>
      <c r="H18" s="2" t="s">
        <v>27</v>
      </c>
      <c r="I18" s="14">
        <f t="shared" si="0"/>
        <v>15000</v>
      </c>
    </row>
    <row r="19" spans="1:9" ht="20.100000000000001" customHeight="1" x14ac:dyDescent="0.25">
      <c r="A19" s="7" t="s">
        <v>38</v>
      </c>
      <c r="B19" s="10">
        <v>5500</v>
      </c>
      <c r="C19" s="9" t="s">
        <v>7</v>
      </c>
      <c r="D19" s="7" t="s">
        <v>39</v>
      </c>
      <c r="E19" s="14">
        <f>SUM(E6:E8)</f>
        <v>43035.5</v>
      </c>
      <c r="F19" s="9" t="s">
        <v>7</v>
      </c>
    </row>
    <row r="20" spans="1:9" ht="20.100000000000001" customHeight="1" x14ac:dyDescent="0.25">
      <c r="A20" s="7" t="s">
        <v>40</v>
      </c>
      <c r="B20" s="10">
        <v>2150</v>
      </c>
      <c r="C20" s="9" t="s">
        <v>7</v>
      </c>
      <c r="D20" s="7" t="s">
        <v>41</v>
      </c>
      <c r="E20" s="15">
        <f>IF(B7=0,0,E19/B7)</f>
        <v>0.1037</v>
      </c>
      <c r="F20" s="9" t="s">
        <v>24</v>
      </c>
    </row>
    <row r="21" spans="1:9" ht="20.100000000000001" customHeight="1" x14ac:dyDescent="0.25">
      <c r="A21" s="7" t="s">
        <v>42</v>
      </c>
      <c r="B21" s="10">
        <v>650</v>
      </c>
      <c r="C21" s="9" t="s">
        <v>7</v>
      </c>
      <c r="D21" s="7" t="s">
        <v>43</v>
      </c>
      <c r="E21" s="16" t="str">
        <f>IF(E18&lt;0,"Nicht tragfähig",IF(E17&gt;$B$22,"Prüfen","Tragfähig"))</f>
        <v>Prüfen</v>
      </c>
      <c r="F21" s="9"/>
    </row>
    <row r="22" spans="1:9" ht="20.100000000000001" customHeight="1" x14ac:dyDescent="0.25">
      <c r="A22" s="7" t="s">
        <v>44</v>
      </c>
      <c r="B22" s="11">
        <v>0.35</v>
      </c>
      <c r="C22" s="9" t="s">
        <v>24</v>
      </c>
      <c r="D22" s="7" t="s">
        <v>18</v>
      </c>
      <c r="E22" s="15">
        <f>IF(E12=0,0,E13/E12)</f>
        <v>0.18163203071302045</v>
      </c>
      <c r="F22" s="9" t="s">
        <v>24</v>
      </c>
    </row>
    <row r="23" spans="1:9" ht="20.100000000000001" customHeight="1" x14ac:dyDescent="0.25"/>
    <row r="24" spans="1:9" ht="20.100000000000001" customHeight="1" x14ac:dyDescent="0.25"/>
    <row r="25" spans="1:9" ht="20.100000000000001" customHeight="1" x14ac:dyDescent="0.25">
      <c r="A25" s="38" t="s">
        <v>45</v>
      </c>
      <c r="B25" s="36"/>
      <c r="C25" s="36"/>
      <c r="D25" s="36"/>
      <c r="E25" s="36"/>
      <c r="F25" s="36"/>
      <c r="G25" s="36"/>
      <c r="H25" s="36"/>
    </row>
    <row r="26" spans="1:9" ht="30" customHeight="1" x14ac:dyDescent="0.25">
      <c r="A26" s="1" t="s">
        <v>46</v>
      </c>
      <c r="B26" s="1" t="s">
        <v>47</v>
      </c>
      <c r="C26" s="1" t="s">
        <v>48</v>
      </c>
      <c r="D26" s="1" t="s">
        <v>49</v>
      </c>
      <c r="E26" s="1" t="s">
        <v>50</v>
      </c>
      <c r="F26" s="1" t="s">
        <v>51</v>
      </c>
      <c r="G26" s="1" t="s">
        <v>52</v>
      </c>
      <c r="H26" s="1" t="s">
        <v>53</v>
      </c>
    </row>
    <row r="27" spans="1:9" ht="20.100000000000001" customHeight="1" x14ac:dyDescent="0.25">
      <c r="A27" s="22">
        <v>1</v>
      </c>
      <c r="B27" s="23">
        <f>$E$14</f>
        <v>428035.5</v>
      </c>
      <c r="C27" s="23">
        <f t="shared" ref="C27:C38" si="1">$E$15</f>
        <v>2086.6730625</v>
      </c>
      <c r="D27" s="23">
        <f t="shared" ref="D27:D38" si="2">B27*$B$16/12</f>
        <v>1373.2805625000001</v>
      </c>
      <c r="E27" s="23">
        <f t="shared" ref="E27:E38" si="3">MAX(0,C27-D27)</f>
        <v>713.39249999999993</v>
      </c>
      <c r="F27" s="23">
        <f t="shared" ref="F27:F38" si="4">MAX(0,B27-E27)</f>
        <v>427322.10749999998</v>
      </c>
      <c r="G27" s="23">
        <f>D27</f>
        <v>1373.2805625000001</v>
      </c>
      <c r="H27" s="23">
        <f>E27</f>
        <v>713.39249999999993</v>
      </c>
    </row>
    <row r="28" spans="1:9" ht="20.100000000000001" customHeight="1" x14ac:dyDescent="0.25">
      <c r="A28" s="22">
        <v>2</v>
      </c>
      <c r="B28" s="23">
        <f t="shared" ref="B28:B38" si="5">F27</f>
        <v>427322.10749999998</v>
      </c>
      <c r="C28" s="23">
        <f t="shared" si="1"/>
        <v>2086.6730625</v>
      </c>
      <c r="D28" s="23">
        <f t="shared" si="2"/>
        <v>1370.9917615625</v>
      </c>
      <c r="E28" s="23">
        <f t="shared" si="3"/>
        <v>715.68130093750005</v>
      </c>
      <c r="F28" s="23">
        <f t="shared" si="4"/>
        <v>426606.42619906249</v>
      </c>
      <c r="G28" s="23">
        <f t="shared" ref="G28:G38" si="6">G27+D28</f>
        <v>2744.2723240625</v>
      </c>
      <c r="H28" s="23">
        <f t="shared" ref="H28:H38" si="7">H27+E28</f>
        <v>1429.0738009375</v>
      </c>
    </row>
    <row r="29" spans="1:9" ht="20.100000000000001" customHeight="1" x14ac:dyDescent="0.25">
      <c r="A29" s="22">
        <v>3</v>
      </c>
      <c r="B29" s="23">
        <f t="shared" si="5"/>
        <v>426606.42619906249</v>
      </c>
      <c r="C29" s="23">
        <f t="shared" si="1"/>
        <v>2086.6730625</v>
      </c>
      <c r="D29" s="23">
        <f t="shared" si="2"/>
        <v>1368.695617388659</v>
      </c>
      <c r="E29" s="23">
        <f t="shared" si="3"/>
        <v>717.97744511134101</v>
      </c>
      <c r="F29" s="23">
        <f t="shared" si="4"/>
        <v>425888.44875395118</v>
      </c>
      <c r="G29" s="23">
        <f t="shared" si="6"/>
        <v>4112.9679414511593</v>
      </c>
      <c r="H29" s="23">
        <f t="shared" si="7"/>
        <v>2147.0512460488408</v>
      </c>
    </row>
    <row r="30" spans="1:9" ht="20.100000000000001" customHeight="1" x14ac:dyDescent="0.25">
      <c r="A30" s="22">
        <v>4</v>
      </c>
      <c r="B30" s="23">
        <f t="shared" si="5"/>
        <v>425888.44875395118</v>
      </c>
      <c r="C30" s="23">
        <f t="shared" si="1"/>
        <v>2086.6730625</v>
      </c>
      <c r="D30" s="23">
        <f t="shared" si="2"/>
        <v>1366.3921064189265</v>
      </c>
      <c r="E30" s="23">
        <f t="shared" si="3"/>
        <v>720.28095608107355</v>
      </c>
      <c r="F30" s="23">
        <f t="shared" si="4"/>
        <v>425168.16779787012</v>
      </c>
      <c r="G30" s="23">
        <f t="shared" si="6"/>
        <v>5479.3600478700855</v>
      </c>
      <c r="H30" s="23">
        <f t="shared" si="7"/>
        <v>2867.3322021299145</v>
      </c>
    </row>
    <row r="31" spans="1:9" ht="20.100000000000001" customHeight="1" x14ac:dyDescent="0.25">
      <c r="A31" s="22">
        <v>5</v>
      </c>
      <c r="B31" s="23">
        <f t="shared" si="5"/>
        <v>425168.16779787012</v>
      </c>
      <c r="C31" s="23">
        <f t="shared" si="1"/>
        <v>2086.6730625</v>
      </c>
      <c r="D31" s="23">
        <f t="shared" si="2"/>
        <v>1364.0812050181667</v>
      </c>
      <c r="E31" s="23">
        <f t="shared" si="3"/>
        <v>722.59185748183336</v>
      </c>
      <c r="F31" s="23">
        <f t="shared" si="4"/>
        <v>424445.57594038831</v>
      </c>
      <c r="G31" s="23">
        <f t="shared" si="6"/>
        <v>6843.4412528882522</v>
      </c>
      <c r="H31" s="23">
        <f t="shared" si="7"/>
        <v>3589.9240596117479</v>
      </c>
    </row>
    <row r="32" spans="1:9" ht="20.100000000000001" customHeight="1" x14ac:dyDescent="0.25">
      <c r="A32" s="22">
        <v>6</v>
      </c>
      <c r="B32" s="23">
        <f t="shared" si="5"/>
        <v>424445.57594038831</v>
      </c>
      <c r="C32" s="23">
        <f t="shared" si="1"/>
        <v>2086.6730625</v>
      </c>
      <c r="D32" s="23">
        <f t="shared" si="2"/>
        <v>1361.7628894754125</v>
      </c>
      <c r="E32" s="23">
        <f t="shared" si="3"/>
        <v>724.91017302458749</v>
      </c>
      <c r="F32" s="23">
        <f t="shared" si="4"/>
        <v>423720.66576736374</v>
      </c>
      <c r="G32" s="23">
        <f t="shared" si="6"/>
        <v>8205.2041423636656</v>
      </c>
      <c r="H32" s="23">
        <f t="shared" si="7"/>
        <v>4314.8342326363354</v>
      </c>
    </row>
    <row r="33" spans="1:8" ht="20.100000000000001" customHeight="1" x14ac:dyDescent="0.25">
      <c r="A33" s="22">
        <v>7</v>
      </c>
      <c r="B33" s="23">
        <f t="shared" si="5"/>
        <v>423720.66576736374</v>
      </c>
      <c r="C33" s="23">
        <f t="shared" si="1"/>
        <v>2086.6730625</v>
      </c>
      <c r="D33" s="23">
        <f t="shared" si="2"/>
        <v>1359.4371360036253</v>
      </c>
      <c r="E33" s="23">
        <f t="shared" si="3"/>
        <v>727.23592649637476</v>
      </c>
      <c r="F33" s="23">
        <f t="shared" si="4"/>
        <v>422993.42984086735</v>
      </c>
      <c r="G33" s="23">
        <f t="shared" si="6"/>
        <v>9564.6412783672913</v>
      </c>
      <c r="H33" s="23">
        <f t="shared" si="7"/>
        <v>5042.0701591327106</v>
      </c>
    </row>
    <row r="34" spans="1:8" ht="20.100000000000001" customHeight="1" x14ac:dyDescent="0.25">
      <c r="A34" s="22">
        <v>8</v>
      </c>
      <c r="B34" s="23">
        <f t="shared" si="5"/>
        <v>422993.42984086735</v>
      </c>
      <c r="C34" s="23">
        <f t="shared" si="1"/>
        <v>2086.6730625</v>
      </c>
      <c r="D34" s="23">
        <f t="shared" si="2"/>
        <v>1357.1039207394494</v>
      </c>
      <c r="E34" s="23">
        <f t="shared" si="3"/>
        <v>729.56914176055056</v>
      </c>
      <c r="F34" s="23">
        <f t="shared" si="4"/>
        <v>422263.86069910682</v>
      </c>
      <c r="G34" s="23">
        <f t="shared" si="6"/>
        <v>10921.745199106741</v>
      </c>
      <c r="H34" s="23">
        <f t="shared" si="7"/>
        <v>5771.639300893261</v>
      </c>
    </row>
    <row r="35" spans="1:8" ht="20.100000000000001" customHeight="1" x14ac:dyDescent="0.25">
      <c r="A35" s="22">
        <v>9</v>
      </c>
      <c r="B35" s="23">
        <f t="shared" si="5"/>
        <v>422263.86069910682</v>
      </c>
      <c r="C35" s="23">
        <f t="shared" si="1"/>
        <v>2086.6730625</v>
      </c>
      <c r="D35" s="23">
        <f t="shared" si="2"/>
        <v>1354.7632197429677</v>
      </c>
      <c r="E35" s="23">
        <f t="shared" si="3"/>
        <v>731.90984275703227</v>
      </c>
      <c r="F35" s="23">
        <f t="shared" si="4"/>
        <v>421531.95085634978</v>
      </c>
      <c r="G35" s="23">
        <f t="shared" si="6"/>
        <v>12276.508418849709</v>
      </c>
      <c r="H35" s="23">
        <f t="shared" si="7"/>
        <v>6503.5491436502934</v>
      </c>
    </row>
    <row r="36" spans="1:8" ht="20.100000000000001" customHeight="1" x14ac:dyDescent="0.25">
      <c r="A36" s="22">
        <v>10</v>
      </c>
      <c r="B36" s="23">
        <f t="shared" si="5"/>
        <v>421531.95085634978</v>
      </c>
      <c r="C36" s="23">
        <f t="shared" si="1"/>
        <v>2086.6730625</v>
      </c>
      <c r="D36" s="23">
        <f t="shared" si="2"/>
        <v>1352.4150089974555</v>
      </c>
      <c r="E36" s="23">
        <f t="shared" si="3"/>
        <v>734.2580535025445</v>
      </c>
      <c r="F36" s="23">
        <f t="shared" si="4"/>
        <v>420797.69280284725</v>
      </c>
      <c r="G36" s="23">
        <f t="shared" si="6"/>
        <v>13628.923427847165</v>
      </c>
      <c r="H36" s="23">
        <f t="shared" si="7"/>
        <v>7237.8071971528379</v>
      </c>
    </row>
    <row r="37" spans="1:8" ht="20.100000000000001" customHeight="1" x14ac:dyDescent="0.25">
      <c r="A37" s="22">
        <v>11</v>
      </c>
      <c r="B37" s="23">
        <f t="shared" si="5"/>
        <v>420797.69280284725</v>
      </c>
      <c r="C37" s="23">
        <f t="shared" si="1"/>
        <v>2086.6730625</v>
      </c>
      <c r="D37" s="23">
        <f t="shared" si="2"/>
        <v>1350.059264409135</v>
      </c>
      <c r="E37" s="23">
        <f t="shared" si="3"/>
        <v>736.61379809086498</v>
      </c>
      <c r="F37" s="23">
        <f t="shared" si="4"/>
        <v>420061.07900475641</v>
      </c>
      <c r="G37" s="23">
        <f t="shared" si="6"/>
        <v>14978.982692256301</v>
      </c>
      <c r="H37" s="23">
        <f t="shared" si="7"/>
        <v>7974.4209952437031</v>
      </c>
    </row>
    <row r="38" spans="1:8" ht="20.100000000000001" customHeight="1" x14ac:dyDescent="0.25">
      <c r="A38" s="22">
        <v>12</v>
      </c>
      <c r="B38" s="23">
        <f t="shared" si="5"/>
        <v>420061.07900475641</v>
      </c>
      <c r="C38" s="23">
        <f t="shared" si="1"/>
        <v>2086.6730625</v>
      </c>
      <c r="D38" s="23">
        <f t="shared" si="2"/>
        <v>1347.6959618069268</v>
      </c>
      <c r="E38" s="23">
        <f t="shared" si="3"/>
        <v>738.97710069307323</v>
      </c>
      <c r="F38" s="23">
        <f t="shared" si="4"/>
        <v>419322.10190406331</v>
      </c>
      <c r="G38" s="23">
        <f t="shared" si="6"/>
        <v>16326.678654063227</v>
      </c>
      <c r="H38" s="23">
        <f t="shared" si="7"/>
        <v>8713.3980959367764</v>
      </c>
    </row>
    <row r="39" spans="1:8" ht="20.100000000000001" customHeight="1" x14ac:dyDescent="0.25"/>
    <row r="40" spans="1:8" ht="20.100000000000001" customHeight="1" x14ac:dyDescent="0.25"/>
    <row r="41" spans="1:8" ht="20.100000000000001" customHeight="1" x14ac:dyDescent="0.25">
      <c r="A41" s="38" t="s">
        <v>54</v>
      </c>
      <c r="B41" s="36"/>
      <c r="C41" s="36"/>
      <c r="D41" s="36"/>
      <c r="E41" s="36"/>
      <c r="F41" s="36"/>
    </row>
    <row r="42" spans="1:8" ht="20.100000000000001" customHeight="1" x14ac:dyDescent="0.25">
      <c r="A42" s="1" t="s">
        <v>55</v>
      </c>
      <c r="B42" s="1" t="s">
        <v>56</v>
      </c>
      <c r="C42" s="1" t="s">
        <v>57</v>
      </c>
    </row>
    <row r="43" spans="1:8" ht="20.100000000000001" customHeight="1" x14ac:dyDescent="0.25">
      <c r="A43" s="7" t="s">
        <v>58</v>
      </c>
      <c r="B43" s="24" t="str">
        <f>IF($E$13&gt;=$E$19,"OK","Prüfen")</f>
        <v>OK</v>
      </c>
      <c r="C43" s="25" t="str">
        <f>IF($E$13&gt;=$E$19,"Nebenkosten sind durch Eigenkapital abgedeckt.","Eigenkapital reicht nicht für Kaufnebenkosten.")</f>
        <v>Nebenkosten sind durch Eigenkapital abgedeckt.</v>
      </c>
    </row>
    <row r="44" spans="1:8" ht="20.100000000000001" customHeight="1" x14ac:dyDescent="0.25">
      <c r="A44" s="7" t="s">
        <v>59</v>
      </c>
      <c r="B44" s="24" t="str">
        <f>IF($E$17&lt;=$B$22,"OK","Prüfen")</f>
        <v>Prüfen</v>
      </c>
      <c r="C44" s="25" t="str">
        <f>IF($E$17&lt;=$B$22,"Belastungsquote im Zielbereich.","Rate liegt über der gewählten Grenze.")</f>
        <v>Rate liegt über der gewählten Grenze.</v>
      </c>
    </row>
    <row r="45" spans="1:8" ht="20.100000000000001" customHeight="1" x14ac:dyDescent="0.25">
      <c r="A45" s="7" t="s">
        <v>60</v>
      </c>
      <c r="B45" s="24" t="str">
        <f>IF($E$18&gt;=0,"OK","Prüfen")</f>
        <v>OK</v>
      </c>
      <c r="C45" s="25" t="str">
        <f>IF($E$18&gt;=0,"Nach Rate bleibt Budget übrig.","Monatliches Budget wäre überzogen.")</f>
        <v>Nach Rate bleibt Budget übrig.</v>
      </c>
    </row>
    <row r="46" spans="1:8" ht="20.100000000000001" customHeight="1" x14ac:dyDescent="0.25">
      <c r="A46" s="7" t="s">
        <v>61</v>
      </c>
      <c r="B46" s="24" t="str">
        <f>IF($B$12+$B$14&gt;0,"OK","Prüfen")</f>
        <v>OK</v>
      </c>
      <c r="C46" s="25" t="str">
        <f>IF($B$12+$B$14&gt;0,"Modernisierung/Sicherheitspuffer berücksichtigt.","Puffer oder Sanierungskosten ergänzen.")</f>
        <v>Modernisierung/Sicherheitspuffer berücksichtigt.</v>
      </c>
    </row>
  </sheetData>
  <mergeCells count="7">
    <mergeCell ref="A25:H25"/>
    <mergeCell ref="A41:F41"/>
    <mergeCell ref="A1:N1"/>
    <mergeCell ref="A2:N2"/>
    <mergeCell ref="A4:C4"/>
    <mergeCell ref="D4:F4"/>
    <mergeCell ref="H4:N4"/>
  </mergeCells>
  <conditionalFormatting sqref="B43:B46">
    <cfRule type="expression" dxfId="5" priority="5">
      <formula>B43="OK"</formula>
    </cfRule>
    <cfRule type="expression" dxfId="4" priority="6">
      <formula>B43="Prüfen"</formula>
    </cfRule>
  </conditionalFormatting>
  <conditionalFormatting sqref="E17">
    <cfRule type="cellIs" dxfId="3" priority="1" operator="greaterThan">
      <formula>$B$22</formula>
    </cfRule>
  </conditionalFormatting>
  <conditionalFormatting sqref="E18">
    <cfRule type="cellIs" dxfId="2" priority="2" operator="lessThan">
      <formula>0</formula>
    </cfRule>
  </conditionalFormatting>
  <conditionalFormatting sqref="E21">
    <cfRule type="expression" dxfId="1" priority="3">
      <formula>E21="Tragfähig"</formula>
    </cfRule>
    <cfRule type="expression" dxfId="0" priority="4">
      <formula>E21&lt;&gt;"Tragfähig"</formula>
    </cfRule>
  </conditionalFormatting>
  <dataValidations count="2">
    <dataValidation type="list" sqref="B6" xr:uid="{00000000-0002-0000-0000-000000000000}">
      <formula1>"Baden-Württemberg,Bayern,Berlin,Brandenburg,Bremen,Hamburg,Hessen,Mecklenburg-Vorpommern,Niedersachsen,Nordrhein-Westfalen,Rheinland-Pfalz,Saarland,Sachsen,Sachsen-Anhalt,Schleswig-Holstein,Thüringen"</formula1>
    </dataValidation>
    <dataValidation type="list" sqref="B8" xr:uid="{00000000-0002-0000-0000-000001000000}">
      <formula1>"Ja,Nein"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0"/>
  <sheetViews>
    <sheetView workbookViewId="0"/>
  </sheetViews>
  <sheetFormatPr baseColWidth="10" defaultColWidth="9" defaultRowHeight="15" x14ac:dyDescent="0.25"/>
  <cols>
    <col min="1" max="1" width="12" customWidth="1"/>
    <col min="2" max="2" width="22" customWidth="1"/>
    <col min="3" max="4" width="14" customWidth="1"/>
    <col min="5" max="5" width="10" customWidth="1"/>
    <col min="6" max="6" width="24" customWidth="1"/>
    <col min="7" max="7" width="14" customWidth="1"/>
    <col min="8" max="8" width="18" customWidth="1"/>
    <col min="9" max="11" width="16" customWidth="1"/>
    <col min="12" max="13" width="14" customWidth="1"/>
    <col min="14" max="14" width="12" customWidth="1"/>
    <col min="15" max="15" width="45" customWidth="1"/>
    <col min="17" max="17" width="24" customWidth="1"/>
    <col min="18" max="19" width="18" customWidth="1"/>
    <col min="20" max="20" width="16" customWidth="1"/>
  </cols>
  <sheetData>
    <row r="1" spans="1:20" ht="27.95" customHeight="1" x14ac:dyDescent="0.35">
      <c r="A1" s="35" t="s">
        <v>62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20" ht="27.95" customHeight="1" x14ac:dyDescent="0.25">
      <c r="A2" s="37" t="s">
        <v>63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20" ht="20.100000000000001" customHeight="1" x14ac:dyDescent="0.25"/>
    <row r="4" spans="1:20" ht="20.100000000000001" customHeight="1" x14ac:dyDescent="0.25">
      <c r="A4" s="1" t="s">
        <v>64</v>
      </c>
      <c r="B4" s="1" t="s">
        <v>12</v>
      </c>
      <c r="C4" s="1" t="s">
        <v>6</v>
      </c>
      <c r="D4" s="1" t="s">
        <v>65</v>
      </c>
      <c r="E4" s="1" t="s">
        <v>66</v>
      </c>
      <c r="F4" s="1" t="s">
        <v>67</v>
      </c>
      <c r="G4" s="1" t="s">
        <v>68</v>
      </c>
      <c r="H4" s="1" t="s">
        <v>69</v>
      </c>
      <c r="I4" s="1" t="s">
        <v>70</v>
      </c>
      <c r="J4" s="1" t="s">
        <v>17</v>
      </c>
      <c r="K4" s="1" t="s">
        <v>8</v>
      </c>
      <c r="L4" s="1" t="s">
        <v>71</v>
      </c>
      <c r="M4" s="1" t="s">
        <v>72</v>
      </c>
      <c r="N4" s="1" t="s">
        <v>73</v>
      </c>
      <c r="O4" s="1" t="s">
        <v>74</v>
      </c>
      <c r="Q4" s="38" t="s">
        <v>75</v>
      </c>
      <c r="R4" s="36"/>
      <c r="S4" s="36"/>
      <c r="T4" s="36"/>
    </row>
    <row r="5" spans="1:20" ht="27.95" customHeight="1" x14ac:dyDescent="0.25">
      <c r="A5" s="26" t="s">
        <v>76</v>
      </c>
      <c r="B5" s="26" t="s">
        <v>13</v>
      </c>
      <c r="C5" s="27">
        <v>415000</v>
      </c>
      <c r="D5" s="26">
        <v>138</v>
      </c>
      <c r="E5" s="26">
        <v>1998</v>
      </c>
      <c r="F5" s="26" t="s">
        <v>77</v>
      </c>
      <c r="G5" s="26" t="s">
        <v>78</v>
      </c>
      <c r="H5" s="28">
        <v>3.5700000000000003E-2</v>
      </c>
      <c r="I5" s="27">
        <v>38000</v>
      </c>
      <c r="J5" s="29">
        <f>C5*(VLOOKUP(B5,Einstellungen!$A$4:$B$19,2,FALSE)+Einstellungen!$B$23+H5)</f>
        <v>43035.500000000007</v>
      </c>
      <c r="K5" s="29">
        <f t="shared" ref="K5:K12" si="0">C5+I5+J5</f>
        <v>496035.5</v>
      </c>
      <c r="L5" s="29">
        <f t="shared" ref="L5:L12" si="1">IF(D5=0,0,C5/D5)</f>
        <v>3007.246376811594</v>
      </c>
      <c r="M5" s="29">
        <f>MAX(0,K5-'Hauskauf-Rechner'!$B$15)*(Einstellungen!$B$25+Einstellungen!$B$26)/12</f>
        <v>1955.0480625</v>
      </c>
      <c r="N5" s="30">
        <f>ROUND(100*(0.25*(1-MIN(1,L5/Einstellungen!$B$29))+0.2*(1-MIN(1,K5/Einstellungen!$B$30))+0.25*VLOOKUP(F5,Einstellungen!$D$4:$E$8,2,FALSE)/5+0.2*VLOOKUP(G5,Einstellungen!$G$4:$H$12,2,FALSE)/5+0.1*MAX(0,1-(Einstellungen!$B$31-E5)/100)),0)</f>
        <v>55</v>
      </c>
      <c r="O5" s="26" t="s">
        <v>79</v>
      </c>
      <c r="Q5" s="32" t="s">
        <v>80</v>
      </c>
      <c r="R5" s="33" t="str">
        <f>INDEX($A$5:$A$12,MATCH(MAX($N$5:$N$12),$N$5:$N$12,0))</f>
        <v>Objekt B</v>
      </c>
      <c r="S5" s="32" t="s">
        <v>81</v>
      </c>
      <c r="T5" s="34">
        <f>INDEX($M$5:$M$12,MATCH(MAX($N$5:$N$12),$N$5:$N$12,0))</f>
        <v>2225.2571249999996</v>
      </c>
    </row>
    <row r="6" spans="1:20" ht="27.95" customHeight="1" x14ac:dyDescent="0.25">
      <c r="A6" s="26" t="s">
        <v>82</v>
      </c>
      <c r="B6" s="26" t="s">
        <v>83</v>
      </c>
      <c r="C6" s="27">
        <v>490000</v>
      </c>
      <c r="D6" s="26">
        <v>150</v>
      </c>
      <c r="E6" s="26">
        <v>2012</v>
      </c>
      <c r="F6" s="26" t="s">
        <v>84</v>
      </c>
      <c r="G6" s="26" t="s">
        <v>85</v>
      </c>
      <c r="H6" s="28">
        <v>3.5700000000000003E-2</v>
      </c>
      <c r="I6" s="27">
        <v>18000</v>
      </c>
      <c r="J6" s="29">
        <f>C6*(VLOOKUP(B6,Einstellungen!$A$4:$B$19,2,FALSE)+Einstellungen!$B$23+H6)</f>
        <v>43463</v>
      </c>
      <c r="K6" s="29">
        <f t="shared" si="0"/>
        <v>551463</v>
      </c>
      <c r="L6" s="29">
        <f t="shared" si="1"/>
        <v>3266.6666666666665</v>
      </c>
      <c r="M6" s="29">
        <f>MAX(0,K6-'Hauskauf-Rechner'!$B$15)*(Einstellungen!$B$25+Einstellungen!$B$26)/12</f>
        <v>2225.2571249999996</v>
      </c>
      <c r="N6" s="30">
        <f>ROUND(100*(0.25*(1-MIN(1,L6/Einstellungen!$B$29))+0.2*(1-MIN(1,K6/Einstellungen!$B$30))+0.25*VLOOKUP(F6,Einstellungen!$D$4:$E$8,2,FALSE)/5+0.2*VLOOKUP(G6,Einstellungen!$G$4:$H$12,2,FALSE)/5+0.1*MAX(0,1-(Einstellungen!$B$31-E6)/100)),0)</f>
        <v>61</v>
      </c>
      <c r="O6" s="26" t="s">
        <v>86</v>
      </c>
      <c r="Q6" s="32" t="s">
        <v>87</v>
      </c>
      <c r="R6" s="33" t="str">
        <f>INDEX($A$5:$A$12,MATCH(MIN($K$5:$K$12),$K$5:$K$12,0))</f>
        <v>Objekt F</v>
      </c>
      <c r="S6" s="32" t="s">
        <v>88</v>
      </c>
      <c r="T6" s="34">
        <f>MIN($L$5:$L$12)</f>
        <v>1931.8181818181818</v>
      </c>
    </row>
    <row r="7" spans="1:20" ht="27.95" customHeight="1" x14ac:dyDescent="0.25">
      <c r="A7" s="26" t="s">
        <v>89</v>
      </c>
      <c r="B7" s="26" t="s">
        <v>90</v>
      </c>
      <c r="C7" s="27">
        <v>360000</v>
      </c>
      <c r="D7" s="26">
        <v>125</v>
      </c>
      <c r="E7" s="26">
        <v>1978</v>
      </c>
      <c r="F7" s="26" t="s">
        <v>91</v>
      </c>
      <c r="G7" s="26" t="s">
        <v>92</v>
      </c>
      <c r="H7" s="28">
        <v>3.5700000000000003E-2</v>
      </c>
      <c r="I7" s="27">
        <v>65000</v>
      </c>
      <c r="J7" s="29">
        <f>C7*(VLOOKUP(B7,Einstellungen!$A$4:$B$19,2,FALSE)+Einstellungen!$B$23+H7)</f>
        <v>42732</v>
      </c>
      <c r="K7" s="29">
        <f t="shared" si="0"/>
        <v>467732</v>
      </c>
      <c r="L7" s="29">
        <f t="shared" si="1"/>
        <v>2880</v>
      </c>
      <c r="M7" s="29">
        <f>MAX(0,K7-'Hauskauf-Rechner'!$B$15)*(Einstellungen!$B$25+Einstellungen!$B$26)/12</f>
        <v>1817.0685000000001</v>
      </c>
      <c r="N7" s="30">
        <f>ROUND(100*(0.25*(1-MIN(1,L7/Einstellungen!$B$29))+0.2*(1-MIN(1,K7/Einstellungen!$B$30))+0.25*VLOOKUP(F7,Einstellungen!$D$4:$E$8,2,FALSE)/5+0.2*VLOOKUP(G7,Einstellungen!$G$4:$H$12,2,FALSE)/5+0.1*MAX(0,1-(Einstellungen!$B$31-E7)/100)),0)</f>
        <v>40</v>
      </c>
      <c r="O7" s="26" t="s">
        <v>93</v>
      </c>
      <c r="Q7" s="32" t="s">
        <v>94</v>
      </c>
      <c r="R7" s="33" t="str">
        <f>INDEX($A$5:$A$12,MATCH(MIN($M$5:$M$12),$M$5:$M$12,0))</f>
        <v>Objekt F</v>
      </c>
      <c r="S7" s="32" t="s">
        <v>72</v>
      </c>
      <c r="T7" s="34">
        <f>MIN($M$5:$M$12)</f>
        <v>1098.5325</v>
      </c>
    </row>
    <row r="8" spans="1:20" ht="33.950000000000003" customHeight="1" x14ac:dyDescent="0.25">
      <c r="A8" s="26" t="s">
        <v>95</v>
      </c>
      <c r="B8" s="26" t="s">
        <v>96</v>
      </c>
      <c r="C8" s="27">
        <v>295000</v>
      </c>
      <c r="D8" s="26">
        <v>118</v>
      </c>
      <c r="E8" s="26">
        <v>1992</v>
      </c>
      <c r="F8" s="26" t="s">
        <v>97</v>
      </c>
      <c r="G8" s="26" t="s">
        <v>98</v>
      </c>
      <c r="H8" s="28">
        <v>3.5700000000000003E-2</v>
      </c>
      <c r="I8" s="27">
        <v>42000</v>
      </c>
      <c r="J8" s="29">
        <f>C8*(VLOOKUP(B8,Einstellungen!$A$4:$B$19,2,FALSE)+Einstellungen!$B$23+H8)</f>
        <v>32066.499999999996</v>
      </c>
      <c r="K8" s="29">
        <f t="shared" si="0"/>
        <v>369066.5</v>
      </c>
      <c r="L8" s="29">
        <f t="shared" si="1"/>
        <v>2500</v>
      </c>
      <c r="M8" s="29">
        <f>MAX(0,K8-'Hauskauf-Rechner'!$B$15)*(Einstellungen!$B$25+Einstellungen!$B$26)/12</f>
        <v>1336.0741874999999</v>
      </c>
      <c r="N8" s="30">
        <f>ROUND(100*(0.25*(1-MIN(1,L8/Einstellungen!$B$29))+0.2*(1-MIN(1,K8/Einstellungen!$B$30))+0.25*VLOOKUP(F8,Einstellungen!$D$4:$E$8,2,FALSE)/5+0.2*VLOOKUP(G8,Einstellungen!$G$4:$H$12,2,FALSE)/5+0.1*MAX(0,1-(Einstellungen!$B$31-E8)/100)),0)</f>
        <v>54</v>
      </c>
      <c r="O8" s="26" t="s">
        <v>99</v>
      </c>
    </row>
    <row r="9" spans="1:20" ht="33.950000000000003" customHeight="1" x14ac:dyDescent="0.25">
      <c r="A9" s="26" t="s">
        <v>100</v>
      </c>
      <c r="B9" s="26" t="s">
        <v>101</v>
      </c>
      <c r="C9" s="27">
        <v>575000</v>
      </c>
      <c r="D9" s="26">
        <v>142</v>
      </c>
      <c r="E9" s="26">
        <v>2005</v>
      </c>
      <c r="F9" s="26" t="s">
        <v>77</v>
      </c>
      <c r="G9" s="26" t="s">
        <v>78</v>
      </c>
      <c r="H9" s="28">
        <v>3.5700000000000003E-2</v>
      </c>
      <c r="I9" s="27">
        <v>30000</v>
      </c>
      <c r="J9" s="29">
        <f>C9*(VLOOKUP(B9,Einstellungen!$A$4:$B$19,2,FALSE)+Einstellungen!$B$23+H9)</f>
        <v>62502.499999999993</v>
      </c>
      <c r="K9" s="29">
        <f t="shared" si="0"/>
        <v>667502.5</v>
      </c>
      <c r="L9" s="29">
        <f t="shared" si="1"/>
        <v>4049.2957746478874</v>
      </c>
      <c r="M9" s="29">
        <f>MAX(0,K9-'Hauskauf-Rechner'!$B$15)*(Einstellungen!$B$25+Einstellungen!$B$26)/12</f>
        <v>2790.9496875</v>
      </c>
      <c r="N9" s="30">
        <f>ROUND(100*(0.25*(1-MIN(1,L9/Einstellungen!$B$29))+0.2*(1-MIN(1,K9/Einstellungen!$B$30))+0.25*VLOOKUP(F9,Einstellungen!$D$4:$E$8,2,FALSE)/5+0.2*VLOOKUP(G9,Einstellungen!$G$4:$H$12,2,FALSE)/5+0.1*MAX(0,1-(Einstellungen!$B$31-E9)/100)),0)</f>
        <v>46</v>
      </c>
      <c r="O9" s="26" t="s">
        <v>102</v>
      </c>
    </row>
    <row r="10" spans="1:20" ht="33.950000000000003" customHeight="1" x14ac:dyDescent="0.25">
      <c r="A10" s="26" t="s">
        <v>103</v>
      </c>
      <c r="B10" s="26" t="s">
        <v>104</v>
      </c>
      <c r="C10" s="27">
        <v>255000</v>
      </c>
      <c r="D10" s="26">
        <v>132</v>
      </c>
      <c r="E10" s="26">
        <v>1988</v>
      </c>
      <c r="F10" s="26" t="s">
        <v>97</v>
      </c>
      <c r="G10" s="26" t="s">
        <v>98</v>
      </c>
      <c r="H10" s="28">
        <v>0</v>
      </c>
      <c r="I10" s="27">
        <v>48000</v>
      </c>
      <c r="J10" s="29">
        <f>C10*(VLOOKUP(B10,Einstellungen!$A$4:$B$19,2,FALSE)+Einstellungen!$B$23+H10)</f>
        <v>17340</v>
      </c>
      <c r="K10" s="29">
        <f t="shared" si="0"/>
        <v>320340</v>
      </c>
      <c r="L10" s="29">
        <f t="shared" si="1"/>
        <v>1931.8181818181818</v>
      </c>
      <c r="M10" s="29">
        <f>MAX(0,K10-'Hauskauf-Rechner'!$B$15)*(Einstellungen!$B$25+Einstellungen!$B$26)/12</f>
        <v>1098.5325</v>
      </c>
      <c r="N10" s="30">
        <f>ROUND(100*(0.25*(1-MIN(1,L10/Einstellungen!$B$29))+0.2*(1-MIN(1,K10/Einstellungen!$B$30))+0.25*VLOOKUP(F10,Einstellungen!$D$4:$E$8,2,FALSE)/5+0.2*VLOOKUP(G10,Einstellungen!$G$4:$H$12,2,FALSE)/5+0.1*MAX(0,1-(Einstellungen!$B$31-E10)/100)),0)</f>
        <v>58</v>
      </c>
      <c r="O10" s="26" t="s">
        <v>105</v>
      </c>
    </row>
    <row r="11" spans="1:20" ht="33.950000000000003" customHeight="1" x14ac:dyDescent="0.25">
      <c r="A11" s="26" t="s">
        <v>106</v>
      </c>
      <c r="B11" s="26" t="s">
        <v>107</v>
      </c>
      <c r="C11" s="27">
        <v>335000</v>
      </c>
      <c r="D11" s="26">
        <v>145</v>
      </c>
      <c r="E11" s="26">
        <v>1968</v>
      </c>
      <c r="F11" s="26" t="s">
        <v>108</v>
      </c>
      <c r="G11" s="26" t="s">
        <v>109</v>
      </c>
      <c r="H11" s="28">
        <v>3.5700000000000003E-2</v>
      </c>
      <c r="I11" s="27">
        <v>95000</v>
      </c>
      <c r="J11" s="29">
        <f>C11*(VLOOKUP(B11,Einstellungen!$A$4:$B$19,2,FALSE)+Einstellungen!$B$23+H11)</f>
        <v>39764.5</v>
      </c>
      <c r="K11" s="29">
        <f t="shared" si="0"/>
        <v>469764.5</v>
      </c>
      <c r="L11" s="29">
        <f t="shared" si="1"/>
        <v>2310.344827586207</v>
      </c>
      <c r="M11" s="29">
        <f>MAX(0,K11-'Hauskauf-Rechner'!$B$15)*(Einstellungen!$B$25+Einstellungen!$B$26)/12</f>
        <v>1826.9769374999998</v>
      </c>
      <c r="N11" s="30">
        <f>ROUND(100*(0.25*(1-MIN(1,L11/Einstellungen!$B$29))+0.2*(1-MIN(1,K11/Einstellungen!$B$30))+0.25*VLOOKUP(F11,Einstellungen!$D$4:$E$8,2,FALSE)/5+0.2*VLOOKUP(G11,Einstellungen!$G$4:$H$12,2,FALSE)/5+0.1*MAX(0,1-(Einstellungen!$B$31-E11)/100)),0)</f>
        <v>35</v>
      </c>
      <c r="O11" s="26" t="s">
        <v>110</v>
      </c>
    </row>
    <row r="12" spans="1:20" ht="33.950000000000003" customHeight="1" x14ac:dyDescent="0.25">
      <c r="A12" s="26" t="s">
        <v>111</v>
      </c>
      <c r="B12" s="26" t="s">
        <v>112</v>
      </c>
      <c r="C12" s="27">
        <v>385000</v>
      </c>
      <c r="D12" s="26">
        <v>128</v>
      </c>
      <c r="E12" s="26">
        <v>2001</v>
      </c>
      <c r="F12" s="26" t="s">
        <v>77</v>
      </c>
      <c r="G12" s="26" t="s">
        <v>85</v>
      </c>
      <c r="H12" s="28">
        <v>3.5700000000000003E-2</v>
      </c>
      <c r="I12" s="27">
        <v>28000</v>
      </c>
      <c r="J12" s="29">
        <f>C12*(VLOOKUP(B12,Einstellungen!$A$4:$B$19,2,FALSE)+Einstellungen!$B$23+H12)</f>
        <v>39924.500000000007</v>
      </c>
      <c r="K12" s="29">
        <f t="shared" si="0"/>
        <v>452924.5</v>
      </c>
      <c r="L12" s="29">
        <f t="shared" si="1"/>
        <v>3007.8125</v>
      </c>
      <c r="M12" s="29">
        <f>MAX(0,K12-'Hauskauf-Rechner'!$B$15)*(Einstellungen!$B$25+Einstellungen!$B$26)/12</f>
        <v>1744.8819375</v>
      </c>
      <c r="N12" s="30">
        <f>ROUND(100*(0.25*(1-MIN(1,L12/Einstellungen!$B$29))+0.2*(1-MIN(1,K12/Einstellungen!$B$30))+0.25*VLOOKUP(F12,Einstellungen!$D$4:$E$8,2,FALSE)/5+0.2*VLOOKUP(G12,Einstellungen!$G$4:$H$12,2,FALSE)/5+0.1*MAX(0,1-(Einstellungen!$B$31-E12)/100)),0)</f>
        <v>59</v>
      </c>
      <c r="O12" s="26" t="s">
        <v>113</v>
      </c>
    </row>
    <row r="13" spans="1:20" ht="20.100000000000001" customHeight="1" x14ac:dyDescent="0.25"/>
    <row r="14" spans="1:20" ht="20.100000000000001" customHeight="1" x14ac:dyDescent="0.25"/>
    <row r="15" spans="1:20" ht="20.100000000000001" customHeight="1" x14ac:dyDescent="0.25"/>
    <row r="16" spans="1:20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  <row r="23" ht="20.100000000000001" customHeight="1" x14ac:dyDescent="0.25"/>
    <row r="24" ht="20.100000000000001" customHeight="1" x14ac:dyDescent="0.25"/>
    <row r="25" ht="20.100000000000001" customHeight="1" x14ac:dyDescent="0.25"/>
    <row r="26" ht="20.100000000000001" customHeight="1" x14ac:dyDescent="0.25"/>
    <row r="27" ht="20.100000000000001" customHeight="1" x14ac:dyDescent="0.25"/>
    <row r="28" ht="20.100000000000001" customHeight="1" x14ac:dyDescent="0.25"/>
    <row r="29" ht="20.100000000000001" customHeight="1" x14ac:dyDescent="0.25"/>
    <row r="30" ht="20.100000000000001" customHeight="1" x14ac:dyDescent="0.25"/>
  </sheetData>
  <mergeCells count="3">
    <mergeCell ref="A1:O1"/>
    <mergeCell ref="A2:O2"/>
    <mergeCell ref="Q4:T4"/>
  </mergeCells>
  <conditionalFormatting sqref="K5:K12">
    <cfRule type="dataBar" priority="2">
      <dataBar>
        <cfvo type="min"/>
        <cfvo type="max"/>
        <color rgb="FF5B9BD5"/>
      </dataBar>
    </cfRule>
    <cfRule type="dataBar" priority="4">
      <dataBar>
        <cfvo type="min"/>
        <cfvo type="max"/>
        <color rgb="FF5B9BD5"/>
      </dataBar>
    </cfRule>
    <cfRule type="dataBar" priority="6">
      <dataBar>
        <cfvo type="min"/>
        <cfvo type="max"/>
        <color rgb="FF5B9BD5"/>
      </dataBar>
      <extLst>
        <ext xmlns:x14="http://schemas.microsoft.com/office/spreadsheetml/2009/9/main" uri="{B025F937-C7B1-47D3-B67F-A62EFF666E3E}">
          <x14:id>{B696FAA4-9779-5C64-4BA4-9091406850BC}</x14:id>
        </ext>
      </extLst>
    </cfRule>
  </conditionalFormatting>
  <conditionalFormatting sqref="M5:M12">
    <cfRule type="dataBar" priority="5">
      <dataBar>
        <cfvo type="min"/>
        <cfvo type="max"/>
        <color rgb="FF70AD47"/>
      </dataBar>
    </cfRule>
    <cfRule type="dataBar" priority="7">
      <dataBar>
        <cfvo type="min"/>
        <cfvo type="max"/>
        <color rgb="FF70AD47"/>
      </dataBar>
      <extLst>
        <ext xmlns:x14="http://schemas.microsoft.com/office/spreadsheetml/2009/9/main" uri="{B025F937-C7B1-47D3-B67F-A62EFF666E3E}">
          <x14:id>{8AC29A8B-28BC-04D5-1FBC-763B6B66290D}</x14:id>
        </ext>
      </extLst>
    </cfRule>
  </conditionalFormatting>
  <conditionalFormatting sqref="N5:N12">
    <cfRule type="colorScale" priority="1">
      <colorScale>
        <cfvo type="min"/>
        <cfvo type="percentile" val="50"/>
        <cfvo type="max"/>
        <color rgb="FFF4CCCC"/>
        <color rgb="FFFFF2CC"/>
        <color rgb="FFE2F0D9"/>
      </colorScale>
    </cfRule>
    <cfRule type="colorScale" priority="3">
      <colorScale>
        <cfvo type="min"/>
        <cfvo type="percentile" val="50"/>
        <cfvo type="max"/>
        <color rgb="FFF4CCCC"/>
        <color rgb="FFFFF2CC"/>
        <color rgb="FFE2F0D9"/>
      </colorScale>
    </cfRule>
  </conditionalFormatting>
  <dataValidations count="3">
    <dataValidation type="list" sqref="B5:B50" xr:uid="{00000000-0002-0000-0100-000000000000}">
      <formula1>"Baden-Württemberg,Bayern,Berlin,Brandenburg,Bremen,Hamburg,Hessen,Mecklenburg-Vorpommern,Niedersachsen,Nordrhein-Westfalen,Rheinland-Pfalz,Saarland,Sachsen,Sachsen-Anhalt,Schleswig-Holstein,Thüringen"</formula1>
    </dataValidation>
    <dataValidation type="list" sqref="F5:F50" xr:uid="{00000000-0002-0000-0100-000001000000}">
      <formula1>"Sehr gut,Gut,Mittel,Renovierungsbedürftig,Stark sanierungsbedürftig"</formula1>
    </dataValidation>
    <dataValidation type="list" sqref="G5:G50" xr:uid="{00000000-0002-0000-0100-000002000000}">
      <formula1>"A+,A,B,C,D,E,F,G,H"</formula1>
    </dataValidation>
  </dataValidation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696FAA4-9779-5C64-4BA4-9091406850BC}">
            <x14:dataBar>
              <x14:cfvo type="min"/>
              <x14:cfvo type="max"/>
              <x14:negativeFillColor auto="1"/>
              <x14:axisColor auto="1"/>
            </x14:dataBar>
          </x14:cfRule>
          <xm:sqref>K5:K12</xm:sqref>
        </x14:conditionalFormatting>
        <x14:conditionalFormatting xmlns:xm="http://schemas.microsoft.com/office/excel/2006/main">
          <x14:cfRule type="dataBar" id="{8AC29A8B-28BC-04D5-1FBC-763B6B66290D}">
            <x14:dataBar>
              <x14:cfvo type="min"/>
              <x14:cfvo type="max"/>
              <x14:negativeFillColor auto="1"/>
              <x14:axisColor auto="1"/>
            </x14:dataBar>
          </x14:cfRule>
          <xm:sqref>M5:M12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1"/>
  <sheetViews>
    <sheetView workbookViewId="0"/>
  </sheetViews>
  <sheetFormatPr baseColWidth="10" defaultColWidth="9" defaultRowHeight="15" x14ac:dyDescent="0.25"/>
  <cols>
    <col min="1" max="1" width="24" customWidth="1"/>
    <col min="2" max="2" width="20" customWidth="1"/>
    <col min="4" max="4" width="24" customWidth="1"/>
    <col min="5" max="5" width="5.625" customWidth="1"/>
    <col min="7" max="7" width="18" customWidth="1"/>
    <col min="8" max="8" width="5.625" customWidth="1"/>
    <col min="10" max="10" width="18" customWidth="1"/>
    <col min="11" max="11" width="8.25" customWidth="1"/>
  </cols>
  <sheetData>
    <row r="1" spans="1:11" ht="21" x14ac:dyDescent="0.35">
      <c r="A1" s="39" t="s">
        <v>114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x14ac:dyDescent="0.25">
      <c r="A2" s="37" t="s">
        <v>115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30" x14ac:dyDescent="0.25">
      <c r="A3" s="1" t="s">
        <v>12</v>
      </c>
      <c r="B3" s="1" t="s">
        <v>116</v>
      </c>
      <c r="D3" s="1" t="s">
        <v>67</v>
      </c>
      <c r="E3" s="1" t="s">
        <v>117</v>
      </c>
      <c r="G3" s="1" t="s">
        <v>68</v>
      </c>
      <c r="H3" s="1" t="s">
        <v>117</v>
      </c>
      <c r="J3" s="1" t="s">
        <v>118</v>
      </c>
      <c r="K3" s="1" t="s">
        <v>119</v>
      </c>
    </row>
    <row r="4" spans="1:11" x14ac:dyDescent="0.25">
      <c r="A4" s="3" t="s">
        <v>120</v>
      </c>
      <c r="B4" s="4">
        <v>0.05</v>
      </c>
      <c r="D4" s="3" t="s">
        <v>84</v>
      </c>
      <c r="E4" s="3">
        <v>5</v>
      </c>
      <c r="G4" s="3" t="s">
        <v>121</v>
      </c>
      <c r="H4" s="3">
        <v>5</v>
      </c>
      <c r="J4" s="3" t="s">
        <v>20</v>
      </c>
      <c r="K4" s="3" t="s">
        <v>21</v>
      </c>
    </row>
    <row r="5" spans="1:11" x14ac:dyDescent="0.25">
      <c r="A5" s="3" t="s">
        <v>83</v>
      </c>
      <c r="B5" s="4">
        <v>3.5000000000000003E-2</v>
      </c>
      <c r="D5" s="3" t="s">
        <v>77</v>
      </c>
      <c r="E5" s="3">
        <v>4</v>
      </c>
      <c r="G5" s="3" t="s">
        <v>122</v>
      </c>
      <c r="H5" s="3">
        <v>4.7</v>
      </c>
      <c r="J5" s="3" t="s">
        <v>20</v>
      </c>
      <c r="K5" s="3" t="s">
        <v>123</v>
      </c>
    </row>
    <row r="6" spans="1:11" x14ac:dyDescent="0.25">
      <c r="A6" s="3" t="s">
        <v>124</v>
      </c>
      <c r="B6" s="4">
        <v>0.06</v>
      </c>
      <c r="D6" s="3" t="s">
        <v>97</v>
      </c>
      <c r="E6" s="3">
        <v>3</v>
      </c>
      <c r="G6" s="3" t="s">
        <v>85</v>
      </c>
      <c r="H6" s="3">
        <v>4.3</v>
      </c>
      <c r="J6" s="3" t="s">
        <v>125</v>
      </c>
      <c r="K6" s="3" t="s">
        <v>126</v>
      </c>
    </row>
    <row r="7" spans="1:11" x14ac:dyDescent="0.25">
      <c r="A7" s="3" t="s">
        <v>107</v>
      </c>
      <c r="B7" s="4">
        <v>6.5000000000000002E-2</v>
      </c>
      <c r="D7" s="3" t="s">
        <v>91</v>
      </c>
      <c r="E7" s="3">
        <v>2</v>
      </c>
      <c r="G7" s="3" t="s">
        <v>78</v>
      </c>
      <c r="H7" s="3">
        <v>3.8</v>
      </c>
      <c r="J7" s="3" t="s">
        <v>125</v>
      </c>
      <c r="K7" s="3" t="s">
        <v>127</v>
      </c>
    </row>
    <row r="8" spans="1:11" x14ac:dyDescent="0.25">
      <c r="A8" s="3" t="s">
        <v>128</v>
      </c>
      <c r="B8" s="4">
        <v>5.5E-2</v>
      </c>
      <c r="D8" s="3" t="s">
        <v>108</v>
      </c>
      <c r="E8" s="3">
        <v>1</v>
      </c>
      <c r="G8" s="3" t="s">
        <v>98</v>
      </c>
      <c r="H8" s="3">
        <v>3.2</v>
      </c>
      <c r="J8" s="3" t="s">
        <v>125</v>
      </c>
      <c r="K8" s="3" t="s">
        <v>129</v>
      </c>
    </row>
    <row r="9" spans="1:11" x14ac:dyDescent="0.25">
      <c r="A9" s="3" t="s">
        <v>101</v>
      </c>
      <c r="B9" s="4">
        <v>5.5E-2</v>
      </c>
      <c r="G9" s="3" t="s">
        <v>92</v>
      </c>
      <c r="H9" s="3">
        <v>2.6</v>
      </c>
    </row>
    <row r="10" spans="1:11" x14ac:dyDescent="0.25">
      <c r="A10" s="3" t="s">
        <v>130</v>
      </c>
      <c r="B10" s="4">
        <v>0.06</v>
      </c>
      <c r="G10" s="3" t="s">
        <v>109</v>
      </c>
      <c r="H10" s="3">
        <v>2</v>
      </c>
    </row>
    <row r="11" spans="1:11" x14ac:dyDescent="0.25">
      <c r="A11" s="3" t="s">
        <v>131</v>
      </c>
      <c r="B11" s="4">
        <v>0.06</v>
      </c>
      <c r="G11" s="3" t="s">
        <v>132</v>
      </c>
      <c r="H11" s="3">
        <v>1.4</v>
      </c>
    </row>
    <row r="12" spans="1:11" x14ac:dyDescent="0.25">
      <c r="A12" s="3" t="s">
        <v>13</v>
      </c>
      <c r="B12" s="4">
        <v>0.05</v>
      </c>
      <c r="G12" s="3" t="s">
        <v>133</v>
      </c>
      <c r="H12" s="3">
        <v>1</v>
      </c>
    </row>
    <row r="13" spans="1:11" x14ac:dyDescent="0.25">
      <c r="A13" s="3" t="s">
        <v>90</v>
      </c>
      <c r="B13" s="4">
        <v>6.5000000000000002E-2</v>
      </c>
    </row>
    <row r="14" spans="1:11" x14ac:dyDescent="0.25">
      <c r="A14" s="3" t="s">
        <v>112</v>
      </c>
      <c r="B14" s="4">
        <v>0.05</v>
      </c>
    </row>
    <row r="15" spans="1:11" x14ac:dyDescent="0.25">
      <c r="A15" s="3" t="s">
        <v>134</v>
      </c>
      <c r="B15" s="4">
        <v>6.5000000000000002E-2</v>
      </c>
    </row>
    <row r="16" spans="1:11" x14ac:dyDescent="0.25">
      <c r="A16" s="3" t="s">
        <v>96</v>
      </c>
      <c r="B16" s="4">
        <v>5.5E-2</v>
      </c>
    </row>
    <row r="17" spans="1:2" x14ac:dyDescent="0.25">
      <c r="A17" s="3" t="s">
        <v>135</v>
      </c>
      <c r="B17" s="4">
        <v>0.05</v>
      </c>
    </row>
    <row r="18" spans="1:2" x14ac:dyDescent="0.25">
      <c r="A18" s="3" t="s">
        <v>136</v>
      </c>
      <c r="B18" s="4">
        <v>6.5000000000000002E-2</v>
      </c>
    </row>
    <row r="19" spans="1:2" x14ac:dyDescent="0.25">
      <c r="A19" s="3" t="s">
        <v>104</v>
      </c>
      <c r="B19" s="4">
        <v>0.05</v>
      </c>
    </row>
    <row r="22" spans="1:2" x14ac:dyDescent="0.25">
      <c r="A22" s="1" t="s">
        <v>137</v>
      </c>
      <c r="B22" s="1" t="s">
        <v>138</v>
      </c>
    </row>
    <row r="23" spans="1:2" x14ac:dyDescent="0.25">
      <c r="A23" s="3" t="s">
        <v>139</v>
      </c>
      <c r="B23" s="5">
        <v>1.7999999999999999E-2</v>
      </c>
    </row>
    <row r="24" spans="1:2" x14ac:dyDescent="0.25">
      <c r="A24" s="3" t="s">
        <v>140</v>
      </c>
      <c r="B24" s="5">
        <v>3.5700000000000003E-2</v>
      </c>
    </row>
    <row r="25" spans="1:2" x14ac:dyDescent="0.25">
      <c r="A25" s="3" t="s">
        <v>141</v>
      </c>
      <c r="B25" s="5">
        <v>3.85E-2</v>
      </c>
    </row>
    <row r="26" spans="1:2" x14ac:dyDescent="0.25">
      <c r="A26" s="3" t="s">
        <v>142</v>
      </c>
      <c r="B26" s="5">
        <v>0.02</v>
      </c>
    </row>
    <row r="27" spans="1:2" x14ac:dyDescent="0.25">
      <c r="A27" s="3" t="s">
        <v>44</v>
      </c>
      <c r="B27" s="5">
        <v>0.35</v>
      </c>
    </row>
    <row r="28" spans="1:2" x14ac:dyDescent="0.25">
      <c r="A28" s="3" t="s">
        <v>143</v>
      </c>
      <c r="B28" s="6">
        <v>12</v>
      </c>
    </row>
    <row r="29" spans="1:2" x14ac:dyDescent="0.25">
      <c r="A29" s="3" t="s">
        <v>144</v>
      </c>
      <c r="B29" s="6">
        <v>4500</v>
      </c>
    </row>
    <row r="30" spans="1:2" x14ac:dyDescent="0.25">
      <c r="A30" s="3" t="s">
        <v>145</v>
      </c>
      <c r="B30" s="6">
        <v>650000</v>
      </c>
    </row>
    <row r="31" spans="1:2" x14ac:dyDescent="0.25">
      <c r="A31" s="3" t="s">
        <v>146</v>
      </c>
      <c r="B31" s="6">
        <v>2026</v>
      </c>
    </row>
  </sheetData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Hauskauf-Rechner</vt:lpstr>
      <vt:lpstr>Objektvergleich</vt:lpstr>
      <vt:lpstr>Einstellungen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2026-06-09T07:17:03Z</dcterms:modified>
</cp:coreProperties>
</file>