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Gatränkekarte\"/>
    </mc:Choice>
  </mc:AlternateContent>
  <xr:revisionPtr revIDLastSave="0" documentId="13_ncr:1_{8694E31B-BD81-4C73-B956-F8FEB987B4A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Getränkekarte" sheetId="1" r:id="rId1"/>
    <sheet name="Kalkulation &amp; DB" sheetId="2" r:id="rId2"/>
    <sheet name="Bestand &amp; Einkauf" sheetId="3" r:id="rId3"/>
    <sheet name="Umsatzauswertung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3" i="4" l="1"/>
  <c r="F33" i="4"/>
  <c r="H33" i="4" s="1"/>
  <c r="G32" i="4"/>
  <c r="F32" i="4"/>
  <c r="H32" i="4" s="1"/>
  <c r="G31" i="4"/>
  <c r="F31" i="4"/>
  <c r="H31" i="4" s="1"/>
  <c r="G30" i="4"/>
  <c r="F30" i="4"/>
  <c r="H30" i="4" s="1"/>
  <c r="G28" i="4"/>
  <c r="F28" i="4"/>
  <c r="H28" i="4" s="1"/>
  <c r="G27" i="4"/>
  <c r="F27" i="4"/>
  <c r="H27" i="4" s="1"/>
  <c r="G26" i="4"/>
  <c r="F26" i="4"/>
  <c r="H26" i="4" s="1"/>
  <c r="G24" i="4"/>
  <c r="F24" i="4"/>
  <c r="H24" i="4" s="1"/>
  <c r="G23" i="4"/>
  <c r="F23" i="4"/>
  <c r="H23" i="4" s="1"/>
  <c r="G22" i="4"/>
  <c r="F22" i="4"/>
  <c r="H22" i="4" s="1"/>
  <c r="G20" i="4"/>
  <c r="F20" i="4"/>
  <c r="H20" i="4" s="1"/>
  <c r="G19" i="4"/>
  <c r="F19" i="4"/>
  <c r="H19" i="4" s="1"/>
  <c r="G18" i="4"/>
  <c r="F18" i="4"/>
  <c r="H18" i="4" s="1"/>
  <c r="G17" i="4"/>
  <c r="F17" i="4"/>
  <c r="H17" i="4" s="1"/>
  <c r="G15" i="4"/>
  <c r="F15" i="4"/>
  <c r="H15" i="4" s="1"/>
  <c r="G14" i="4"/>
  <c r="F14" i="4"/>
  <c r="H14" i="4" s="1"/>
  <c r="G13" i="4"/>
  <c r="F13" i="4"/>
  <c r="H13" i="4" s="1"/>
  <c r="G12" i="4"/>
  <c r="F12" i="4"/>
  <c r="H12" i="4" s="1"/>
  <c r="G10" i="4"/>
  <c r="F10" i="4"/>
  <c r="H10" i="4" s="1"/>
  <c r="G9" i="4"/>
  <c r="F9" i="4"/>
  <c r="H9" i="4" s="1"/>
  <c r="G8" i="4"/>
  <c r="F8" i="4"/>
  <c r="H8" i="4" s="1"/>
  <c r="G7" i="4"/>
  <c r="F7" i="4"/>
  <c r="H7" i="4" s="1"/>
  <c r="G6" i="4"/>
  <c r="G34" i="4" s="1"/>
  <c r="F6" i="4"/>
  <c r="F34" i="4" s="1"/>
  <c r="H32" i="3"/>
  <c r="J32" i="3" s="1"/>
  <c r="G32" i="3"/>
  <c r="J31" i="3"/>
  <c r="H31" i="3"/>
  <c r="G31" i="3"/>
  <c r="H30" i="3"/>
  <c r="J30" i="3" s="1"/>
  <c r="G30" i="3"/>
  <c r="H29" i="3"/>
  <c r="J29" i="3" s="1"/>
  <c r="G29" i="3"/>
  <c r="H27" i="3"/>
  <c r="J27" i="3" s="1"/>
  <c r="G27" i="3"/>
  <c r="H26" i="3"/>
  <c r="J26" i="3" s="1"/>
  <c r="G26" i="3"/>
  <c r="H25" i="3"/>
  <c r="J25" i="3" s="1"/>
  <c r="G25" i="3"/>
  <c r="H24" i="3"/>
  <c r="J24" i="3" s="1"/>
  <c r="G24" i="3"/>
  <c r="H23" i="3"/>
  <c r="J23" i="3" s="1"/>
  <c r="G23" i="3"/>
  <c r="J21" i="3"/>
  <c r="H21" i="3"/>
  <c r="G21" i="3"/>
  <c r="J20" i="3"/>
  <c r="H20" i="3"/>
  <c r="G20" i="3"/>
  <c r="H19" i="3"/>
  <c r="J19" i="3" s="1"/>
  <c r="G19" i="3"/>
  <c r="H18" i="3"/>
  <c r="J18" i="3" s="1"/>
  <c r="G18" i="3"/>
  <c r="H17" i="3"/>
  <c r="J17" i="3" s="1"/>
  <c r="G17" i="3"/>
  <c r="H16" i="3"/>
  <c r="J16" i="3" s="1"/>
  <c r="G16" i="3"/>
  <c r="J14" i="3"/>
  <c r="H14" i="3"/>
  <c r="G14" i="3"/>
  <c r="H13" i="3"/>
  <c r="J13" i="3" s="1"/>
  <c r="G13" i="3"/>
  <c r="H12" i="3"/>
  <c r="J12" i="3" s="1"/>
  <c r="G12" i="3"/>
  <c r="H11" i="3"/>
  <c r="J11" i="3" s="1"/>
  <c r="G11" i="3"/>
  <c r="H9" i="3"/>
  <c r="J9" i="3" s="1"/>
  <c r="G9" i="3"/>
  <c r="H8" i="3"/>
  <c r="J8" i="3" s="1"/>
  <c r="G8" i="3"/>
  <c r="J7" i="3"/>
  <c r="H7" i="3"/>
  <c r="G7" i="3"/>
  <c r="H6" i="3"/>
  <c r="J6" i="3" s="1"/>
  <c r="G6" i="3"/>
  <c r="L25" i="2"/>
  <c r="K25" i="2"/>
  <c r="J25" i="2"/>
  <c r="J24" i="2"/>
  <c r="L24" i="2" s="1"/>
  <c r="G23" i="2"/>
  <c r="H23" i="2" s="1"/>
  <c r="J23" i="2" s="1"/>
  <c r="H22" i="2"/>
  <c r="J22" i="2" s="1"/>
  <c r="G22" i="2"/>
  <c r="G21" i="2"/>
  <c r="H21" i="2" s="1"/>
  <c r="J21" i="2" s="1"/>
  <c r="G20" i="2"/>
  <c r="H20" i="2" s="1"/>
  <c r="J20" i="2" s="1"/>
  <c r="G19" i="2"/>
  <c r="H19" i="2" s="1"/>
  <c r="J19" i="2" s="1"/>
  <c r="H18" i="2"/>
  <c r="J18" i="2" s="1"/>
  <c r="G18" i="2"/>
  <c r="G17" i="2"/>
  <c r="H17" i="2" s="1"/>
  <c r="J17" i="2" s="1"/>
  <c r="G16" i="2"/>
  <c r="H16" i="2" s="1"/>
  <c r="J16" i="2" s="1"/>
  <c r="G15" i="2"/>
  <c r="H15" i="2" s="1"/>
  <c r="J15" i="2" s="1"/>
  <c r="H14" i="2"/>
  <c r="J14" i="2" s="1"/>
  <c r="G14" i="2"/>
  <c r="G13" i="2"/>
  <c r="H13" i="2" s="1"/>
  <c r="J13" i="2" s="1"/>
  <c r="G12" i="2"/>
  <c r="H12" i="2" s="1"/>
  <c r="J12" i="2" s="1"/>
  <c r="G11" i="2"/>
  <c r="H11" i="2" s="1"/>
  <c r="J11" i="2" s="1"/>
  <c r="H10" i="2"/>
  <c r="J10" i="2" s="1"/>
  <c r="G10" i="2"/>
  <c r="G9" i="2"/>
  <c r="H9" i="2" s="1"/>
  <c r="J9" i="2" s="1"/>
  <c r="L6" i="2"/>
  <c r="J69" i="1"/>
  <c r="K67" i="1"/>
  <c r="L67" i="1" s="1"/>
  <c r="K66" i="1"/>
  <c r="L66" i="1" s="1"/>
  <c r="K65" i="1"/>
  <c r="M65" i="1" s="1"/>
  <c r="M64" i="1"/>
  <c r="L64" i="1"/>
  <c r="K64" i="1"/>
  <c r="K62" i="1"/>
  <c r="M62" i="1" s="1"/>
  <c r="M61" i="1"/>
  <c r="K61" i="1"/>
  <c r="L61" i="1" s="1"/>
  <c r="K60" i="1"/>
  <c r="L60" i="1" s="1"/>
  <c r="K59" i="1"/>
  <c r="L59" i="1" s="1"/>
  <c r="K58" i="1"/>
  <c r="L58" i="1" s="1"/>
  <c r="M57" i="1"/>
  <c r="L57" i="1"/>
  <c r="K57" i="1"/>
  <c r="M55" i="1"/>
  <c r="K55" i="1"/>
  <c r="L55" i="1" s="1"/>
  <c r="K54" i="1"/>
  <c r="M54" i="1" s="1"/>
  <c r="K53" i="1"/>
  <c r="M53" i="1" s="1"/>
  <c r="K52" i="1"/>
  <c r="L52" i="1" s="1"/>
  <c r="K51" i="1"/>
  <c r="L51" i="1" s="1"/>
  <c r="K50" i="1"/>
  <c r="L50" i="1" s="1"/>
  <c r="M49" i="1"/>
  <c r="K49" i="1"/>
  <c r="L49" i="1" s="1"/>
  <c r="L48" i="1"/>
  <c r="K48" i="1"/>
  <c r="M48" i="1" s="1"/>
  <c r="M47" i="1"/>
  <c r="L47" i="1"/>
  <c r="K47" i="1"/>
  <c r="K46" i="1"/>
  <c r="M46" i="1" s="1"/>
  <c r="K44" i="1"/>
  <c r="L44" i="1" s="1"/>
  <c r="K43" i="1"/>
  <c r="L43" i="1" s="1"/>
  <c r="K42" i="1"/>
  <c r="M42" i="1" s="1"/>
  <c r="M41" i="1"/>
  <c r="L41" i="1"/>
  <c r="K41" i="1"/>
  <c r="K40" i="1"/>
  <c r="M40" i="1" s="1"/>
  <c r="M39" i="1"/>
  <c r="K39" i="1"/>
  <c r="L39" i="1" s="1"/>
  <c r="K37" i="1"/>
  <c r="L37" i="1" s="1"/>
  <c r="K36" i="1"/>
  <c r="L36" i="1" s="1"/>
  <c r="K35" i="1"/>
  <c r="M35" i="1" s="1"/>
  <c r="M34" i="1"/>
  <c r="L34" i="1"/>
  <c r="K34" i="1"/>
  <c r="M33" i="1"/>
  <c r="K33" i="1"/>
  <c r="L33" i="1" s="1"/>
  <c r="K32" i="1"/>
  <c r="L32" i="1" s="1"/>
  <c r="K31" i="1"/>
  <c r="M31" i="1" s="1"/>
  <c r="K30" i="1"/>
  <c r="M30" i="1" s="1"/>
  <c r="K29" i="1"/>
  <c r="M29" i="1" s="1"/>
  <c r="K28" i="1"/>
  <c r="L28" i="1" s="1"/>
  <c r="M26" i="1"/>
  <c r="K26" i="1"/>
  <c r="L26" i="1" s="1"/>
  <c r="L25" i="1"/>
  <c r="K25" i="1"/>
  <c r="M25" i="1" s="1"/>
  <c r="M24" i="1"/>
  <c r="L24" i="1"/>
  <c r="K24" i="1"/>
  <c r="K23" i="1"/>
  <c r="M23" i="1" s="1"/>
  <c r="K22" i="1"/>
  <c r="L22" i="1" s="1"/>
  <c r="K21" i="1"/>
  <c r="L21" i="1" s="1"/>
  <c r="K20" i="1"/>
  <c r="M20" i="1" s="1"/>
  <c r="M19" i="1"/>
  <c r="L19" i="1"/>
  <c r="K19" i="1"/>
  <c r="K17" i="1"/>
  <c r="M17" i="1" s="1"/>
  <c r="M16" i="1"/>
  <c r="K16" i="1"/>
  <c r="L16" i="1" s="1"/>
  <c r="K15" i="1"/>
  <c r="L15" i="1" s="1"/>
  <c r="K14" i="1"/>
  <c r="L14" i="1" s="1"/>
  <c r="K13" i="1"/>
  <c r="M13" i="1" s="1"/>
  <c r="M12" i="1"/>
  <c r="L12" i="1"/>
  <c r="K12" i="1"/>
  <c r="M11" i="1"/>
  <c r="K11" i="1"/>
  <c r="L11" i="1" s="1"/>
  <c r="K10" i="1"/>
  <c r="M10" i="1" s="1"/>
  <c r="J33" i="3" l="1"/>
  <c r="L15" i="2"/>
  <c r="K15" i="2"/>
  <c r="K19" i="2"/>
  <c r="L19" i="2"/>
  <c r="K10" i="2"/>
  <c r="L10" i="2"/>
  <c r="L12" i="2"/>
  <c r="K12" i="2"/>
  <c r="L16" i="2"/>
  <c r="K16" i="2"/>
  <c r="L17" i="2"/>
  <c r="K17" i="2"/>
  <c r="L20" i="2"/>
  <c r="K20" i="2"/>
  <c r="K22" i="2"/>
  <c r="L22" i="2"/>
  <c r="K23" i="2"/>
  <c r="L23" i="2"/>
  <c r="L9" i="2"/>
  <c r="K9" i="2"/>
  <c r="K11" i="2"/>
  <c r="L11" i="2"/>
  <c r="L13" i="2"/>
  <c r="K13" i="2"/>
  <c r="K14" i="2"/>
  <c r="L14" i="2"/>
  <c r="L18" i="2"/>
  <c r="K18" i="2"/>
  <c r="L21" i="2"/>
  <c r="K21" i="2"/>
  <c r="M15" i="1"/>
  <c r="L23" i="1"/>
  <c r="M37" i="1"/>
  <c r="L46" i="1"/>
  <c r="M60" i="1"/>
  <c r="K69" i="1"/>
  <c r="K24" i="2"/>
  <c r="L31" i="1"/>
  <c r="L53" i="1"/>
  <c r="L20" i="1"/>
  <c r="L42" i="1"/>
  <c r="L65" i="1"/>
  <c r="L13" i="1"/>
  <c r="M28" i="1"/>
  <c r="L35" i="1"/>
  <c r="M50" i="1"/>
  <c r="M58" i="1"/>
  <c r="M21" i="1"/>
  <c r="L29" i="1"/>
  <c r="M43" i="1"/>
  <c r="M66" i="1"/>
  <c r="M14" i="1"/>
  <c r="M69" i="1" s="1"/>
  <c r="M36" i="1"/>
  <c r="H6" i="4"/>
  <c r="M22" i="1"/>
  <c r="L30" i="1"/>
  <c r="M44" i="1"/>
  <c r="M52" i="1"/>
  <c r="L10" i="1"/>
  <c r="L54" i="1"/>
  <c r="L17" i="1"/>
  <c r="M32" i="1"/>
  <c r="L40" i="1"/>
  <c r="L62" i="1"/>
  <c r="M59" i="1"/>
  <c r="M67" i="1"/>
  <c r="M51" i="1"/>
  <c r="L69" i="1" l="1"/>
  <c r="H34" i="4"/>
  <c r="I6" i="4" s="1"/>
  <c r="I22" i="4" l="1"/>
  <c r="I13" i="4"/>
  <c r="I31" i="4"/>
  <c r="I18" i="4"/>
  <c r="I26" i="4"/>
  <c r="I32" i="4"/>
  <c r="I27" i="4"/>
  <c r="I28" i="4"/>
  <c r="I10" i="4"/>
  <c r="I24" i="4"/>
  <c r="I19" i="4"/>
  <c r="I8" i="4"/>
  <c r="I15" i="4"/>
  <c r="I30" i="4"/>
  <c r="I23" i="4"/>
  <c r="I14" i="4"/>
  <c r="I17" i="4"/>
  <c r="I7" i="4"/>
  <c r="I9" i="4"/>
  <c r="I20" i="4"/>
  <c r="I33" i="4"/>
  <c r="I12" i="4"/>
</calcChain>
</file>

<file path=xl/sharedStrings.xml><?xml version="1.0" encoding="utf-8"?>
<sst xmlns="http://schemas.openxmlformats.org/spreadsheetml/2006/main" count="597" uniqueCount="238">
  <si>
    <t>🍹  GETRÄNKEKARTE  –  Verwaltung &amp; Kalkulation</t>
  </si>
  <si>
    <t>Stand: 2026  |  [Betrieb / Lokal]</t>
  </si>
  <si>
    <t xml:space="preserve">  💡  ANLEITUNG: Eingabefelder sind die gelb markierten Spalten (B–I). Alle anderen Spalten (J–M) werden automatisch berechnet. MwSt-Satz in Zelle L3 anpassen falls nötig (Standard: 19% für Getränke).</t>
  </si>
  <si>
    <t xml:space="preserve">MwSt.-Satz (Getränke): </t>
  </si>
  <si>
    <t>← Diesen Wert anpassen (z. B. 0,07 für alkoholfrei / 0,19 für alkoholisch)</t>
  </si>
  <si>
    <t>Nr.</t>
  </si>
  <si>
    <t>Getränk / Bezeichnung</t>
  </si>
  <si>
    <t>Kategorie</t>
  </si>
  <si>
    <t>Unterkategorie</t>
  </si>
  <si>
    <t>Größe / Menge</t>
  </si>
  <si>
    <t>Alkohol %</t>
  </si>
  <si>
    <t>Allergene</t>
  </si>
  <si>
    <t>Verfügbar</t>
  </si>
  <si>
    <t>Einkaufspreis (€/Portion)</t>
  </si>
  <si>
    <t>Aufschlagsfaktor</t>
  </si>
  <si>
    <t>Netto-VK (€)</t>
  </si>
  <si>
    <t>Brutto-VK (€)</t>
  </si>
  <si>
    <t>Marge (%)</t>
  </si>
  <si>
    <t xml:space="preserve">  ▸  BIERE – Flasche &amp; Fass</t>
  </si>
  <si>
    <t>Lager Hell</t>
  </si>
  <si>
    <t>Bier</t>
  </si>
  <si>
    <t>Fassbier</t>
  </si>
  <si>
    <t>0,3 l</t>
  </si>
  <si>
    <t>4,8%</t>
  </si>
  <si>
    <t>Gluten</t>
  </si>
  <si>
    <t>Ja</t>
  </si>
  <si>
    <t>0,5 l</t>
  </si>
  <si>
    <t>Weizenbier</t>
  </si>
  <si>
    <t>Flaschenbier</t>
  </si>
  <si>
    <t>5,2%</t>
  </si>
  <si>
    <t>Pils vom Fass</t>
  </si>
  <si>
    <t>4,9%</t>
  </si>
  <si>
    <t>Dunkles Bier</t>
  </si>
  <si>
    <t>0,33 l</t>
  </si>
  <si>
    <t>5,0%</t>
  </si>
  <si>
    <t>Alkoholfreies Bier</t>
  </si>
  <si>
    <t>Alkoholfrei</t>
  </si>
  <si>
    <t>0,0%</t>
  </si>
  <si>
    <t>Radler</t>
  </si>
  <si>
    <t>Mischbier</t>
  </si>
  <si>
    <t>2,5%</t>
  </si>
  <si>
    <t xml:space="preserve">  ▸  WEINE – Glas &amp; Flasche</t>
  </si>
  <si>
    <t>Weißwein – Riesling</t>
  </si>
  <si>
    <t>Wein</t>
  </si>
  <si>
    <t>Weißwein</t>
  </si>
  <si>
    <t>0,2 l</t>
  </si>
  <si>
    <t>12,0%</t>
  </si>
  <si>
    <t>Sulfite</t>
  </si>
  <si>
    <t>0,75 l</t>
  </si>
  <si>
    <t>Weißwein – Grauburgunder</t>
  </si>
  <si>
    <t>13,0%</t>
  </si>
  <si>
    <t>Rotwein – Spätburgunder</t>
  </si>
  <si>
    <t>Rotwein</t>
  </si>
  <si>
    <t>13,5%</t>
  </si>
  <si>
    <t>Roséwein</t>
  </si>
  <si>
    <t>Rosé</t>
  </si>
  <si>
    <t>11,5%</t>
  </si>
  <si>
    <t>Sekt – Brut</t>
  </si>
  <si>
    <t>Sekt/Prosecco</t>
  </si>
  <si>
    <t>0,1 l</t>
  </si>
  <si>
    <t>11,0%</t>
  </si>
  <si>
    <t xml:space="preserve">  ▸  SPIRITUOSEN &amp; LONGDRINKS</t>
  </si>
  <si>
    <t>Wodka</t>
  </si>
  <si>
    <t>Spirituosen</t>
  </si>
  <si>
    <t>4 cl</t>
  </si>
  <si>
    <t>40,0%</t>
  </si>
  <si>
    <t>–</t>
  </si>
  <si>
    <t>Rum</t>
  </si>
  <si>
    <t>Whisky (Blended)</t>
  </si>
  <si>
    <t>Whisky</t>
  </si>
  <si>
    <t>Gin</t>
  </si>
  <si>
    <t>Tequila</t>
  </si>
  <si>
    <t>38,0%</t>
  </si>
  <si>
    <t>Aperitif (Bitter)</t>
  </si>
  <si>
    <t>Aperitif</t>
  </si>
  <si>
    <t>25,0%</t>
  </si>
  <si>
    <t>Kräuterlikör</t>
  </si>
  <si>
    <t>Likör</t>
  </si>
  <si>
    <t>2 cl</t>
  </si>
  <si>
    <t>35,0%</t>
  </si>
  <si>
    <t>Weinbrand</t>
  </si>
  <si>
    <t>36,0%</t>
  </si>
  <si>
    <t>Longdrink (Gin Tonic)</t>
  </si>
  <si>
    <t>Longdrink</t>
  </si>
  <si>
    <t>8,0%</t>
  </si>
  <si>
    <t>Longdrink (Rum Cola)</t>
  </si>
  <si>
    <t>6,0%</t>
  </si>
  <si>
    <t xml:space="preserve">  ▸  COCKTAILS &amp; MIXGETRÄNKE</t>
  </si>
  <si>
    <t>Klassischer Mojito</t>
  </si>
  <si>
    <t>Cocktail</t>
  </si>
  <si>
    <t>Alkoholisch</t>
  </si>
  <si>
    <t>Aperol Spritz</t>
  </si>
  <si>
    <t>5,5%</t>
  </si>
  <si>
    <t>Gin Basil Smash</t>
  </si>
  <si>
    <t>0,25 l</t>
  </si>
  <si>
    <t>10,0%</t>
  </si>
  <si>
    <t>Caipirinha</t>
  </si>
  <si>
    <t>9,0%</t>
  </si>
  <si>
    <t>Virgin Mojito</t>
  </si>
  <si>
    <t>Fruit Punch (alkoholfrei)</t>
  </si>
  <si>
    <t xml:space="preserve">  ▸  SOFTDRINKS &amp; SÄFTE</t>
  </si>
  <si>
    <t>Cola</t>
  </si>
  <si>
    <t>Softdrink</t>
  </si>
  <si>
    <t>Koffein</t>
  </si>
  <si>
    <t>Limonade (Zitrone)</t>
  </si>
  <si>
    <t>Limo</t>
  </si>
  <si>
    <t>Orangensaft (frisch)</t>
  </si>
  <si>
    <t>Saft</t>
  </si>
  <si>
    <t>0,4 l</t>
  </si>
  <si>
    <t>Apfelsaft (naturtrüb)</t>
  </si>
  <si>
    <t>Multivitaminsaft</t>
  </si>
  <si>
    <t>Mineralwasser</t>
  </si>
  <si>
    <t>Wasser</t>
  </si>
  <si>
    <t>Tonic Water</t>
  </si>
  <si>
    <t>Mixer</t>
  </si>
  <si>
    <t>Chinin</t>
  </si>
  <si>
    <t xml:space="preserve">  ▸  KAFFEE &amp; TEE</t>
  </si>
  <si>
    <t>Espresso</t>
  </si>
  <si>
    <t>Kaffee/Tee</t>
  </si>
  <si>
    <t>1 Tasse</t>
  </si>
  <si>
    <t>Cappuccino</t>
  </si>
  <si>
    <t>Kaffee</t>
  </si>
  <si>
    <t>Koffein, Lakt.</t>
  </si>
  <si>
    <t>Latte Macchiato</t>
  </si>
  <si>
    <t>1 Glas</t>
  </si>
  <si>
    <t>Filterkaffee</t>
  </si>
  <si>
    <t>Tee (Auswahl)</t>
  </si>
  <si>
    <t>Tee</t>
  </si>
  <si>
    <t>1 Kanne</t>
  </si>
  <si>
    <t>Heiße Schokolade</t>
  </si>
  <si>
    <t>Warm</t>
  </si>
  <si>
    <t>Laktose</t>
  </si>
  <si>
    <t xml:space="preserve">  ▸  SONSTIGES &amp; SAISONANGEBOTE</t>
  </si>
  <si>
    <t>Hausgemachte Limonade</t>
  </si>
  <si>
    <t>Saisonal</t>
  </si>
  <si>
    <t>Glühwein</t>
  </si>
  <si>
    <t>Warm/Kalt</t>
  </si>
  <si>
    <t>Nein</t>
  </si>
  <si>
    <t>Punsch (alkoholfrei)</t>
  </si>
  <si>
    <t>[Neues Getränk]</t>
  </si>
  <si>
    <t>[Kat.]</t>
  </si>
  <si>
    <t>[Unterkat.]</t>
  </si>
  <si>
    <t>[Gr.]</t>
  </si>
  <si>
    <t>[Allergene]</t>
  </si>
  <si>
    <t xml:space="preserve">  Ø Durchschnittswerte  |  GESAMT Artikel aktiv:</t>
  </si>
  <si>
    <t>📊  GETRÄNKEKALKULATION – Deckungsbeitrag &amp; Verkaufspreis-Ermittlung  |  2026</t>
  </si>
  <si>
    <t>KALKULATIONS-LOGIK:  Wareneinsatz (Einkaufspreis/Portion) × Aufschlagsfaktor = Netto-VK  |  Netto-VK × (1 + MwSt) = Brutto-VK (Preis auf der Karte)  |  Deckungsbeitrag = Netto-VK − Wareneinsatz  |  Marge = DB / Netto-VK  |  Schwund = Verlust durch Überläufe, Reste etc. (Standard: 3%)</t>
  </si>
  <si>
    <t>KALKULATIONSPARAMETER</t>
  </si>
  <si>
    <t>MwSt. Alkoh.</t>
  </si>
  <si>
    <t>MwSt. Alk.frei</t>
  </si>
  <si>
    <t>Schwund %</t>
  </si>
  <si>
    <t>Ziel-Marge</t>
  </si>
  <si>
    <t>Faktor-Empfehlung</t>
  </si>
  <si>
    <t>Getränk</t>
  </si>
  <si>
    <t>Flaschen-preis (€)</t>
  </si>
  <si>
    <t>Inhalt Fl. (ml)</t>
  </si>
  <si>
    <t>Portion (ml)</t>
  </si>
  <si>
    <t>Portionen/Flasche</t>
  </si>
  <si>
    <t>Wareneinsatz/Portion (€)</t>
  </si>
  <si>
    <t>Deckungsbeitrag (€)</t>
  </si>
  <si>
    <t>Lager Hell 0,3l</t>
  </si>
  <si>
    <t>Lager Hell 0,5l</t>
  </si>
  <si>
    <t>Weizenbier 0,5l</t>
  </si>
  <si>
    <t>Pils 0,3l</t>
  </si>
  <si>
    <t>Weißwein Riesling 0,2l</t>
  </si>
  <si>
    <t>Weißwein Riesling Fl.</t>
  </si>
  <si>
    <t>Rotwein Spätburg. 0,2l</t>
  </si>
  <si>
    <t>Sekt Brut 0,1l</t>
  </si>
  <si>
    <t>Cola 0,3l</t>
  </si>
  <si>
    <t>Orangensaft 0,2l</t>
  </si>
  <si>
    <t>Mineralwasser 0,25l</t>
  </si>
  <si>
    <t>Vodka 4cl</t>
  </si>
  <si>
    <t>Gin 4cl</t>
  </si>
  <si>
    <t>Mojito 0,3l</t>
  </si>
  <si>
    <t>Aperol Spritz 0,3l</t>
  </si>
  <si>
    <t>ℹ  Cocktails/Mixgetränke: Wareneinsatz (Spalte H) direkt als Summe aller Zutaten eintragen. Spalten D–G können leer bleiben.</t>
  </si>
  <si>
    <t>📦  BESTANDSVERWALTUNG &amp; EINKAUFSPLANUNG  |  Getränkekarte 2026</t>
  </si>
  <si>
    <t>Artikel / Getränk</t>
  </si>
  <si>
    <t>Einheit</t>
  </si>
  <si>
    <t>Mindestbestand</t>
  </si>
  <si>
    <t>Aktueller Bestand</t>
  </si>
  <si>
    <t>Nachbestellen?</t>
  </si>
  <si>
    <t>Bestellmenge</t>
  </si>
  <si>
    <t>Einkaufspreis/Einh. (€)</t>
  </si>
  <si>
    <t>Bestellwert (€)</t>
  </si>
  <si>
    <t xml:space="preserve">  ▸  BIER</t>
  </si>
  <si>
    <t>Lager Hell (Fass 30l)</t>
  </si>
  <si>
    <t>Fass</t>
  </si>
  <si>
    <t>Weizenbier (Kasten 20x0,5l)</t>
  </si>
  <si>
    <t>Kasten</t>
  </si>
  <si>
    <t>Pils (Fass 30l)</t>
  </si>
  <si>
    <t>Alkoholfrei Bier (Kasten)</t>
  </si>
  <si>
    <t xml:space="preserve">  ▸  WEIN &amp; SEKT</t>
  </si>
  <si>
    <t>Riesling Weißwein (Karton 6x0,75l)</t>
  </si>
  <si>
    <t>Karton</t>
  </si>
  <si>
    <t>Spätburgunder Rotwein (Karton)</t>
  </si>
  <si>
    <t>Rosé (Karton 6x0,75l)</t>
  </si>
  <si>
    <t>Sekt Brut (Karton 6x0,75l)</t>
  </si>
  <si>
    <t xml:space="preserve">  ▸  SPIRITUOSEN</t>
  </si>
  <si>
    <t>Vodka (Flasche 0,7l)</t>
  </si>
  <si>
    <t>Flasche</t>
  </si>
  <si>
    <t>Rum (Flasche 0,7l)</t>
  </si>
  <si>
    <t>Whisky (Flasche 0,7l)</t>
  </si>
  <si>
    <t>Gin (Flasche 0,7l)</t>
  </si>
  <si>
    <t>Tequila (Flasche 0,7l)</t>
  </si>
  <si>
    <t>Aperitif (Flasche 0,7l)</t>
  </si>
  <si>
    <t>Cola (Kasten 24x0,33l)</t>
  </si>
  <si>
    <t>Limonade sortiert (Kast.)</t>
  </si>
  <si>
    <t>Orangensaft frisch (1l)</t>
  </si>
  <si>
    <t>Liter</t>
  </si>
  <si>
    <t>Mineralwasser (Kasten 12x0,75l)</t>
  </si>
  <si>
    <t>Tonic Water (Kasten)</t>
  </si>
  <si>
    <t>Espressokaffee (1kg)</t>
  </si>
  <si>
    <t>kg</t>
  </si>
  <si>
    <t>Milch (10l)</t>
  </si>
  <si>
    <t>Tee-Sortiment (100er)</t>
  </si>
  <si>
    <t>Packung</t>
  </si>
  <si>
    <t>Kakaopulver (500g)</t>
  </si>
  <si>
    <t xml:space="preserve">  GESAMT BESTELLWERT (Artikel mit Nachbestellbedarf)</t>
  </si>
  <si>
    <t>📈  UMSATZAUSWERTUNG NACH KATEGORIE  |  Monat: [eintragen]  |  2026</t>
  </si>
  <si>
    <t>Getränk / Kategorie</t>
  </si>
  <si>
    <t>Verkaufte Einheiten</t>
  </si>
  <si>
    <t>Netto-VK/Stk. (€)</t>
  </si>
  <si>
    <t>Gesamtumsatz netto (€)</t>
  </si>
  <si>
    <t>Wareneinsatz ges. (€)</t>
  </si>
  <si>
    <t>Gesamtdeckungsbeitrag (€)</t>
  </si>
  <si>
    <t>Beitrag zum Ges.-DB (%)</t>
  </si>
  <si>
    <t>Pils 0,5l</t>
  </si>
  <si>
    <t>Weißwein Glas</t>
  </si>
  <si>
    <t>Weißwein Flasche</t>
  </si>
  <si>
    <t>Rotwein Glas</t>
  </si>
  <si>
    <t>Sekt Glas</t>
  </si>
  <si>
    <t>Longdrink Gin Tonic</t>
  </si>
  <si>
    <t>Longdrink Rum Cola</t>
  </si>
  <si>
    <t xml:space="preserve">  ▸  COCKTAILS</t>
  </si>
  <si>
    <t>Mojito</t>
  </si>
  <si>
    <t xml:space="preserve">  GESAMT MONAT</t>
  </si>
  <si>
    <t>100,0%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</si>
</sst>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"/>
    <numFmt numFmtId="165" formatCode="0.0"/>
    <numFmt numFmtId="166" formatCode="0.0%"/>
  </numFmts>
  <fonts count="21" x14ac:knownFonts="1">
    <font>
      <sz val="11"/>
      <color theme="1"/>
      <name val="Calibri"/>
      <family val="2"/>
      <charset val="1"/>
    </font>
    <font>
      <b/>
      <sz val="18"/>
      <color rgb="FFFFFFFF"/>
      <name val="Arial"/>
      <charset val="1"/>
    </font>
    <font>
      <b/>
      <sz val="11"/>
      <color rgb="FFF5E6C0"/>
      <name val="Arial"/>
      <charset val="1"/>
    </font>
    <font>
      <i/>
      <sz val="9"/>
      <color rgb="FF7B6800"/>
      <name val="Arial"/>
      <charset val="1"/>
    </font>
    <font>
      <b/>
      <sz val="9"/>
      <color rgb="FF4A4A4A"/>
      <name val="Arial"/>
      <charset val="1"/>
    </font>
    <font>
      <b/>
      <sz val="10"/>
      <color rgb="FF1B3A5C"/>
      <name val="Arial"/>
      <charset val="1"/>
    </font>
    <font>
      <i/>
      <sz val="8"/>
      <color rgb="FF4A4A4A"/>
      <name val="Arial"/>
      <charset val="1"/>
    </font>
    <font>
      <b/>
      <sz val="9"/>
      <color rgb="FFFFFFFF"/>
      <name val="Arial"/>
      <charset val="1"/>
    </font>
    <font>
      <b/>
      <sz val="10"/>
      <color rgb="FFFFFFFF"/>
      <name val="Arial"/>
      <charset val="1"/>
    </font>
    <font>
      <b/>
      <sz val="9"/>
      <color rgb="FF2C2C2C"/>
      <name val="Arial"/>
      <charset val="1"/>
    </font>
    <font>
      <sz val="9"/>
      <color rgb="FF2C2C2C"/>
      <name val="Arial"/>
      <charset val="1"/>
    </font>
    <font>
      <b/>
      <sz val="9"/>
      <color rgb="FF1A5C1A"/>
      <name val="Arial"/>
      <charset val="1"/>
    </font>
    <font>
      <b/>
      <sz val="9"/>
      <color rgb="FF1B3A5C"/>
      <name val="Arial"/>
      <charset val="1"/>
    </font>
    <font>
      <b/>
      <sz val="9"/>
      <color rgb="FF9C0006"/>
      <name val="Arial"/>
      <charset val="1"/>
    </font>
    <font>
      <b/>
      <sz val="15"/>
      <color rgb="FFFFFFFF"/>
      <name val="Arial"/>
      <charset val="1"/>
    </font>
    <font>
      <i/>
      <sz val="9"/>
      <color rgb="FF4A4A4A"/>
      <name val="Arial"/>
      <charset val="1"/>
    </font>
    <font>
      <sz val="9"/>
      <color rgb="FF4A4A4A"/>
      <name val="Arial"/>
      <charset val="1"/>
    </font>
    <font>
      <b/>
      <sz val="9"/>
      <color rgb="FF6B1A2A"/>
      <name val="Arial"/>
      <charset val="1"/>
    </font>
    <font>
      <i/>
      <sz val="9"/>
      <color rgb="FF5D4037"/>
      <name val="Arial"/>
      <charset val="1"/>
    </font>
    <font>
      <b/>
      <sz val="11"/>
      <color rgb="FFFFFFFF"/>
      <name val="Arial"/>
      <charset val="1"/>
    </font>
    <font>
      <sz val="9"/>
      <color rgb="FF9C0006"/>
      <name val="Arial"/>
      <charset val="1"/>
    </font>
  </fonts>
  <fills count="18">
    <fill>
      <patternFill patternType="none"/>
    </fill>
    <fill>
      <patternFill patternType="gray125"/>
    </fill>
    <fill>
      <patternFill patternType="solid">
        <fgColor rgb="FF1B3A5C"/>
        <bgColor rgb="FF2C2C2C"/>
      </patternFill>
    </fill>
    <fill>
      <patternFill patternType="solid">
        <fgColor rgb="FFFFF3CD"/>
        <bgColor rgb="FFFFFACD"/>
      </patternFill>
    </fill>
    <fill>
      <patternFill patternType="solid">
        <fgColor rgb="FFF7F7F7"/>
        <bgColor rgb="FFFFFFFF"/>
      </patternFill>
    </fill>
    <fill>
      <patternFill patternType="solid">
        <fgColor rgb="FFF5E6C0"/>
        <bgColor rgb="FFFFF3CD"/>
      </patternFill>
    </fill>
    <fill>
      <patternFill patternType="solid">
        <fgColor rgb="FF8B6914"/>
        <bgColor rgb="FF7B6800"/>
      </patternFill>
    </fill>
    <fill>
      <patternFill patternType="solid">
        <fgColor rgb="FFD5EDD5"/>
        <bgColor rgb="FFDDEAF6"/>
      </patternFill>
    </fill>
    <fill>
      <patternFill patternType="solid">
        <fgColor rgb="FFDDEAF6"/>
        <bgColor rgb="FFD5EDD5"/>
      </patternFill>
    </fill>
    <fill>
      <patternFill patternType="solid">
        <fgColor rgb="FFFFFFFF"/>
        <bgColor rgb="FFF7F7F7"/>
      </patternFill>
    </fill>
    <fill>
      <patternFill patternType="solid">
        <fgColor rgb="FF6B1A2A"/>
        <bgColor rgb="FF5C3317"/>
      </patternFill>
    </fill>
    <fill>
      <patternFill patternType="solid">
        <fgColor rgb="FF7A3B1E"/>
        <bgColor rgb="FF5C3317"/>
      </patternFill>
    </fill>
    <fill>
      <patternFill patternType="solid">
        <fgColor rgb="FF5C3317"/>
        <bgColor rgb="FF5D4037"/>
      </patternFill>
    </fill>
    <fill>
      <patternFill patternType="solid">
        <fgColor rgb="FF1A5C52"/>
        <bgColor rgb="FF1A5C1A"/>
      </patternFill>
    </fill>
    <fill>
      <patternFill patternType="solid">
        <fgColor rgb="FF3E2723"/>
        <bgColor rgb="FF2C2C2C"/>
      </patternFill>
    </fill>
    <fill>
      <patternFill patternType="solid">
        <fgColor rgb="FFFFC7CE"/>
        <bgColor rgb="FFF5DCE0"/>
      </patternFill>
    </fill>
    <fill>
      <patternFill patternType="solid">
        <fgColor rgb="FFF5DCE0"/>
        <bgColor rgb="FFF5E6C0"/>
      </patternFill>
    </fill>
    <fill>
      <patternFill patternType="solid">
        <fgColor rgb="FFFFF8E1"/>
        <bgColor rgb="FFFFFACD"/>
      </patternFill>
    </fill>
  </fills>
  <borders count="6">
    <border>
      <left/>
      <right/>
      <top/>
      <bottom/>
      <diagonal/>
    </border>
    <border>
      <left style="thin">
        <color rgb="FFD0D0D0"/>
      </left>
      <right/>
      <top style="thin">
        <color rgb="FFD0D0D0"/>
      </top>
      <bottom style="thin">
        <color rgb="FFD0D0D0"/>
      </bottom>
      <diagonal/>
    </border>
    <border>
      <left style="medium">
        <color rgb="FF8B6914"/>
      </left>
      <right style="medium">
        <color rgb="FF8B6914"/>
      </right>
      <top style="medium">
        <color rgb="FF8B6914"/>
      </top>
      <bottom style="medium">
        <color rgb="FF8B6914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medium">
        <color rgb="FF1B3A5C"/>
      </left>
      <right style="medium">
        <color rgb="FF1B3A5C"/>
      </right>
      <top style="medium">
        <color rgb="FF1B3A5C"/>
      </top>
      <bottom style="medium">
        <color rgb="FF1B3A5C"/>
      </bottom>
      <diagonal/>
    </border>
    <border>
      <left style="medium">
        <color rgb="FF8B691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5" fillId="3" borderId="1" xfId="0" applyFont="1" applyFill="1" applyBorder="1" applyAlignment="1">
      <alignment horizontal="left" vertical="center" wrapText="1"/>
    </xf>
    <xf numFmtId="0" fontId="14" fillId="10" borderId="0" xfId="0" applyFont="1" applyFill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8" fillId="14" borderId="1" xfId="0" applyFont="1" applyFill="1" applyBorder="1" applyAlignment="1">
      <alignment horizontal="left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8" fillId="12" borderId="1" xfId="0" applyFont="1" applyFill="1" applyBorder="1" applyAlignment="1">
      <alignment horizontal="left" vertical="center" wrapText="1"/>
    </xf>
    <xf numFmtId="0" fontId="8" fillId="11" borderId="1" xfId="0" applyFont="1" applyFill="1" applyBorder="1" applyAlignment="1">
      <alignment horizontal="left" vertical="center" wrapText="1"/>
    </xf>
    <xf numFmtId="0" fontId="8" fillId="1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9" fontId="5" fillId="5" borderId="2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164" fontId="10" fillId="4" borderId="3" xfId="0" applyNumberFormat="1" applyFont="1" applyFill="1" applyBorder="1" applyAlignment="1">
      <alignment horizontal="center" vertical="center" wrapText="1"/>
    </xf>
    <xf numFmtId="165" fontId="12" fillId="5" borderId="3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164" fontId="12" fillId="8" borderId="4" xfId="0" applyNumberFormat="1" applyFont="1" applyFill="1" applyBorder="1" applyAlignment="1">
      <alignment horizontal="center" vertical="center" wrapText="1"/>
    </xf>
    <xf numFmtId="166" fontId="9" fillId="4" borderId="3" xfId="0" applyNumberFormat="1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left" vertical="center" wrapText="1"/>
    </xf>
    <xf numFmtId="0" fontId="10" fillId="9" borderId="3" xfId="0" applyFont="1" applyFill="1" applyBorder="1" applyAlignment="1">
      <alignment horizontal="left" vertical="center" wrapText="1"/>
    </xf>
    <xf numFmtId="0" fontId="10" fillId="9" borderId="3" xfId="0" applyFont="1" applyFill="1" applyBorder="1" applyAlignment="1">
      <alignment horizontal="center" vertical="center" wrapText="1"/>
    </xf>
    <xf numFmtId="164" fontId="10" fillId="9" borderId="3" xfId="0" applyNumberFormat="1" applyFont="1" applyFill="1" applyBorder="1" applyAlignment="1">
      <alignment horizontal="center" vertical="center" wrapText="1"/>
    </xf>
    <xf numFmtId="166" fontId="9" fillId="9" borderId="3" xfId="0" applyNumberFormat="1" applyFont="1" applyFill="1" applyBorder="1" applyAlignment="1">
      <alignment horizontal="center" vertical="center" wrapText="1"/>
    </xf>
    <xf numFmtId="0" fontId="13" fillId="15" borderId="3" xfId="0" applyFont="1" applyFill="1" applyBorder="1" applyAlignment="1">
      <alignment horizontal="center" vertical="center" wrapText="1"/>
    </xf>
    <xf numFmtId="165" fontId="8" fillId="2" borderId="3" xfId="0" applyNumberFormat="1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166" fontId="8" fillId="2" borderId="3" xfId="0" applyNumberFormat="1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9" fontId="12" fillId="5" borderId="3" xfId="0" applyNumberFormat="1" applyFont="1" applyFill="1" applyBorder="1" applyAlignment="1">
      <alignment horizontal="center" vertical="center" wrapText="1"/>
    </xf>
    <xf numFmtId="165" fontId="11" fillId="7" borderId="3" xfId="0" applyNumberFormat="1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164" fontId="10" fillId="5" borderId="3" xfId="0" applyNumberFormat="1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164" fontId="17" fillId="16" borderId="3" xfId="0" applyNumberFormat="1" applyFont="1" applyFill="1" applyBorder="1" applyAlignment="1">
      <alignment horizontal="center" vertical="center" wrapText="1"/>
    </xf>
    <xf numFmtId="164" fontId="11" fillId="7" borderId="3" xfId="0" applyNumberFormat="1" applyFont="1" applyFill="1" applyBorder="1" applyAlignment="1">
      <alignment horizontal="center" vertical="center" wrapText="1"/>
    </xf>
    <xf numFmtId="0" fontId="16" fillId="9" borderId="3" xfId="0" applyFont="1" applyFill="1" applyBorder="1" applyAlignment="1">
      <alignment horizontal="center" vertical="center" wrapText="1"/>
    </xf>
    <xf numFmtId="164" fontId="9" fillId="9" borderId="3" xfId="0" applyNumberFormat="1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164" fontId="19" fillId="13" borderId="3" xfId="0" applyNumberFormat="1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164" fontId="12" fillId="4" borderId="3" xfId="0" applyNumberFormat="1" applyFont="1" applyFill="1" applyBorder="1" applyAlignment="1">
      <alignment horizontal="center" vertical="center" wrapText="1"/>
    </xf>
    <xf numFmtId="164" fontId="20" fillId="4" borderId="3" xfId="0" applyNumberFormat="1" applyFont="1" applyFill="1" applyBorder="1" applyAlignment="1">
      <alignment horizontal="center" vertical="center" wrapText="1"/>
    </xf>
    <xf numFmtId="166" fontId="16" fillId="9" borderId="3" xfId="0" applyNumberFormat="1" applyFont="1" applyFill="1" applyBorder="1" applyAlignment="1">
      <alignment horizontal="center" vertical="center" wrapText="1"/>
    </xf>
    <xf numFmtId="164" fontId="12" fillId="9" borderId="3" xfId="0" applyNumberFormat="1" applyFont="1" applyFill="1" applyBorder="1" applyAlignment="1">
      <alignment horizontal="center" vertical="center" wrapText="1"/>
    </xf>
    <xf numFmtId="164" fontId="20" fillId="9" borderId="3" xfId="0" applyNumberFormat="1" applyFont="1" applyFill="1" applyBorder="1" applyAlignment="1">
      <alignment horizontal="center" vertical="center" wrapText="1"/>
    </xf>
    <xf numFmtId="166" fontId="16" fillId="4" borderId="3" xfId="0" applyNumberFormat="1" applyFont="1" applyFill="1" applyBorder="1" applyAlignment="1">
      <alignment horizontal="center" vertical="center" wrapText="1"/>
    </xf>
    <xf numFmtId="164" fontId="19" fillId="6" borderId="3" xfId="0" applyNumberFormat="1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18" fillId="17" borderId="1" xfId="0" applyFont="1" applyFill="1" applyBorder="1" applyAlignment="1">
      <alignment horizontal="left" vertical="center" wrapText="1"/>
    </xf>
    <xf numFmtId="0" fontId="14" fillId="13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9" fillId="6" borderId="1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</cellXfs>
  <cellStyles count="1">
    <cellStyle name="Standard" xfId="0" builtinId="0"/>
  </cellStyles>
  <dxfs count="4">
    <dxf>
      <font>
        <b/>
        <sz val="9"/>
        <color rgb="FF9C0006"/>
        <name val="Arial"/>
        <charset val="1"/>
      </font>
      <fill>
        <patternFill>
          <bgColor rgb="FFFFC7CE"/>
        </patternFill>
      </fill>
    </dxf>
    <dxf>
      <font>
        <b/>
        <sz val="9"/>
        <color rgb="FF1A5C1A"/>
        <name val="Arial"/>
        <charset val="1"/>
      </font>
      <fill>
        <patternFill>
          <bgColor rgb="FFD5EDD5"/>
        </patternFill>
      </fill>
    </dxf>
    <dxf>
      <font>
        <b/>
        <sz val="9"/>
        <color rgb="FF7B6800"/>
        <name val="Arial"/>
        <charset val="1"/>
      </font>
      <fill>
        <patternFill>
          <bgColor rgb="FFFFFACD"/>
        </patternFill>
      </fill>
    </dxf>
    <dxf>
      <font>
        <b/>
        <sz val="9"/>
        <color rgb="FF9C0006"/>
        <name val="Arial"/>
        <charset val="1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1A5C1A"/>
      <rgbColor rgb="FF000080"/>
      <rgbColor rgb="FF7B6800"/>
      <rgbColor rgb="FF800080"/>
      <rgbColor rgb="FF1A5C52"/>
      <rgbColor rgb="FFF5DCE0"/>
      <rgbColor rgb="FF8B6914"/>
      <rgbColor rgb="FF9999FF"/>
      <rgbColor rgb="FF5D4037"/>
      <rgbColor rgb="FFFFFACD"/>
      <rgbColor rgb="FFDDEAF6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6B1A2A"/>
      <rgbColor rgb="FF008080"/>
      <rgbColor rgb="FF0000FF"/>
      <rgbColor rgb="FF00CCFF"/>
      <rgbColor rgb="FFF7F7F7"/>
      <rgbColor rgb="FFD5EDD5"/>
      <rgbColor rgb="FFFFF3CD"/>
      <rgbColor rgb="FFF5E6C0"/>
      <rgbColor rgb="FFFFF8E1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B3A5C"/>
      <rgbColor rgb="FF339966"/>
      <rgbColor rgb="FF003300"/>
      <rgbColor rgb="FF3E2723"/>
      <rgbColor rgb="FF7A3B1E"/>
      <rgbColor rgb="FF5C3317"/>
      <rgbColor rgb="FF4A4A4A"/>
      <rgbColor rgb="FF2C2C2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B3A5C"/>
    <pageSetUpPr fitToPage="1"/>
  </sheetPr>
  <dimension ref="A1:M69"/>
  <sheetViews>
    <sheetView showGridLines="0" tabSelected="1" zoomScaleNormal="100" workbookViewId="0">
      <pane ySplit="8" topLeftCell="A9" activePane="bottomLeft" state="frozen"/>
      <selection pane="bottomLeft" activeCell="F11" sqref="F11"/>
    </sheetView>
  </sheetViews>
  <sheetFormatPr baseColWidth="10" defaultColWidth="8.7109375" defaultRowHeight="15" x14ac:dyDescent="0.25"/>
  <cols>
    <col min="1" max="1" width="5" customWidth="1"/>
    <col min="2" max="2" width="26" customWidth="1"/>
    <col min="3" max="3" width="16" customWidth="1"/>
    <col min="4" max="4" width="14" customWidth="1"/>
    <col min="5" max="5" width="10" customWidth="1"/>
    <col min="6" max="6" width="12" customWidth="1"/>
    <col min="7" max="8" width="13" customWidth="1"/>
    <col min="9" max="10" width="12" customWidth="1"/>
    <col min="11" max="11" width="11" customWidth="1"/>
    <col min="12" max="12" width="14" customWidth="1"/>
    <col min="13" max="13" width="20" customWidth="1"/>
  </cols>
  <sheetData>
    <row r="1" spans="1:13" ht="6" customHeight="1" x14ac:dyDescent="0.25"/>
    <row r="2" spans="1:13" ht="45.75" customHeight="1" x14ac:dyDescent="0.25">
      <c r="A2" s="13" t="s">
        <v>0</v>
      </c>
      <c r="B2" s="13"/>
      <c r="C2" s="13"/>
      <c r="D2" s="13"/>
      <c r="E2" s="13"/>
      <c r="F2" s="13"/>
      <c r="G2" s="13"/>
      <c r="H2" s="13"/>
      <c r="I2" s="12" t="s">
        <v>1</v>
      </c>
      <c r="J2" s="12"/>
      <c r="K2" s="12"/>
      <c r="L2" s="12"/>
      <c r="M2" s="12"/>
    </row>
    <row r="3" spans="1:13" ht="6" customHeight="1" x14ac:dyDescent="0.25"/>
    <row r="4" spans="1:13" ht="18" customHeight="1" x14ac:dyDescent="0.2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ht="15" customHeight="1" x14ac:dyDescent="0.25"/>
    <row r="6" spans="1:13" ht="18" customHeight="1" x14ac:dyDescent="0.25">
      <c r="A6" s="10" t="s">
        <v>3</v>
      </c>
      <c r="B6" s="10"/>
      <c r="C6" s="10"/>
      <c r="D6" s="10"/>
      <c r="E6" s="14">
        <v>0.19</v>
      </c>
      <c r="F6" s="64" t="s">
        <v>4</v>
      </c>
      <c r="G6" s="65"/>
      <c r="H6" s="65"/>
      <c r="I6" s="65"/>
      <c r="J6" s="65"/>
      <c r="K6" s="65"/>
      <c r="L6" s="65"/>
      <c r="M6" s="65"/>
    </row>
    <row r="7" spans="1:13" ht="6" customHeight="1" x14ac:dyDescent="0.25"/>
    <row r="8" spans="1:13" ht="24" customHeight="1" x14ac:dyDescent="0.25">
      <c r="A8" s="15" t="s">
        <v>5</v>
      </c>
      <c r="B8" s="16" t="s">
        <v>6</v>
      </c>
      <c r="C8" s="16" t="s">
        <v>7</v>
      </c>
      <c r="D8" s="16" t="s">
        <v>8</v>
      </c>
      <c r="E8" s="16" t="s">
        <v>9</v>
      </c>
      <c r="F8" s="16" t="s">
        <v>10</v>
      </c>
      <c r="G8" s="16" t="s">
        <v>11</v>
      </c>
      <c r="H8" s="16" t="s">
        <v>12</v>
      </c>
      <c r="I8" s="16" t="s">
        <v>13</v>
      </c>
      <c r="J8" s="15" t="s">
        <v>14</v>
      </c>
      <c r="K8" s="15" t="s">
        <v>15</v>
      </c>
      <c r="L8" s="15" t="s">
        <v>16</v>
      </c>
      <c r="M8" s="15" t="s">
        <v>17</v>
      </c>
    </row>
    <row r="9" spans="1:13" ht="19.5" customHeight="1" x14ac:dyDescent="0.25">
      <c r="A9" s="9" t="s">
        <v>18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 ht="19.5" customHeight="1" x14ac:dyDescent="0.25">
      <c r="A10" s="17">
        <v>1</v>
      </c>
      <c r="B10" s="18" t="s">
        <v>19</v>
      </c>
      <c r="C10" s="19" t="s">
        <v>20</v>
      </c>
      <c r="D10" s="19" t="s">
        <v>21</v>
      </c>
      <c r="E10" s="20" t="s">
        <v>22</v>
      </c>
      <c r="F10" s="20" t="s">
        <v>23</v>
      </c>
      <c r="G10" s="19" t="s">
        <v>24</v>
      </c>
      <c r="H10" s="21" t="s">
        <v>25</v>
      </c>
      <c r="I10" s="22">
        <v>0.38</v>
      </c>
      <c r="J10" s="23">
        <v>4.5</v>
      </c>
      <c r="K10" s="24">
        <f t="shared" ref="K10:K17" si="0">IFERROR(I10*J10,0)</f>
        <v>1.71</v>
      </c>
      <c r="L10" s="25">
        <f t="shared" ref="L10:L17" si="1">IFERROR(ROUND(K10*(1+$E$6),1),0)</f>
        <v>2</v>
      </c>
      <c r="M10" s="26">
        <f t="shared" ref="M10:M17" si="2">IFERROR((K10-I10)/K10,0)</f>
        <v>0.77777777777777779</v>
      </c>
    </row>
    <row r="11" spans="1:13" ht="19.5" customHeight="1" x14ac:dyDescent="0.25">
      <c r="A11" s="27">
        <v>2</v>
      </c>
      <c r="B11" s="28" t="s">
        <v>19</v>
      </c>
      <c r="C11" s="29" t="s">
        <v>20</v>
      </c>
      <c r="D11" s="29" t="s">
        <v>21</v>
      </c>
      <c r="E11" s="30" t="s">
        <v>26</v>
      </c>
      <c r="F11" s="30" t="s">
        <v>23</v>
      </c>
      <c r="G11" s="29" t="s">
        <v>24</v>
      </c>
      <c r="H11" s="21" t="s">
        <v>25</v>
      </c>
      <c r="I11" s="31">
        <v>0.57999999999999996</v>
      </c>
      <c r="J11" s="23">
        <v>4.5</v>
      </c>
      <c r="K11" s="24">
        <f t="shared" si="0"/>
        <v>2.61</v>
      </c>
      <c r="L11" s="25">
        <f t="shared" si="1"/>
        <v>3.1</v>
      </c>
      <c r="M11" s="32">
        <f t="shared" si="2"/>
        <v>0.77777777777777779</v>
      </c>
    </row>
    <row r="12" spans="1:13" ht="19.5" customHeight="1" x14ac:dyDescent="0.25">
      <c r="A12" s="17">
        <v>3</v>
      </c>
      <c r="B12" s="18" t="s">
        <v>27</v>
      </c>
      <c r="C12" s="19" t="s">
        <v>20</v>
      </c>
      <c r="D12" s="19" t="s">
        <v>28</v>
      </c>
      <c r="E12" s="20" t="s">
        <v>26</v>
      </c>
      <c r="F12" s="20" t="s">
        <v>29</v>
      </c>
      <c r="G12" s="19" t="s">
        <v>24</v>
      </c>
      <c r="H12" s="21" t="s">
        <v>25</v>
      </c>
      <c r="I12" s="22">
        <v>0.72</v>
      </c>
      <c r="J12" s="23">
        <v>4</v>
      </c>
      <c r="K12" s="24">
        <f t="shared" si="0"/>
        <v>2.88</v>
      </c>
      <c r="L12" s="25">
        <f t="shared" si="1"/>
        <v>3.4</v>
      </c>
      <c r="M12" s="26">
        <f t="shared" si="2"/>
        <v>0.75000000000000011</v>
      </c>
    </row>
    <row r="13" spans="1:13" ht="19.5" customHeight="1" x14ac:dyDescent="0.25">
      <c r="A13" s="27">
        <v>4</v>
      </c>
      <c r="B13" s="28" t="s">
        <v>30</v>
      </c>
      <c r="C13" s="29" t="s">
        <v>20</v>
      </c>
      <c r="D13" s="29" t="s">
        <v>21</v>
      </c>
      <c r="E13" s="30" t="s">
        <v>22</v>
      </c>
      <c r="F13" s="30" t="s">
        <v>31</v>
      </c>
      <c r="G13" s="29" t="s">
        <v>24</v>
      </c>
      <c r="H13" s="21" t="s">
        <v>25</v>
      </c>
      <c r="I13" s="31">
        <v>0.35</v>
      </c>
      <c r="J13" s="23">
        <v>4.8</v>
      </c>
      <c r="K13" s="24">
        <f t="shared" si="0"/>
        <v>1.68</v>
      </c>
      <c r="L13" s="25">
        <f t="shared" si="1"/>
        <v>2</v>
      </c>
      <c r="M13" s="32">
        <f t="shared" si="2"/>
        <v>0.79166666666666674</v>
      </c>
    </row>
    <row r="14" spans="1:13" ht="19.5" customHeight="1" x14ac:dyDescent="0.25">
      <c r="A14" s="17">
        <v>5</v>
      </c>
      <c r="B14" s="18" t="s">
        <v>30</v>
      </c>
      <c r="C14" s="19" t="s">
        <v>20</v>
      </c>
      <c r="D14" s="19" t="s">
        <v>21</v>
      </c>
      <c r="E14" s="20" t="s">
        <v>26</v>
      </c>
      <c r="F14" s="20" t="s">
        <v>31</v>
      </c>
      <c r="G14" s="19" t="s">
        <v>24</v>
      </c>
      <c r="H14" s="21" t="s">
        <v>25</v>
      </c>
      <c r="I14" s="22">
        <v>0.55000000000000004</v>
      </c>
      <c r="J14" s="23">
        <v>4.8</v>
      </c>
      <c r="K14" s="24">
        <f t="shared" si="0"/>
        <v>2.64</v>
      </c>
      <c r="L14" s="25">
        <f t="shared" si="1"/>
        <v>3.1</v>
      </c>
      <c r="M14" s="26">
        <f t="shared" si="2"/>
        <v>0.79166666666666663</v>
      </c>
    </row>
    <row r="15" spans="1:13" ht="19.5" customHeight="1" x14ac:dyDescent="0.25">
      <c r="A15" s="27">
        <v>6</v>
      </c>
      <c r="B15" s="28" t="s">
        <v>32</v>
      </c>
      <c r="C15" s="29" t="s">
        <v>20</v>
      </c>
      <c r="D15" s="29" t="s">
        <v>28</v>
      </c>
      <c r="E15" s="30" t="s">
        <v>33</v>
      </c>
      <c r="F15" s="30" t="s">
        <v>34</v>
      </c>
      <c r="G15" s="29" t="s">
        <v>24</v>
      </c>
      <c r="H15" s="21" t="s">
        <v>25</v>
      </c>
      <c r="I15" s="31">
        <v>0.68</v>
      </c>
      <c r="J15" s="23">
        <v>4.2</v>
      </c>
      <c r="K15" s="24">
        <f t="shared" si="0"/>
        <v>2.8560000000000003</v>
      </c>
      <c r="L15" s="25">
        <f t="shared" si="1"/>
        <v>3.4</v>
      </c>
      <c r="M15" s="32">
        <f t="shared" si="2"/>
        <v>0.76190476190476186</v>
      </c>
    </row>
    <row r="16" spans="1:13" ht="19.5" customHeight="1" x14ac:dyDescent="0.25">
      <c r="A16" s="17">
        <v>7</v>
      </c>
      <c r="B16" s="18" t="s">
        <v>35</v>
      </c>
      <c r="C16" s="19" t="s">
        <v>20</v>
      </c>
      <c r="D16" s="19" t="s">
        <v>36</v>
      </c>
      <c r="E16" s="20" t="s">
        <v>33</v>
      </c>
      <c r="F16" s="20" t="s">
        <v>37</v>
      </c>
      <c r="G16" s="19" t="s">
        <v>24</v>
      </c>
      <c r="H16" s="21" t="s">
        <v>25</v>
      </c>
      <c r="I16" s="22">
        <v>0.55000000000000004</v>
      </c>
      <c r="J16" s="23">
        <v>3.8</v>
      </c>
      <c r="K16" s="24">
        <f t="shared" si="0"/>
        <v>2.09</v>
      </c>
      <c r="L16" s="25">
        <f t="shared" si="1"/>
        <v>2.5</v>
      </c>
      <c r="M16" s="26">
        <f t="shared" si="2"/>
        <v>0.73684210526315785</v>
      </c>
    </row>
    <row r="17" spans="1:13" ht="19.5" customHeight="1" x14ac:dyDescent="0.25">
      <c r="A17" s="27">
        <v>8</v>
      </c>
      <c r="B17" s="28" t="s">
        <v>38</v>
      </c>
      <c r="C17" s="29" t="s">
        <v>20</v>
      </c>
      <c r="D17" s="29" t="s">
        <v>39</v>
      </c>
      <c r="E17" s="30" t="s">
        <v>26</v>
      </c>
      <c r="F17" s="30" t="s">
        <v>40</v>
      </c>
      <c r="G17" s="29" t="s">
        <v>24</v>
      </c>
      <c r="H17" s="21" t="s">
        <v>25</v>
      </c>
      <c r="I17" s="31">
        <v>0.45</v>
      </c>
      <c r="J17" s="23">
        <v>4</v>
      </c>
      <c r="K17" s="24">
        <f t="shared" si="0"/>
        <v>1.8</v>
      </c>
      <c r="L17" s="25">
        <f t="shared" si="1"/>
        <v>2.1</v>
      </c>
      <c r="M17" s="32">
        <f t="shared" si="2"/>
        <v>0.75</v>
      </c>
    </row>
    <row r="18" spans="1:13" ht="19.5" customHeight="1" x14ac:dyDescent="0.25">
      <c r="A18" s="8" t="s">
        <v>41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ht="19.5" customHeight="1" x14ac:dyDescent="0.25">
      <c r="A19" s="17">
        <v>9</v>
      </c>
      <c r="B19" s="18" t="s">
        <v>42</v>
      </c>
      <c r="C19" s="19" t="s">
        <v>43</v>
      </c>
      <c r="D19" s="19" t="s">
        <v>44</v>
      </c>
      <c r="E19" s="20" t="s">
        <v>45</v>
      </c>
      <c r="F19" s="20" t="s">
        <v>46</v>
      </c>
      <c r="G19" s="19" t="s">
        <v>47</v>
      </c>
      <c r="H19" s="21" t="s">
        <v>25</v>
      </c>
      <c r="I19" s="22">
        <v>1.2</v>
      </c>
      <c r="J19" s="23">
        <v>4</v>
      </c>
      <c r="K19" s="24">
        <f t="shared" ref="K19:K26" si="3">IFERROR(I19*J19,0)</f>
        <v>4.8</v>
      </c>
      <c r="L19" s="25">
        <f t="shared" ref="L19:L26" si="4">IFERROR(ROUND(K19*(1+$E$6),1),0)</f>
        <v>5.7</v>
      </c>
      <c r="M19" s="26">
        <f t="shared" ref="M19:M26" si="5">IFERROR((K19-I19)/K19,0)</f>
        <v>0.75</v>
      </c>
    </row>
    <row r="20" spans="1:13" ht="19.5" customHeight="1" x14ac:dyDescent="0.25">
      <c r="A20" s="27">
        <v>10</v>
      </c>
      <c r="B20" s="28" t="s">
        <v>42</v>
      </c>
      <c r="C20" s="29" t="s">
        <v>43</v>
      </c>
      <c r="D20" s="29" t="s">
        <v>44</v>
      </c>
      <c r="E20" s="30" t="s">
        <v>48</v>
      </c>
      <c r="F20" s="30" t="s">
        <v>46</v>
      </c>
      <c r="G20" s="29" t="s">
        <v>47</v>
      </c>
      <c r="H20" s="21" t="s">
        <v>25</v>
      </c>
      <c r="I20" s="31">
        <v>4.5</v>
      </c>
      <c r="J20" s="23">
        <v>4</v>
      </c>
      <c r="K20" s="24">
        <f t="shared" si="3"/>
        <v>18</v>
      </c>
      <c r="L20" s="25">
        <f t="shared" si="4"/>
        <v>21.4</v>
      </c>
      <c r="M20" s="32">
        <f t="shared" si="5"/>
        <v>0.75</v>
      </c>
    </row>
    <row r="21" spans="1:13" ht="19.5" customHeight="1" x14ac:dyDescent="0.25">
      <c r="A21" s="17">
        <v>11</v>
      </c>
      <c r="B21" s="18" t="s">
        <v>49</v>
      </c>
      <c r="C21" s="19" t="s">
        <v>43</v>
      </c>
      <c r="D21" s="19" t="s">
        <v>44</v>
      </c>
      <c r="E21" s="20" t="s">
        <v>45</v>
      </c>
      <c r="F21" s="20" t="s">
        <v>50</v>
      </c>
      <c r="G21" s="19" t="s">
        <v>47</v>
      </c>
      <c r="H21" s="21" t="s">
        <v>25</v>
      </c>
      <c r="I21" s="22">
        <v>1.35</v>
      </c>
      <c r="J21" s="23">
        <v>4</v>
      </c>
      <c r="K21" s="24">
        <f t="shared" si="3"/>
        <v>5.4</v>
      </c>
      <c r="L21" s="25">
        <f t="shared" si="4"/>
        <v>6.4</v>
      </c>
      <c r="M21" s="26">
        <f t="shared" si="5"/>
        <v>0.75000000000000011</v>
      </c>
    </row>
    <row r="22" spans="1:13" ht="19.5" customHeight="1" x14ac:dyDescent="0.25">
      <c r="A22" s="27">
        <v>12</v>
      </c>
      <c r="B22" s="28" t="s">
        <v>51</v>
      </c>
      <c r="C22" s="29" t="s">
        <v>43</v>
      </c>
      <c r="D22" s="29" t="s">
        <v>52</v>
      </c>
      <c r="E22" s="30" t="s">
        <v>45</v>
      </c>
      <c r="F22" s="30" t="s">
        <v>53</v>
      </c>
      <c r="G22" s="29" t="s">
        <v>47</v>
      </c>
      <c r="H22" s="21" t="s">
        <v>25</v>
      </c>
      <c r="I22" s="31">
        <v>1.4</v>
      </c>
      <c r="J22" s="23">
        <v>4.2</v>
      </c>
      <c r="K22" s="24">
        <f t="shared" si="3"/>
        <v>5.88</v>
      </c>
      <c r="L22" s="25">
        <f t="shared" si="4"/>
        <v>7</v>
      </c>
      <c r="M22" s="32">
        <f t="shared" si="5"/>
        <v>0.76190476190476197</v>
      </c>
    </row>
    <row r="23" spans="1:13" ht="19.5" customHeight="1" x14ac:dyDescent="0.25">
      <c r="A23" s="17">
        <v>13</v>
      </c>
      <c r="B23" s="18" t="s">
        <v>51</v>
      </c>
      <c r="C23" s="19" t="s">
        <v>43</v>
      </c>
      <c r="D23" s="19" t="s">
        <v>52</v>
      </c>
      <c r="E23" s="20" t="s">
        <v>48</v>
      </c>
      <c r="F23" s="20" t="s">
        <v>53</v>
      </c>
      <c r="G23" s="19" t="s">
        <v>47</v>
      </c>
      <c r="H23" s="21" t="s">
        <v>25</v>
      </c>
      <c r="I23" s="22">
        <v>5.2</v>
      </c>
      <c r="J23" s="23">
        <v>4.2</v>
      </c>
      <c r="K23" s="24">
        <f t="shared" si="3"/>
        <v>21.840000000000003</v>
      </c>
      <c r="L23" s="25">
        <f t="shared" si="4"/>
        <v>26</v>
      </c>
      <c r="M23" s="26">
        <f t="shared" si="5"/>
        <v>0.76190476190476197</v>
      </c>
    </row>
    <row r="24" spans="1:13" ht="19.5" customHeight="1" x14ac:dyDescent="0.25">
      <c r="A24" s="27">
        <v>14</v>
      </c>
      <c r="B24" s="28" t="s">
        <v>54</v>
      </c>
      <c r="C24" s="29" t="s">
        <v>43</v>
      </c>
      <c r="D24" s="29" t="s">
        <v>55</v>
      </c>
      <c r="E24" s="30" t="s">
        <v>45</v>
      </c>
      <c r="F24" s="30" t="s">
        <v>56</v>
      </c>
      <c r="G24" s="29" t="s">
        <v>47</v>
      </c>
      <c r="H24" s="21" t="s">
        <v>25</v>
      </c>
      <c r="I24" s="31">
        <v>1.25</v>
      </c>
      <c r="J24" s="23">
        <v>4</v>
      </c>
      <c r="K24" s="24">
        <f t="shared" si="3"/>
        <v>5</v>
      </c>
      <c r="L24" s="25">
        <f t="shared" si="4"/>
        <v>6</v>
      </c>
      <c r="M24" s="32">
        <f t="shared" si="5"/>
        <v>0.75</v>
      </c>
    </row>
    <row r="25" spans="1:13" ht="19.5" customHeight="1" x14ac:dyDescent="0.25">
      <c r="A25" s="17">
        <v>15</v>
      </c>
      <c r="B25" s="18" t="s">
        <v>57</v>
      </c>
      <c r="C25" s="19" t="s">
        <v>43</v>
      </c>
      <c r="D25" s="19" t="s">
        <v>58</v>
      </c>
      <c r="E25" s="20" t="s">
        <v>59</v>
      </c>
      <c r="F25" s="20" t="s">
        <v>60</v>
      </c>
      <c r="G25" s="19" t="s">
        <v>47</v>
      </c>
      <c r="H25" s="21" t="s">
        <v>25</v>
      </c>
      <c r="I25" s="22">
        <v>0.95</v>
      </c>
      <c r="J25" s="23">
        <v>5</v>
      </c>
      <c r="K25" s="24">
        <f t="shared" si="3"/>
        <v>4.75</v>
      </c>
      <c r="L25" s="25">
        <f t="shared" si="4"/>
        <v>5.7</v>
      </c>
      <c r="M25" s="26">
        <f t="shared" si="5"/>
        <v>0.79999999999999993</v>
      </c>
    </row>
    <row r="26" spans="1:13" ht="19.5" customHeight="1" x14ac:dyDescent="0.25">
      <c r="A26" s="27">
        <v>16</v>
      </c>
      <c r="B26" s="28" t="s">
        <v>57</v>
      </c>
      <c r="C26" s="29" t="s">
        <v>43</v>
      </c>
      <c r="D26" s="29" t="s">
        <v>58</v>
      </c>
      <c r="E26" s="30" t="s">
        <v>48</v>
      </c>
      <c r="F26" s="30" t="s">
        <v>60</v>
      </c>
      <c r="G26" s="29" t="s">
        <v>47</v>
      </c>
      <c r="H26" s="21" t="s">
        <v>25</v>
      </c>
      <c r="I26" s="31">
        <v>5.5</v>
      </c>
      <c r="J26" s="23">
        <v>3.5</v>
      </c>
      <c r="K26" s="24">
        <f t="shared" si="3"/>
        <v>19.25</v>
      </c>
      <c r="L26" s="25">
        <f t="shared" si="4"/>
        <v>22.9</v>
      </c>
      <c r="M26" s="32">
        <f t="shared" si="5"/>
        <v>0.7142857142857143</v>
      </c>
    </row>
    <row r="27" spans="1:13" ht="19.5" customHeight="1" x14ac:dyDescent="0.25">
      <c r="A27" s="7" t="s">
        <v>61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ht="19.5" customHeight="1" x14ac:dyDescent="0.25">
      <c r="A28" s="17">
        <v>17</v>
      </c>
      <c r="B28" s="18" t="s">
        <v>62</v>
      </c>
      <c r="C28" s="19" t="s">
        <v>63</v>
      </c>
      <c r="D28" s="19" t="s">
        <v>62</v>
      </c>
      <c r="E28" s="20" t="s">
        <v>64</v>
      </c>
      <c r="F28" s="20" t="s">
        <v>65</v>
      </c>
      <c r="G28" s="19" t="s">
        <v>66</v>
      </c>
      <c r="H28" s="21" t="s">
        <v>25</v>
      </c>
      <c r="I28" s="22">
        <v>0.6</v>
      </c>
      <c r="J28" s="23">
        <v>6</v>
      </c>
      <c r="K28" s="24">
        <f t="shared" ref="K28:K37" si="6">IFERROR(I28*J28,0)</f>
        <v>3.5999999999999996</v>
      </c>
      <c r="L28" s="25">
        <f t="shared" ref="L28:L37" si="7">IFERROR(ROUND(K28*(1+$E$6),1),0)</f>
        <v>4.3</v>
      </c>
      <c r="M28" s="26">
        <f t="shared" ref="M28:M37" si="8">IFERROR((K28-I28)/K28,0)</f>
        <v>0.83333333333333326</v>
      </c>
    </row>
    <row r="29" spans="1:13" ht="19.5" customHeight="1" x14ac:dyDescent="0.25">
      <c r="A29" s="27">
        <v>18</v>
      </c>
      <c r="B29" s="28" t="s">
        <v>67</v>
      </c>
      <c r="C29" s="29" t="s">
        <v>63</v>
      </c>
      <c r="D29" s="29" t="s">
        <v>67</v>
      </c>
      <c r="E29" s="30" t="s">
        <v>64</v>
      </c>
      <c r="F29" s="30" t="s">
        <v>65</v>
      </c>
      <c r="G29" s="29" t="s">
        <v>66</v>
      </c>
      <c r="H29" s="21" t="s">
        <v>25</v>
      </c>
      <c r="I29" s="31">
        <v>0.65</v>
      </c>
      <c r="J29" s="23">
        <v>6</v>
      </c>
      <c r="K29" s="24">
        <f t="shared" si="6"/>
        <v>3.9000000000000004</v>
      </c>
      <c r="L29" s="25">
        <f t="shared" si="7"/>
        <v>4.5999999999999996</v>
      </c>
      <c r="M29" s="32">
        <f t="shared" si="8"/>
        <v>0.83333333333333337</v>
      </c>
    </row>
    <row r="30" spans="1:13" ht="19.5" customHeight="1" x14ac:dyDescent="0.25">
      <c r="A30" s="17">
        <v>19</v>
      </c>
      <c r="B30" s="18" t="s">
        <v>68</v>
      </c>
      <c r="C30" s="19" t="s">
        <v>63</v>
      </c>
      <c r="D30" s="19" t="s">
        <v>69</v>
      </c>
      <c r="E30" s="20" t="s">
        <v>64</v>
      </c>
      <c r="F30" s="20" t="s">
        <v>65</v>
      </c>
      <c r="G30" s="19" t="s">
        <v>66</v>
      </c>
      <c r="H30" s="21" t="s">
        <v>25</v>
      </c>
      <c r="I30" s="22">
        <v>0.8</v>
      </c>
      <c r="J30" s="23">
        <v>6</v>
      </c>
      <c r="K30" s="24">
        <f t="shared" si="6"/>
        <v>4.8000000000000007</v>
      </c>
      <c r="L30" s="25">
        <f t="shared" si="7"/>
        <v>5.7</v>
      </c>
      <c r="M30" s="26">
        <f t="shared" si="8"/>
        <v>0.83333333333333337</v>
      </c>
    </row>
    <row r="31" spans="1:13" ht="19.5" customHeight="1" x14ac:dyDescent="0.25">
      <c r="A31" s="27">
        <v>20</v>
      </c>
      <c r="B31" s="28" t="s">
        <v>70</v>
      </c>
      <c r="C31" s="29" t="s">
        <v>63</v>
      </c>
      <c r="D31" s="29" t="s">
        <v>70</v>
      </c>
      <c r="E31" s="30" t="s">
        <v>64</v>
      </c>
      <c r="F31" s="30" t="s">
        <v>65</v>
      </c>
      <c r="G31" s="29" t="s">
        <v>66</v>
      </c>
      <c r="H31" s="21" t="s">
        <v>25</v>
      </c>
      <c r="I31" s="31">
        <v>0.75</v>
      </c>
      <c r="J31" s="23">
        <v>6</v>
      </c>
      <c r="K31" s="24">
        <f t="shared" si="6"/>
        <v>4.5</v>
      </c>
      <c r="L31" s="25">
        <f t="shared" si="7"/>
        <v>5.4</v>
      </c>
      <c r="M31" s="32">
        <f t="shared" si="8"/>
        <v>0.83333333333333337</v>
      </c>
    </row>
    <row r="32" spans="1:13" ht="19.5" customHeight="1" x14ac:dyDescent="0.25">
      <c r="A32" s="17">
        <v>21</v>
      </c>
      <c r="B32" s="18" t="s">
        <v>71</v>
      </c>
      <c r="C32" s="19" t="s">
        <v>63</v>
      </c>
      <c r="D32" s="19" t="s">
        <v>71</v>
      </c>
      <c r="E32" s="20" t="s">
        <v>64</v>
      </c>
      <c r="F32" s="20" t="s">
        <v>72</v>
      </c>
      <c r="G32" s="19" t="s">
        <v>66</v>
      </c>
      <c r="H32" s="21" t="s">
        <v>25</v>
      </c>
      <c r="I32" s="22">
        <v>0.7</v>
      </c>
      <c r="J32" s="23">
        <v>6</v>
      </c>
      <c r="K32" s="24">
        <f t="shared" si="6"/>
        <v>4.1999999999999993</v>
      </c>
      <c r="L32" s="25">
        <f t="shared" si="7"/>
        <v>5</v>
      </c>
      <c r="M32" s="26">
        <f t="shared" si="8"/>
        <v>0.83333333333333326</v>
      </c>
    </row>
    <row r="33" spans="1:13" ht="19.5" customHeight="1" x14ac:dyDescent="0.25">
      <c r="A33" s="27">
        <v>22</v>
      </c>
      <c r="B33" s="28" t="s">
        <v>73</v>
      </c>
      <c r="C33" s="29" t="s">
        <v>63</v>
      </c>
      <c r="D33" s="29" t="s">
        <v>74</v>
      </c>
      <c r="E33" s="30" t="s">
        <v>64</v>
      </c>
      <c r="F33" s="30" t="s">
        <v>75</v>
      </c>
      <c r="G33" s="29" t="s">
        <v>66</v>
      </c>
      <c r="H33" s="21" t="s">
        <v>25</v>
      </c>
      <c r="I33" s="31">
        <v>0.85</v>
      </c>
      <c r="J33" s="23">
        <v>5.5</v>
      </c>
      <c r="K33" s="24">
        <f t="shared" si="6"/>
        <v>4.6749999999999998</v>
      </c>
      <c r="L33" s="25">
        <f t="shared" si="7"/>
        <v>5.6</v>
      </c>
      <c r="M33" s="32">
        <f t="shared" si="8"/>
        <v>0.81818181818181812</v>
      </c>
    </row>
    <row r="34" spans="1:13" ht="19.5" customHeight="1" x14ac:dyDescent="0.25">
      <c r="A34" s="17">
        <v>23</v>
      </c>
      <c r="B34" s="18" t="s">
        <v>76</v>
      </c>
      <c r="C34" s="19" t="s">
        <v>63</v>
      </c>
      <c r="D34" s="19" t="s">
        <v>77</v>
      </c>
      <c r="E34" s="20" t="s">
        <v>78</v>
      </c>
      <c r="F34" s="20" t="s">
        <v>79</v>
      </c>
      <c r="G34" s="19" t="s">
        <v>66</v>
      </c>
      <c r="H34" s="21" t="s">
        <v>25</v>
      </c>
      <c r="I34" s="22">
        <v>0.4</v>
      </c>
      <c r="J34" s="23">
        <v>6</v>
      </c>
      <c r="K34" s="24">
        <f t="shared" si="6"/>
        <v>2.4000000000000004</v>
      </c>
      <c r="L34" s="25">
        <f t="shared" si="7"/>
        <v>2.9</v>
      </c>
      <c r="M34" s="26">
        <f t="shared" si="8"/>
        <v>0.83333333333333337</v>
      </c>
    </row>
    <row r="35" spans="1:13" ht="19.5" customHeight="1" x14ac:dyDescent="0.25">
      <c r="A35" s="27">
        <v>24</v>
      </c>
      <c r="B35" s="28" t="s">
        <v>80</v>
      </c>
      <c r="C35" s="29" t="s">
        <v>63</v>
      </c>
      <c r="D35" s="29" t="s">
        <v>80</v>
      </c>
      <c r="E35" s="30" t="s">
        <v>78</v>
      </c>
      <c r="F35" s="30" t="s">
        <v>81</v>
      </c>
      <c r="G35" s="29" t="s">
        <v>66</v>
      </c>
      <c r="H35" s="21" t="s">
        <v>25</v>
      </c>
      <c r="I35" s="31">
        <v>0.45</v>
      </c>
      <c r="J35" s="23">
        <v>6</v>
      </c>
      <c r="K35" s="24">
        <f t="shared" si="6"/>
        <v>2.7</v>
      </c>
      <c r="L35" s="25">
        <f t="shared" si="7"/>
        <v>3.2</v>
      </c>
      <c r="M35" s="32">
        <f t="shared" si="8"/>
        <v>0.83333333333333326</v>
      </c>
    </row>
    <row r="36" spans="1:13" ht="19.5" customHeight="1" x14ac:dyDescent="0.25">
      <c r="A36" s="17">
        <v>25</v>
      </c>
      <c r="B36" s="18" t="s">
        <v>82</v>
      </c>
      <c r="C36" s="19" t="s">
        <v>63</v>
      </c>
      <c r="D36" s="19" t="s">
        <v>83</v>
      </c>
      <c r="E36" s="20" t="s">
        <v>22</v>
      </c>
      <c r="F36" s="20" t="s">
        <v>84</v>
      </c>
      <c r="G36" s="19" t="s">
        <v>66</v>
      </c>
      <c r="H36" s="21" t="s">
        <v>25</v>
      </c>
      <c r="I36" s="22">
        <v>1.4</v>
      </c>
      <c r="J36" s="23">
        <v>5</v>
      </c>
      <c r="K36" s="24">
        <f t="shared" si="6"/>
        <v>7</v>
      </c>
      <c r="L36" s="25">
        <f t="shared" si="7"/>
        <v>8.3000000000000007</v>
      </c>
      <c r="M36" s="26">
        <f t="shared" si="8"/>
        <v>0.79999999999999993</v>
      </c>
    </row>
    <row r="37" spans="1:13" ht="19.5" customHeight="1" x14ac:dyDescent="0.25">
      <c r="A37" s="27">
        <v>26</v>
      </c>
      <c r="B37" s="28" t="s">
        <v>85</v>
      </c>
      <c r="C37" s="29" t="s">
        <v>63</v>
      </c>
      <c r="D37" s="29" t="s">
        <v>83</v>
      </c>
      <c r="E37" s="30" t="s">
        <v>22</v>
      </c>
      <c r="F37" s="30" t="s">
        <v>86</v>
      </c>
      <c r="G37" s="29" t="s">
        <v>66</v>
      </c>
      <c r="H37" s="21" t="s">
        <v>25</v>
      </c>
      <c r="I37" s="31">
        <v>1.2</v>
      </c>
      <c r="J37" s="23">
        <v>5</v>
      </c>
      <c r="K37" s="24">
        <f t="shared" si="6"/>
        <v>6</v>
      </c>
      <c r="L37" s="25">
        <f t="shared" si="7"/>
        <v>7.1</v>
      </c>
      <c r="M37" s="32">
        <f t="shared" si="8"/>
        <v>0.79999999999999993</v>
      </c>
    </row>
    <row r="38" spans="1:13" ht="19.5" customHeight="1" x14ac:dyDescent="0.25">
      <c r="A38" s="6" t="s">
        <v>87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ht="19.5" customHeight="1" x14ac:dyDescent="0.25">
      <c r="A39" s="17">
        <v>27</v>
      </c>
      <c r="B39" s="18" t="s">
        <v>88</v>
      </c>
      <c r="C39" s="19" t="s">
        <v>89</v>
      </c>
      <c r="D39" s="19" t="s">
        <v>90</v>
      </c>
      <c r="E39" s="20" t="s">
        <v>22</v>
      </c>
      <c r="F39" s="20" t="s">
        <v>84</v>
      </c>
      <c r="G39" s="19" t="s">
        <v>66</v>
      </c>
      <c r="H39" s="21" t="s">
        <v>25</v>
      </c>
      <c r="I39" s="22">
        <v>1.8</v>
      </c>
      <c r="J39" s="23">
        <v>5</v>
      </c>
      <c r="K39" s="24">
        <f t="shared" ref="K39:K44" si="9">IFERROR(I39*J39,0)</f>
        <v>9</v>
      </c>
      <c r="L39" s="25">
        <f t="shared" ref="L39:L44" si="10">IFERROR(ROUND(K39*(1+$E$6),1),0)</f>
        <v>10.7</v>
      </c>
      <c r="M39" s="26">
        <f t="shared" ref="M39:M44" si="11">IFERROR((K39-I39)/K39,0)</f>
        <v>0.8</v>
      </c>
    </row>
    <row r="40" spans="1:13" ht="19.5" customHeight="1" x14ac:dyDescent="0.25">
      <c r="A40" s="27">
        <v>28</v>
      </c>
      <c r="B40" s="28" t="s">
        <v>91</v>
      </c>
      <c r="C40" s="29" t="s">
        <v>89</v>
      </c>
      <c r="D40" s="29" t="s">
        <v>90</v>
      </c>
      <c r="E40" s="30" t="s">
        <v>22</v>
      </c>
      <c r="F40" s="30" t="s">
        <v>92</v>
      </c>
      <c r="G40" s="29" t="s">
        <v>47</v>
      </c>
      <c r="H40" s="21" t="s">
        <v>25</v>
      </c>
      <c r="I40" s="31">
        <v>1.5</v>
      </c>
      <c r="J40" s="23">
        <v>5</v>
      </c>
      <c r="K40" s="24">
        <f t="shared" si="9"/>
        <v>7.5</v>
      </c>
      <c r="L40" s="25">
        <f t="shared" si="10"/>
        <v>8.9</v>
      </c>
      <c r="M40" s="32">
        <f t="shared" si="11"/>
        <v>0.8</v>
      </c>
    </row>
    <row r="41" spans="1:13" ht="19.5" customHeight="1" x14ac:dyDescent="0.25">
      <c r="A41" s="17">
        <v>29</v>
      </c>
      <c r="B41" s="18" t="s">
        <v>93</v>
      </c>
      <c r="C41" s="19" t="s">
        <v>89</v>
      </c>
      <c r="D41" s="19" t="s">
        <v>90</v>
      </c>
      <c r="E41" s="20" t="s">
        <v>94</v>
      </c>
      <c r="F41" s="20" t="s">
        <v>95</v>
      </c>
      <c r="G41" s="19" t="s">
        <v>66</v>
      </c>
      <c r="H41" s="21" t="s">
        <v>25</v>
      </c>
      <c r="I41" s="22">
        <v>1.7</v>
      </c>
      <c r="J41" s="23">
        <v>5</v>
      </c>
      <c r="K41" s="24">
        <f t="shared" si="9"/>
        <v>8.5</v>
      </c>
      <c r="L41" s="25">
        <f t="shared" si="10"/>
        <v>10.1</v>
      </c>
      <c r="M41" s="26">
        <f t="shared" si="11"/>
        <v>0.79999999999999993</v>
      </c>
    </row>
    <row r="42" spans="1:13" ht="19.5" customHeight="1" x14ac:dyDescent="0.25">
      <c r="A42" s="27">
        <v>30</v>
      </c>
      <c r="B42" s="28" t="s">
        <v>96</v>
      </c>
      <c r="C42" s="29" t="s">
        <v>89</v>
      </c>
      <c r="D42" s="29" t="s">
        <v>90</v>
      </c>
      <c r="E42" s="30" t="s">
        <v>22</v>
      </c>
      <c r="F42" s="30" t="s">
        <v>97</v>
      </c>
      <c r="G42" s="29" t="s">
        <v>66</v>
      </c>
      <c r="H42" s="21" t="s">
        <v>25</v>
      </c>
      <c r="I42" s="31">
        <v>1.9</v>
      </c>
      <c r="J42" s="23">
        <v>5</v>
      </c>
      <c r="K42" s="24">
        <f t="shared" si="9"/>
        <v>9.5</v>
      </c>
      <c r="L42" s="25">
        <f t="shared" si="10"/>
        <v>11.3</v>
      </c>
      <c r="M42" s="32">
        <f t="shared" si="11"/>
        <v>0.79999999999999993</v>
      </c>
    </row>
    <row r="43" spans="1:13" ht="19.5" customHeight="1" x14ac:dyDescent="0.25">
      <c r="A43" s="17">
        <v>31</v>
      </c>
      <c r="B43" s="18" t="s">
        <v>98</v>
      </c>
      <c r="C43" s="19" t="s">
        <v>89</v>
      </c>
      <c r="D43" s="19" t="s">
        <v>36</v>
      </c>
      <c r="E43" s="20" t="s">
        <v>22</v>
      </c>
      <c r="F43" s="20" t="s">
        <v>37</v>
      </c>
      <c r="G43" s="19" t="s">
        <v>66</v>
      </c>
      <c r="H43" s="21" t="s">
        <v>25</v>
      </c>
      <c r="I43" s="22">
        <v>0.9</v>
      </c>
      <c r="J43" s="23">
        <v>5.5</v>
      </c>
      <c r="K43" s="24">
        <f t="shared" si="9"/>
        <v>4.95</v>
      </c>
      <c r="L43" s="25">
        <f t="shared" si="10"/>
        <v>5.9</v>
      </c>
      <c r="M43" s="26">
        <f t="shared" si="11"/>
        <v>0.81818181818181812</v>
      </c>
    </row>
    <row r="44" spans="1:13" ht="19.5" customHeight="1" x14ac:dyDescent="0.25">
      <c r="A44" s="27">
        <v>32</v>
      </c>
      <c r="B44" s="28" t="s">
        <v>99</v>
      </c>
      <c r="C44" s="29" t="s">
        <v>89</v>
      </c>
      <c r="D44" s="29" t="s">
        <v>36</v>
      </c>
      <c r="E44" s="30" t="s">
        <v>22</v>
      </c>
      <c r="F44" s="30" t="s">
        <v>37</v>
      </c>
      <c r="G44" s="29" t="s">
        <v>66</v>
      </c>
      <c r="H44" s="21" t="s">
        <v>25</v>
      </c>
      <c r="I44" s="31">
        <v>0.8</v>
      </c>
      <c r="J44" s="23">
        <v>5.5</v>
      </c>
      <c r="K44" s="24">
        <f t="shared" si="9"/>
        <v>4.4000000000000004</v>
      </c>
      <c r="L44" s="25">
        <f t="shared" si="10"/>
        <v>5.2</v>
      </c>
      <c r="M44" s="32">
        <f t="shared" si="11"/>
        <v>0.81818181818181823</v>
      </c>
    </row>
    <row r="45" spans="1:13" ht="19.5" customHeight="1" x14ac:dyDescent="0.25">
      <c r="A45" s="5" t="s">
        <v>100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ht="19.5" customHeight="1" x14ac:dyDescent="0.25">
      <c r="A46" s="17">
        <v>33</v>
      </c>
      <c r="B46" s="18" t="s">
        <v>101</v>
      </c>
      <c r="C46" s="19" t="s">
        <v>102</v>
      </c>
      <c r="D46" s="19" t="s">
        <v>101</v>
      </c>
      <c r="E46" s="20" t="s">
        <v>22</v>
      </c>
      <c r="F46" s="20" t="s">
        <v>37</v>
      </c>
      <c r="G46" s="19" t="s">
        <v>103</v>
      </c>
      <c r="H46" s="21" t="s">
        <v>25</v>
      </c>
      <c r="I46" s="22">
        <v>0.28000000000000003</v>
      </c>
      <c r="J46" s="23">
        <v>5</v>
      </c>
      <c r="K46" s="24">
        <f t="shared" ref="K46:K55" si="12">IFERROR(I46*J46,0)</f>
        <v>1.4000000000000001</v>
      </c>
      <c r="L46" s="25">
        <f t="shared" ref="L46:L55" si="13">IFERROR(ROUND(K46*(1+$E$6),1),0)</f>
        <v>1.7</v>
      </c>
      <c r="M46" s="26">
        <f t="shared" ref="M46:M55" si="14">IFERROR((K46-I46)/K46,0)</f>
        <v>0.8</v>
      </c>
    </row>
    <row r="47" spans="1:13" ht="19.5" customHeight="1" x14ac:dyDescent="0.25">
      <c r="A47" s="27">
        <v>34</v>
      </c>
      <c r="B47" s="28" t="s">
        <v>101</v>
      </c>
      <c r="C47" s="29" t="s">
        <v>102</v>
      </c>
      <c r="D47" s="29" t="s">
        <v>101</v>
      </c>
      <c r="E47" s="30" t="s">
        <v>26</v>
      </c>
      <c r="F47" s="30" t="s">
        <v>37</v>
      </c>
      <c r="G47" s="29" t="s">
        <v>103</v>
      </c>
      <c r="H47" s="21" t="s">
        <v>25</v>
      </c>
      <c r="I47" s="31">
        <v>0.4</v>
      </c>
      <c r="J47" s="23">
        <v>5</v>
      </c>
      <c r="K47" s="24">
        <f t="shared" si="12"/>
        <v>2</v>
      </c>
      <c r="L47" s="25">
        <f t="shared" si="13"/>
        <v>2.4</v>
      </c>
      <c r="M47" s="32">
        <f t="shared" si="14"/>
        <v>0.8</v>
      </c>
    </row>
    <row r="48" spans="1:13" ht="19.5" customHeight="1" x14ac:dyDescent="0.25">
      <c r="A48" s="17">
        <v>35</v>
      </c>
      <c r="B48" s="18" t="s">
        <v>104</v>
      </c>
      <c r="C48" s="19" t="s">
        <v>102</v>
      </c>
      <c r="D48" s="19" t="s">
        <v>105</v>
      </c>
      <c r="E48" s="20" t="s">
        <v>22</v>
      </c>
      <c r="F48" s="20" t="s">
        <v>37</v>
      </c>
      <c r="G48" s="19" t="s">
        <v>66</v>
      </c>
      <c r="H48" s="21" t="s">
        <v>25</v>
      </c>
      <c r="I48" s="22">
        <v>0.25</v>
      </c>
      <c r="J48" s="23">
        <v>5</v>
      </c>
      <c r="K48" s="24">
        <f t="shared" si="12"/>
        <v>1.25</v>
      </c>
      <c r="L48" s="25">
        <f t="shared" si="13"/>
        <v>1.5</v>
      </c>
      <c r="M48" s="26">
        <f t="shared" si="14"/>
        <v>0.8</v>
      </c>
    </row>
    <row r="49" spans="1:13" ht="19.5" customHeight="1" x14ac:dyDescent="0.25">
      <c r="A49" s="27">
        <v>36</v>
      </c>
      <c r="B49" s="28" t="s">
        <v>106</v>
      </c>
      <c r="C49" s="29" t="s">
        <v>102</v>
      </c>
      <c r="D49" s="29" t="s">
        <v>107</v>
      </c>
      <c r="E49" s="30" t="s">
        <v>45</v>
      </c>
      <c r="F49" s="30" t="s">
        <v>37</v>
      </c>
      <c r="G49" s="29" t="s">
        <v>66</v>
      </c>
      <c r="H49" s="21" t="s">
        <v>25</v>
      </c>
      <c r="I49" s="31">
        <v>0.6</v>
      </c>
      <c r="J49" s="23">
        <v>4.5</v>
      </c>
      <c r="K49" s="24">
        <f t="shared" si="12"/>
        <v>2.6999999999999997</v>
      </c>
      <c r="L49" s="25">
        <f t="shared" si="13"/>
        <v>3.2</v>
      </c>
      <c r="M49" s="32">
        <f t="shared" si="14"/>
        <v>0.77777777777777768</v>
      </c>
    </row>
    <row r="50" spans="1:13" ht="19.5" customHeight="1" x14ac:dyDescent="0.25">
      <c r="A50" s="17">
        <v>37</v>
      </c>
      <c r="B50" s="18" t="s">
        <v>106</v>
      </c>
      <c r="C50" s="19" t="s">
        <v>102</v>
      </c>
      <c r="D50" s="19" t="s">
        <v>107</v>
      </c>
      <c r="E50" s="20" t="s">
        <v>108</v>
      </c>
      <c r="F50" s="20" t="s">
        <v>37</v>
      </c>
      <c r="G50" s="19" t="s">
        <v>66</v>
      </c>
      <c r="H50" s="21" t="s">
        <v>25</v>
      </c>
      <c r="I50" s="22">
        <v>1.1000000000000001</v>
      </c>
      <c r="J50" s="23">
        <v>4.5</v>
      </c>
      <c r="K50" s="24">
        <f t="shared" si="12"/>
        <v>4.95</v>
      </c>
      <c r="L50" s="25">
        <f t="shared" si="13"/>
        <v>5.9</v>
      </c>
      <c r="M50" s="26">
        <f t="shared" si="14"/>
        <v>0.77777777777777779</v>
      </c>
    </row>
    <row r="51" spans="1:13" ht="19.5" customHeight="1" x14ac:dyDescent="0.25">
      <c r="A51" s="27">
        <v>38</v>
      </c>
      <c r="B51" s="28" t="s">
        <v>109</v>
      </c>
      <c r="C51" s="29" t="s">
        <v>102</v>
      </c>
      <c r="D51" s="29" t="s">
        <v>107</v>
      </c>
      <c r="E51" s="30" t="s">
        <v>45</v>
      </c>
      <c r="F51" s="30" t="s">
        <v>37</v>
      </c>
      <c r="G51" s="29" t="s">
        <v>66</v>
      </c>
      <c r="H51" s="21" t="s">
        <v>25</v>
      </c>
      <c r="I51" s="31">
        <v>0.45</v>
      </c>
      <c r="J51" s="23">
        <v>4.5</v>
      </c>
      <c r="K51" s="24">
        <f t="shared" si="12"/>
        <v>2.0249999999999999</v>
      </c>
      <c r="L51" s="25">
        <f t="shared" si="13"/>
        <v>2.4</v>
      </c>
      <c r="M51" s="32">
        <f t="shared" si="14"/>
        <v>0.77777777777777779</v>
      </c>
    </row>
    <row r="52" spans="1:13" ht="19.5" customHeight="1" x14ac:dyDescent="0.25">
      <c r="A52" s="17">
        <v>39</v>
      </c>
      <c r="B52" s="18" t="s">
        <v>110</v>
      </c>
      <c r="C52" s="19" t="s">
        <v>102</v>
      </c>
      <c r="D52" s="19" t="s">
        <v>107</v>
      </c>
      <c r="E52" s="20" t="s">
        <v>45</v>
      </c>
      <c r="F52" s="20" t="s">
        <v>37</v>
      </c>
      <c r="G52" s="19" t="s">
        <v>66</v>
      </c>
      <c r="H52" s="21" t="s">
        <v>25</v>
      </c>
      <c r="I52" s="22">
        <v>0.48</v>
      </c>
      <c r="J52" s="23">
        <v>4.5</v>
      </c>
      <c r="K52" s="24">
        <f t="shared" si="12"/>
        <v>2.16</v>
      </c>
      <c r="L52" s="25">
        <f t="shared" si="13"/>
        <v>2.6</v>
      </c>
      <c r="M52" s="26">
        <f t="shared" si="14"/>
        <v>0.77777777777777779</v>
      </c>
    </row>
    <row r="53" spans="1:13" ht="19.5" customHeight="1" x14ac:dyDescent="0.25">
      <c r="A53" s="27">
        <v>40</v>
      </c>
      <c r="B53" s="28" t="s">
        <v>111</v>
      </c>
      <c r="C53" s="29" t="s">
        <v>102</v>
      </c>
      <c r="D53" s="29" t="s">
        <v>112</v>
      </c>
      <c r="E53" s="30" t="s">
        <v>94</v>
      </c>
      <c r="F53" s="30" t="s">
        <v>37</v>
      </c>
      <c r="G53" s="29" t="s">
        <v>66</v>
      </c>
      <c r="H53" s="21" t="s">
        <v>25</v>
      </c>
      <c r="I53" s="31">
        <v>0.22</v>
      </c>
      <c r="J53" s="23">
        <v>5</v>
      </c>
      <c r="K53" s="24">
        <f t="shared" si="12"/>
        <v>1.1000000000000001</v>
      </c>
      <c r="L53" s="25">
        <f t="shared" si="13"/>
        <v>1.3</v>
      </c>
      <c r="M53" s="32">
        <f t="shared" si="14"/>
        <v>0.8</v>
      </c>
    </row>
    <row r="54" spans="1:13" ht="19.5" customHeight="1" x14ac:dyDescent="0.25">
      <c r="A54" s="17">
        <v>41</v>
      </c>
      <c r="B54" s="18" t="s">
        <v>111</v>
      </c>
      <c r="C54" s="19" t="s">
        <v>102</v>
      </c>
      <c r="D54" s="19" t="s">
        <v>112</v>
      </c>
      <c r="E54" s="20" t="s">
        <v>48</v>
      </c>
      <c r="F54" s="20" t="s">
        <v>37</v>
      </c>
      <c r="G54" s="19" t="s">
        <v>66</v>
      </c>
      <c r="H54" s="21" t="s">
        <v>25</v>
      </c>
      <c r="I54" s="22">
        <v>0.55000000000000004</v>
      </c>
      <c r="J54" s="23">
        <v>5</v>
      </c>
      <c r="K54" s="24">
        <f t="shared" si="12"/>
        <v>2.75</v>
      </c>
      <c r="L54" s="25">
        <f t="shared" si="13"/>
        <v>3.3</v>
      </c>
      <c r="M54" s="26">
        <f t="shared" si="14"/>
        <v>0.8</v>
      </c>
    </row>
    <row r="55" spans="1:13" ht="19.5" customHeight="1" x14ac:dyDescent="0.25">
      <c r="A55" s="27">
        <v>42</v>
      </c>
      <c r="B55" s="28" t="s">
        <v>113</v>
      </c>
      <c r="C55" s="29" t="s">
        <v>102</v>
      </c>
      <c r="D55" s="29" t="s">
        <v>114</v>
      </c>
      <c r="E55" s="30" t="s">
        <v>45</v>
      </c>
      <c r="F55" s="30" t="s">
        <v>37</v>
      </c>
      <c r="G55" s="29" t="s">
        <v>115</v>
      </c>
      <c r="H55" s="21" t="s">
        <v>25</v>
      </c>
      <c r="I55" s="31">
        <v>0.38</v>
      </c>
      <c r="J55" s="23">
        <v>4.5</v>
      </c>
      <c r="K55" s="24">
        <f t="shared" si="12"/>
        <v>1.71</v>
      </c>
      <c r="L55" s="25">
        <f t="shared" si="13"/>
        <v>2</v>
      </c>
      <c r="M55" s="32">
        <f t="shared" si="14"/>
        <v>0.77777777777777779</v>
      </c>
    </row>
    <row r="56" spans="1:13" ht="19.5" customHeight="1" x14ac:dyDescent="0.25">
      <c r="A56" s="4" t="s">
        <v>116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 ht="19.5" customHeight="1" x14ac:dyDescent="0.25">
      <c r="A57" s="17">
        <v>43</v>
      </c>
      <c r="B57" s="18" t="s">
        <v>117</v>
      </c>
      <c r="C57" s="19" t="s">
        <v>118</v>
      </c>
      <c r="D57" s="19" t="s">
        <v>117</v>
      </c>
      <c r="E57" s="20" t="s">
        <v>119</v>
      </c>
      <c r="F57" s="20" t="s">
        <v>37</v>
      </c>
      <c r="G57" s="19" t="s">
        <v>103</v>
      </c>
      <c r="H57" s="21" t="s">
        <v>25</v>
      </c>
      <c r="I57" s="22">
        <v>0.18</v>
      </c>
      <c r="J57" s="23">
        <v>7</v>
      </c>
      <c r="K57" s="24">
        <f t="shared" ref="K57:K62" si="15">IFERROR(I57*J57,0)</f>
        <v>1.26</v>
      </c>
      <c r="L57" s="25">
        <f t="shared" ref="L57:L62" si="16">IFERROR(ROUND(K57*(1+$E$6),1),0)</f>
        <v>1.5</v>
      </c>
      <c r="M57" s="26">
        <f t="shared" ref="M57:M62" si="17">IFERROR((K57-I57)/K57,0)</f>
        <v>0.85714285714285721</v>
      </c>
    </row>
    <row r="58" spans="1:13" ht="19.5" customHeight="1" x14ac:dyDescent="0.25">
      <c r="A58" s="27">
        <v>44</v>
      </c>
      <c r="B58" s="28" t="s">
        <v>120</v>
      </c>
      <c r="C58" s="29" t="s">
        <v>118</v>
      </c>
      <c r="D58" s="29" t="s">
        <v>121</v>
      </c>
      <c r="E58" s="30" t="s">
        <v>119</v>
      </c>
      <c r="F58" s="30" t="s">
        <v>37</v>
      </c>
      <c r="G58" s="29" t="s">
        <v>122</v>
      </c>
      <c r="H58" s="21" t="s">
        <v>25</v>
      </c>
      <c r="I58" s="31">
        <v>0.28000000000000003</v>
      </c>
      <c r="J58" s="23">
        <v>7</v>
      </c>
      <c r="K58" s="24">
        <f t="shared" si="15"/>
        <v>1.9600000000000002</v>
      </c>
      <c r="L58" s="25">
        <f t="shared" si="16"/>
        <v>2.2999999999999998</v>
      </c>
      <c r="M58" s="32">
        <f t="shared" si="17"/>
        <v>0.8571428571428571</v>
      </c>
    </row>
    <row r="59" spans="1:13" ht="19.5" customHeight="1" x14ac:dyDescent="0.25">
      <c r="A59" s="17">
        <v>45</v>
      </c>
      <c r="B59" s="18" t="s">
        <v>123</v>
      </c>
      <c r="C59" s="19" t="s">
        <v>118</v>
      </c>
      <c r="D59" s="19" t="s">
        <v>121</v>
      </c>
      <c r="E59" s="20" t="s">
        <v>124</v>
      </c>
      <c r="F59" s="20" t="s">
        <v>37</v>
      </c>
      <c r="G59" s="19" t="s">
        <v>122</v>
      </c>
      <c r="H59" s="21" t="s">
        <v>25</v>
      </c>
      <c r="I59" s="22">
        <v>0.35</v>
      </c>
      <c r="J59" s="23">
        <v>7</v>
      </c>
      <c r="K59" s="24">
        <f t="shared" si="15"/>
        <v>2.4499999999999997</v>
      </c>
      <c r="L59" s="25">
        <f t="shared" si="16"/>
        <v>2.9</v>
      </c>
      <c r="M59" s="26">
        <f t="shared" si="17"/>
        <v>0.8571428571428571</v>
      </c>
    </row>
    <row r="60" spans="1:13" ht="19.5" customHeight="1" x14ac:dyDescent="0.25">
      <c r="A60" s="27">
        <v>46</v>
      </c>
      <c r="B60" s="28" t="s">
        <v>125</v>
      </c>
      <c r="C60" s="29" t="s">
        <v>118</v>
      </c>
      <c r="D60" s="29" t="s">
        <v>121</v>
      </c>
      <c r="E60" s="30" t="s">
        <v>119</v>
      </c>
      <c r="F60" s="30" t="s">
        <v>37</v>
      </c>
      <c r="G60" s="29" t="s">
        <v>103</v>
      </c>
      <c r="H60" s="21" t="s">
        <v>25</v>
      </c>
      <c r="I60" s="31">
        <v>0.15</v>
      </c>
      <c r="J60" s="23">
        <v>8</v>
      </c>
      <c r="K60" s="24">
        <f t="shared" si="15"/>
        <v>1.2</v>
      </c>
      <c r="L60" s="25">
        <f t="shared" si="16"/>
        <v>1.4</v>
      </c>
      <c r="M60" s="32">
        <f t="shared" si="17"/>
        <v>0.87500000000000011</v>
      </c>
    </row>
    <row r="61" spans="1:13" ht="19.5" customHeight="1" x14ac:dyDescent="0.25">
      <c r="A61" s="17">
        <v>47</v>
      </c>
      <c r="B61" s="18" t="s">
        <v>126</v>
      </c>
      <c r="C61" s="19" t="s">
        <v>118</v>
      </c>
      <c r="D61" s="19" t="s">
        <v>127</v>
      </c>
      <c r="E61" s="20" t="s">
        <v>128</v>
      </c>
      <c r="F61" s="20" t="s">
        <v>37</v>
      </c>
      <c r="G61" s="19" t="s">
        <v>66</v>
      </c>
      <c r="H61" s="21" t="s">
        <v>25</v>
      </c>
      <c r="I61" s="22">
        <v>0.2</v>
      </c>
      <c r="J61" s="23">
        <v>7</v>
      </c>
      <c r="K61" s="24">
        <f t="shared" si="15"/>
        <v>1.4000000000000001</v>
      </c>
      <c r="L61" s="25">
        <f t="shared" si="16"/>
        <v>1.7</v>
      </c>
      <c r="M61" s="26">
        <f t="shared" si="17"/>
        <v>0.85714285714285721</v>
      </c>
    </row>
    <row r="62" spans="1:13" ht="19.5" customHeight="1" x14ac:dyDescent="0.25">
      <c r="A62" s="27">
        <v>48</v>
      </c>
      <c r="B62" s="28" t="s">
        <v>129</v>
      </c>
      <c r="C62" s="29" t="s">
        <v>118</v>
      </c>
      <c r="D62" s="29" t="s">
        <v>130</v>
      </c>
      <c r="E62" s="30" t="s">
        <v>119</v>
      </c>
      <c r="F62" s="30" t="s">
        <v>37</v>
      </c>
      <c r="G62" s="29" t="s">
        <v>131</v>
      </c>
      <c r="H62" s="21" t="s">
        <v>25</v>
      </c>
      <c r="I62" s="31">
        <v>0.4</v>
      </c>
      <c r="J62" s="23">
        <v>6.5</v>
      </c>
      <c r="K62" s="24">
        <f t="shared" si="15"/>
        <v>2.6</v>
      </c>
      <c r="L62" s="25">
        <f t="shared" si="16"/>
        <v>3.1</v>
      </c>
      <c r="M62" s="32">
        <f t="shared" si="17"/>
        <v>0.84615384615384615</v>
      </c>
    </row>
    <row r="63" spans="1:13" ht="19.5" customHeight="1" x14ac:dyDescent="0.25">
      <c r="A63" s="3" t="s">
        <v>132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ht="19.5" customHeight="1" x14ac:dyDescent="0.25">
      <c r="A64" s="17">
        <v>49</v>
      </c>
      <c r="B64" s="18" t="s">
        <v>133</v>
      </c>
      <c r="C64" s="19" t="s">
        <v>134</v>
      </c>
      <c r="D64" s="19" t="s">
        <v>134</v>
      </c>
      <c r="E64" s="20" t="s">
        <v>26</v>
      </c>
      <c r="F64" s="20" t="s">
        <v>37</v>
      </c>
      <c r="G64" s="19" t="s">
        <v>66</v>
      </c>
      <c r="H64" s="21" t="s">
        <v>25</v>
      </c>
      <c r="I64" s="22">
        <v>0.7</v>
      </c>
      <c r="J64" s="23">
        <v>5.5</v>
      </c>
      <c r="K64" s="24">
        <f>IFERROR(I64*J64,0)</f>
        <v>3.8499999999999996</v>
      </c>
      <c r="L64" s="25">
        <f>IFERROR(ROUND(K64*(1+$E$6),1),0)</f>
        <v>4.5999999999999996</v>
      </c>
      <c r="M64" s="26">
        <f>IFERROR((K64-I64)/K64,0)</f>
        <v>0.81818181818181812</v>
      </c>
    </row>
    <row r="65" spans="1:13" ht="19.5" customHeight="1" x14ac:dyDescent="0.25">
      <c r="A65" s="27">
        <v>50</v>
      </c>
      <c r="B65" s="28" t="s">
        <v>135</v>
      </c>
      <c r="C65" s="29" t="s">
        <v>134</v>
      </c>
      <c r="D65" s="29" t="s">
        <v>136</v>
      </c>
      <c r="E65" s="30" t="s">
        <v>45</v>
      </c>
      <c r="F65" s="30" t="s">
        <v>95</v>
      </c>
      <c r="G65" s="29" t="s">
        <v>47</v>
      </c>
      <c r="H65" s="33" t="s">
        <v>137</v>
      </c>
      <c r="I65" s="31">
        <v>0.8</v>
      </c>
      <c r="J65" s="23">
        <v>5</v>
      </c>
      <c r="K65" s="24">
        <f>IFERROR(I65*J65,0)</f>
        <v>4</v>
      </c>
      <c r="L65" s="25">
        <f>IFERROR(ROUND(K65*(1+$E$6),1),0)</f>
        <v>4.8</v>
      </c>
      <c r="M65" s="32">
        <f>IFERROR((K65-I65)/K65,0)</f>
        <v>0.8</v>
      </c>
    </row>
    <row r="66" spans="1:13" ht="19.5" customHeight="1" x14ac:dyDescent="0.25">
      <c r="A66" s="17">
        <v>51</v>
      </c>
      <c r="B66" s="18" t="s">
        <v>138</v>
      </c>
      <c r="C66" s="19" t="s">
        <v>134</v>
      </c>
      <c r="D66" s="19" t="s">
        <v>130</v>
      </c>
      <c r="E66" s="20" t="s">
        <v>45</v>
      </c>
      <c r="F66" s="20" t="s">
        <v>37</v>
      </c>
      <c r="G66" s="19" t="s">
        <v>66</v>
      </c>
      <c r="H66" s="33" t="s">
        <v>137</v>
      </c>
      <c r="I66" s="22">
        <v>0.65</v>
      </c>
      <c r="J66" s="23">
        <v>5.5</v>
      </c>
      <c r="K66" s="24">
        <f>IFERROR(I66*J66,0)</f>
        <v>3.5750000000000002</v>
      </c>
      <c r="L66" s="25">
        <f>IFERROR(ROUND(K66*(1+$E$6),1),0)</f>
        <v>4.3</v>
      </c>
      <c r="M66" s="26">
        <f>IFERROR((K66-I66)/K66,0)</f>
        <v>0.81818181818181823</v>
      </c>
    </row>
    <row r="67" spans="1:13" ht="19.5" customHeight="1" x14ac:dyDescent="0.25">
      <c r="A67" s="27">
        <v>52</v>
      </c>
      <c r="B67" s="28" t="s">
        <v>139</v>
      </c>
      <c r="C67" s="29" t="s">
        <v>140</v>
      </c>
      <c r="D67" s="29" t="s">
        <v>141</v>
      </c>
      <c r="E67" s="30" t="s">
        <v>142</v>
      </c>
      <c r="F67" s="30" t="s">
        <v>37</v>
      </c>
      <c r="G67" s="29" t="s">
        <v>143</v>
      </c>
      <c r="H67" s="21" t="s">
        <v>25</v>
      </c>
      <c r="I67" s="31">
        <v>0</v>
      </c>
      <c r="J67" s="23">
        <v>4</v>
      </c>
      <c r="K67" s="24">
        <f>IFERROR(I67*J67,0)</f>
        <v>0</v>
      </c>
      <c r="L67" s="25">
        <f>IFERROR(ROUND(K67*(1+$E$6),1),0)</f>
        <v>0</v>
      </c>
      <c r="M67" s="32">
        <f>IFERROR((K67-I67)/K67,0)</f>
        <v>0</v>
      </c>
    </row>
    <row r="69" spans="1:13" ht="21.75" customHeight="1" x14ac:dyDescent="0.25">
      <c r="A69" s="9" t="s">
        <v>144</v>
      </c>
      <c r="B69" s="9"/>
      <c r="C69" s="9"/>
      <c r="D69" s="9"/>
      <c r="E69" s="9"/>
      <c r="F69" s="9"/>
      <c r="G69" s="9"/>
      <c r="H69" s="9"/>
      <c r="I69" s="9"/>
      <c r="J69" s="34">
        <f>IFERROR(AVERAGE(J9:J67),0)</f>
        <v>5.115384615384615</v>
      </c>
      <c r="K69" s="35">
        <f>IFERROR(AVERAGE(K9:K67),0)</f>
        <v>4.5221346153846147</v>
      </c>
      <c r="L69" s="35">
        <f>IFERROR(AVERAGE(L9:L67),0)</f>
        <v>5.3807692307692312</v>
      </c>
      <c r="M69" s="36">
        <f>IFERROR(AVERAGE(M9:M67),0)</f>
        <v>0.78343437657708903</v>
      </c>
    </row>
  </sheetData>
  <mergeCells count="13">
    <mergeCell ref="A56:M56"/>
    <mergeCell ref="A63:M63"/>
    <mergeCell ref="A69:I69"/>
    <mergeCell ref="F6:M6"/>
    <mergeCell ref="A9:M9"/>
    <mergeCell ref="A18:M18"/>
    <mergeCell ref="A27:M27"/>
    <mergeCell ref="A38:M38"/>
    <mergeCell ref="A45:M45"/>
    <mergeCell ref="A2:H2"/>
    <mergeCell ref="I2:M2"/>
    <mergeCell ref="A4:M4"/>
    <mergeCell ref="A6:D6"/>
  </mergeCells>
  <conditionalFormatting sqref="M9:M67">
    <cfRule type="expression" dxfId="3" priority="2">
      <formula>AND(ISNUMBER(M9),M9&lt;0.6)</formula>
    </cfRule>
    <cfRule type="expression" dxfId="2" priority="3">
      <formula>AND(ISNUMBER(M9),M9&gt;=0.6,M9&lt;0.7)</formula>
    </cfRule>
    <cfRule type="expression" dxfId="1" priority="4">
      <formula>AND(ISNUMBER(M9),M9&gt;=0.7)</formula>
    </cfRule>
  </conditionalFormatting>
  <pageMargins left="0.75" right="0.75" top="1" bottom="1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B1A2A"/>
  </sheetPr>
  <dimension ref="A2:L26"/>
  <sheetViews>
    <sheetView showGridLines="0" zoomScaleNormal="100" workbookViewId="0">
      <pane ySplit="8" topLeftCell="A9" activePane="bottomLeft" state="frozen"/>
      <selection pane="bottomLeft"/>
    </sheetView>
  </sheetViews>
  <sheetFormatPr baseColWidth="10" defaultColWidth="8.7109375" defaultRowHeight="15" x14ac:dyDescent="0.25"/>
  <cols>
    <col min="1" max="1" width="5" customWidth="1"/>
    <col min="2" max="2" width="26" customWidth="1"/>
    <col min="3" max="3" width="15" customWidth="1"/>
    <col min="4" max="4" width="14" customWidth="1"/>
    <col min="5" max="9" width="13" customWidth="1"/>
    <col min="10" max="11" width="14" customWidth="1"/>
    <col min="12" max="12" width="18" customWidth="1"/>
  </cols>
  <sheetData>
    <row r="2" spans="1:12" ht="39.75" customHeight="1" x14ac:dyDescent="0.25">
      <c r="A2" s="2" t="s">
        <v>145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6" customHeight="1" x14ac:dyDescent="0.25"/>
    <row r="4" spans="1:12" ht="49.5" customHeight="1" x14ac:dyDescent="0.25">
      <c r="A4" s="1" t="s">
        <v>146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6" customHeight="1" x14ac:dyDescent="0.25"/>
    <row r="6" spans="1:12" ht="21.75" customHeight="1" x14ac:dyDescent="0.25">
      <c r="A6" s="59" t="s">
        <v>147</v>
      </c>
      <c r="B6" s="59"/>
      <c r="C6" s="37" t="s">
        <v>148</v>
      </c>
      <c r="D6" s="38">
        <v>0.19</v>
      </c>
      <c r="E6" s="37" t="s">
        <v>149</v>
      </c>
      <c r="F6" s="38">
        <v>7.0000000000000007E-2</v>
      </c>
      <c r="G6" s="37" t="s">
        <v>150</v>
      </c>
      <c r="H6" s="38">
        <v>0.03</v>
      </c>
      <c r="I6" s="37" t="s">
        <v>151</v>
      </c>
      <c r="J6" s="38">
        <v>0.72</v>
      </c>
      <c r="K6" s="37" t="s">
        <v>152</v>
      </c>
      <c r="L6" s="39">
        <f>IFERROR(1/(1-J6),"–")</f>
        <v>3.5714285714285712</v>
      </c>
    </row>
    <row r="7" spans="1:12" ht="6" customHeight="1" x14ac:dyDescent="0.25"/>
    <row r="8" spans="1:12" ht="27.75" customHeight="1" x14ac:dyDescent="0.25">
      <c r="A8" s="40" t="s">
        <v>5</v>
      </c>
      <c r="B8" s="40" t="s">
        <v>153</v>
      </c>
      <c r="C8" s="40" t="s">
        <v>7</v>
      </c>
      <c r="D8" s="15" t="s">
        <v>154</v>
      </c>
      <c r="E8" s="15" t="s">
        <v>155</v>
      </c>
      <c r="F8" s="15" t="s">
        <v>156</v>
      </c>
      <c r="G8" s="15" t="s">
        <v>157</v>
      </c>
      <c r="H8" s="15" t="s">
        <v>158</v>
      </c>
      <c r="I8" s="15" t="s">
        <v>14</v>
      </c>
      <c r="J8" s="15" t="s">
        <v>15</v>
      </c>
      <c r="K8" s="15" t="s">
        <v>16</v>
      </c>
      <c r="L8" s="15" t="s">
        <v>159</v>
      </c>
    </row>
    <row r="9" spans="1:12" ht="21.75" customHeight="1" x14ac:dyDescent="0.25">
      <c r="A9" s="17">
        <v>1</v>
      </c>
      <c r="B9" s="18" t="s">
        <v>160</v>
      </c>
      <c r="C9" s="20" t="s">
        <v>20</v>
      </c>
      <c r="D9" s="41">
        <v>1.9</v>
      </c>
      <c r="E9" s="42">
        <v>500</v>
      </c>
      <c r="F9" s="42">
        <v>300</v>
      </c>
      <c r="G9" s="37">
        <f t="shared" ref="G9:G23" si="0">IFERROR(ROUND(E9/F9*(1-$H$6),2),"–")</f>
        <v>1.62</v>
      </c>
      <c r="H9" s="43">
        <f t="shared" ref="H9:H23" si="1">IFERROR(D9/G9,0)</f>
        <v>1.1728395061728394</v>
      </c>
      <c r="I9" s="23">
        <v>4.5</v>
      </c>
      <c r="J9" s="24">
        <f t="shared" ref="J9:J25" si="2">IFERROR(H9*I9,0)</f>
        <v>5.2777777777777768</v>
      </c>
      <c r="K9" s="25">
        <f t="shared" ref="K9:K25" si="3">IFERROR(ROUND(J9*1.19,1),0)</f>
        <v>6.3</v>
      </c>
      <c r="L9" s="44">
        <f t="shared" ref="L9:L25" si="4">IFERROR(J9-H9,0)</f>
        <v>4.1049382716049374</v>
      </c>
    </row>
    <row r="10" spans="1:12" ht="21.75" customHeight="1" x14ac:dyDescent="0.25">
      <c r="A10" s="27">
        <v>2</v>
      </c>
      <c r="B10" s="28" t="s">
        <v>161</v>
      </c>
      <c r="C10" s="30" t="s">
        <v>20</v>
      </c>
      <c r="D10" s="41">
        <v>1.9</v>
      </c>
      <c r="E10" s="42">
        <v>500</v>
      </c>
      <c r="F10" s="42">
        <v>500</v>
      </c>
      <c r="G10" s="45">
        <f t="shared" si="0"/>
        <v>0.97</v>
      </c>
      <c r="H10" s="43">
        <f t="shared" si="1"/>
        <v>1.9587628865979381</v>
      </c>
      <c r="I10" s="23">
        <v>4.5</v>
      </c>
      <c r="J10" s="46">
        <f t="shared" si="2"/>
        <v>8.8144329896907205</v>
      </c>
      <c r="K10" s="25">
        <f t="shared" si="3"/>
        <v>10.5</v>
      </c>
      <c r="L10" s="44">
        <f t="shared" si="4"/>
        <v>6.8556701030927822</v>
      </c>
    </row>
    <row r="11" spans="1:12" ht="21.75" customHeight="1" x14ac:dyDescent="0.25">
      <c r="A11" s="17">
        <v>3</v>
      </c>
      <c r="B11" s="18" t="s">
        <v>162</v>
      </c>
      <c r="C11" s="20" t="s">
        <v>20</v>
      </c>
      <c r="D11" s="41">
        <v>2.4</v>
      </c>
      <c r="E11" s="42">
        <v>500</v>
      </c>
      <c r="F11" s="42">
        <v>500</v>
      </c>
      <c r="G11" s="37">
        <f t="shared" si="0"/>
        <v>0.97</v>
      </c>
      <c r="H11" s="43">
        <f t="shared" si="1"/>
        <v>2.4742268041237114</v>
      </c>
      <c r="I11" s="23">
        <v>4</v>
      </c>
      <c r="J11" s="24">
        <f t="shared" si="2"/>
        <v>9.8969072164948457</v>
      </c>
      <c r="K11" s="25">
        <f t="shared" si="3"/>
        <v>11.8</v>
      </c>
      <c r="L11" s="44">
        <f t="shared" si="4"/>
        <v>7.4226804123711343</v>
      </c>
    </row>
    <row r="12" spans="1:12" ht="21.75" customHeight="1" x14ac:dyDescent="0.25">
      <c r="A12" s="27">
        <v>4</v>
      </c>
      <c r="B12" s="28" t="s">
        <v>163</v>
      </c>
      <c r="C12" s="30" t="s">
        <v>20</v>
      </c>
      <c r="D12" s="41">
        <v>1.8</v>
      </c>
      <c r="E12" s="42">
        <v>500</v>
      </c>
      <c r="F12" s="42">
        <v>300</v>
      </c>
      <c r="G12" s="45">
        <f t="shared" si="0"/>
        <v>1.62</v>
      </c>
      <c r="H12" s="43">
        <f t="shared" si="1"/>
        <v>1.1111111111111112</v>
      </c>
      <c r="I12" s="23">
        <v>4.8</v>
      </c>
      <c r="J12" s="46">
        <f t="shared" si="2"/>
        <v>5.333333333333333</v>
      </c>
      <c r="K12" s="25">
        <f t="shared" si="3"/>
        <v>6.3</v>
      </c>
      <c r="L12" s="44">
        <f t="shared" si="4"/>
        <v>4.2222222222222214</v>
      </c>
    </row>
    <row r="13" spans="1:12" ht="21.75" customHeight="1" x14ac:dyDescent="0.25">
      <c r="A13" s="17">
        <v>5</v>
      </c>
      <c r="B13" s="18" t="s">
        <v>164</v>
      </c>
      <c r="C13" s="20" t="s">
        <v>43</v>
      </c>
      <c r="D13" s="41">
        <v>4.5</v>
      </c>
      <c r="E13" s="42">
        <v>750</v>
      </c>
      <c r="F13" s="42">
        <v>200</v>
      </c>
      <c r="G13" s="37">
        <f t="shared" si="0"/>
        <v>3.64</v>
      </c>
      <c r="H13" s="43">
        <f t="shared" si="1"/>
        <v>1.2362637362637363</v>
      </c>
      <c r="I13" s="23">
        <v>4</v>
      </c>
      <c r="J13" s="24">
        <f t="shared" si="2"/>
        <v>4.9450549450549453</v>
      </c>
      <c r="K13" s="25">
        <f t="shared" si="3"/>
        <v>5.9</v>
      </c>
      <c r="L13" s="44">
        <f t="shared" si="4"/>
        <v>3.7087912087912089</v>
      </c>
    </row>
    <row r="14" spans="1:12" ht="21.75" customHeight="1" x14ac:dyDescent="0.25">
      <c r="A14" s="27">
        <v>6</v>
      </c>
      <c r="B14" s="28" t="s">
        <v>165</v>
      </c>
      <c r="C14" s="30" t="s">
        <v>43</v>
      </c>
      <c r="D14" s="41">
        <v>4.5</v>
      </c>
      <c r="E14" s="42">
        <v>750</v>
      </c>
      <c r="F14" s="42">
        <v>750</v>
      </c>
      <c r="G14" s="45">
        <f t="shared" si="0"/>
        <v>0.97</v>
      </c>
      <c r="H14" s="43">
        <f t="shared" si="1"/>
        <v>4.6391752577319592</v>
      </c>
      <c r="I14" s="23">
        <v>4</v>
      </c>
      <c r="J14" s="46">
        <f t="shared" si="2"/>
        <v>18.556701030927837</v>
      </c>
      <c r="K14" s="25">
        <f t="shared" si="3"/>
        <v>22.1</v>
      </c>
      <c r="L14" s="44">
        <f t="shared" si="4"/>
        <v>13.917525773195877</v>
      </c>
    </row>
    <row r="15" spans="1:12" ht="21.75" customHeight="1" x14ac:dyDescent="0.25">
      <c r="A15" s="17">
        <v>7</v>
      </c>
      <c r="B15" s="18" t="s">
        <v>166</v>
      </c>
      <c r="C15" s="20" t="s">
        <v>43</v>
      </c>
      <c r="D15" s="41">
        <v>5.2</v>
      </c>
      <c r="E15" s="42">
        <v>750</v>
      </c>
      <c r="F15" s="42">
        <v>200</v>
      </c>
      <c r="G15" s="37">
        <f t="shared" si="0"/>
        <v>3.64</v>
      </c>
      <c r="H15" s="43">
        <f t="shared" si="1"/>
        <v>1.4285714285714286</v>
      </c>
      <c r="I15" s="23">
        <v>4.2</v>
      </c>
      <c r="J15" s="24">
        <f t="shared" si="2"/>
        <v>6</v>
      </c>
      <c r="K15" s="25">
        <f t="shared" si="3"/>
        <v>7.1</v>
      </c>
      <c r="L15" s="44">
        <f t="shared" si="4"/>
        <v>4.5714285714285712</v>
      </c>
    </row>
    <row r="16" spans="1:12" ht="21.75" customHeight="1" x14ac:dyDescent="0.25">
      <c r="A16" s="27">
        <v>8</v>
      </c>
      <c r="B16" s="28" t="s">
        <v>167</v>
      </c>
      <c r="C16" s="30" t="s">
        <v>43</v>
      </c>
      <c r="D16" s="41">
        <v>5.5</v>
      </c>
      <c r="E16" s="42">
        <v>750</v>
      </c>
      <c r="F16" s="42">
        <v>100</v>
      </c>
      <c r="G16" s="45">
        <f t="shared" si="0"/>
        <v>7.28</v>
      </c>
      <c r="H16" s="43">
        <f t="shared" si="1"/>
        <v>0.75549450549450547</v>
      </c>
      <c r="I16" s="23">
        <v>5</v>
      </c>
      <c r="J16" s="46">
        <f t="shared" si="2"/>
        <v>3.7774725274725274</v>
      </c>
      <c r="K16" s="25">
        <f t="shared" si="3"/>
        <v>4.5</v>
      </c>
      <c r="L16" s="44">
        <f t="shared" si="4"/>
        <v>3.0219780219780219</v>
      </c>
    </row>
    <row r="17" spans="1:12" ht="21.75" customHeight="1" x14ac:dyDescent="0.25">
      <c r="A17" s="17">
        <v>9</v>
      </c>
      <c r="B17" s="18" t="s">
        <v>117</v>
      </c>
      <c r="C17" s="20" t="s">
        <v>118</v>
      </c>
      <c r="D17" s="41">
        <v>8</v>
      </c>
      <c r="E17" s="42">
        <v>250</v>
      </c>
      <c r="F17" s="42">
        <v>25</v>
      </c>
      <c r="G17" s="37">
        <f t="shared" si="0"/>
        <v>9.6999999999999993</v>
      </c>
      <c r="H17" s="43">
        <f t="shared" si="1"/>
        <v>0.82474226804123718</v>
      </c>
      <c r="I17" s="23">
        <v>7</v>
      </c>
      <c r="J17" s="24">
        <f t="shared" si="2"/>
        <v>5.7731958762886606</v>
      </c>
      <c r="K17" s="25">
        <f t="shared" si="3"/>
        <v>6.9</v>
      </c>
      <c r="L17" s="44">
        <f t="shared" si="4"/>
        <v>4.9484536082474238</v>
      </c>
    </row>
    <row r="18" spans="1:12" ht="21.75" customHeight="1" x14ac:dyDescent="0.25">
      <c r="A18" s="27">
        <v>10</v>
      </c>
      <c r="B18" s="28" t="s">
        <v>120</v>
      </c>
      <c r="C18" s="30" t="s">
        <v>118</v>
      </c>
      <c r="D18" s="41">
        <v>8</v>
      </c>
      <c r="E18" s="42">
        <v>250</v>
      </c>
      <c r="F18" s="42">
        <v>30</v>
      </c>
      <c r="G18" s="45">
        <f t="shared" si="0"/>
        <v>8.08</v>
      </c>
      <c r="H18" s="43">
        <f t="shared" si="1"/>
        <v>0.99009900990099009</v>
      </c>
      <c r="I18" s="23">
        <v>7</v>
      </c>
      <c r="J18" s="46">
        <f t="shared" si="2"/>
        <v>6.9306930693069306</v>
      </c>
      <c r="K18" s="25">
        <f t="shared" si="3"/>
        <v>8.1999999999999993</v>
      </c>
      <c r="L18" s="44">
        <f t="shared" si="4"/>
        <v>5.9405940594059405</v>
      </c>
    </row>
    <row r="19" spans="1:12" ht="21.75" customHeight="1" x14ac:dyDescent="0.25">
      <c r="A19" s="17">
        <v>11</v>
      </c>
      <c r="B19" s="18" t="s">
        <v>168</v>
      </c>
      <c r="C19" s="20" t="s">
        <v>102</v>
      </c>
      <c r="D19" s="41">
        <v>1.4</v>
      </c>
      <c r="E19" s="42">
        <v>500</v>
      </c>
      <c r="F19" s="42">
        <v>300</v>
      </c>
      <c r="G19" s="37">
        <f t="shared" si="0"/>
        <v>1.62</v>
      </c>
      <c r="H19" s="43">
        <f t="shared" si="1"/>
        <v>0.86419753086419737</v>
      </c>
      <c r="I19" s="23">
        <v>5</v>
      </c>
      <c r="J19" s="24">
        <f t="shared" si="2"/>
        <v>4.3209876543209873</v>
      </c>
      <c r="K19" s="25">
        <f t="shared" si="3"/>
        <v>5.0999999999999996</v>
      </c>
      <c r="L19" s="44">
        <f t="shared" si="4"/>
        <v>3.4567901234567899</v>
      </c>
    </row>
    <row r="20" spans="1:12" ht="21.75" customHeight="1" x14ac:dyDescent="0.25">
      <c r="A20" s="27">
        <v>12</v>
      </c>
      <c r="B20" s="28" t="s">
        <v>169</v>
      </c>
      <c r="C20" s="30" t="s">
        <v>102</v>
      </c>
      <c r="D20" s="41">
        <v>2.8</v>
      </c>
      <c r="E20" s="42">
        <v>1000</v>
      </c>
      <c r="F20" s="42">
        <v>200</v>
      </c>
      <c r="G20" s="45">
        <f t="shared" si="0"/>
        <v>4.8499999999999996</v>
      </c>
      <c r="H20" s="43">
        <f t="shared" si="1"/>
        <v>0.57731958762886604</v>
      </c>
      <c r="I20" s="23">
        <v>4.5</v>
      </c>
      <c r="J20" s="46">
        <f t="shared" si="2"/>
        <v>2.597938144329897</v>
      </c>
      <c r="K20" s="25">
        <f t="shared" si="3"/>
        <v>3.1</v>
      </c>
      <c r="L20" s="44">
        <f t="shared" si="4"/>
        <v>2.0206185567010309</v>
      </c>
    </row>
    <row r="21" spans="1:12" ht="21.75" customHeight="1" x14ac:dyDescent="0.25">
      <c r="A21" s="17">
        <v>13</v>
      </c>
      <c r="B21" s="18" t="s">
        <v>170</v>
      </c>
      <c r="C21" s="20" t="s">
        <v>102</v>
      </c>
      <c r="D21" s="41">
        <v>0.55000000000000004</v>
      </c>
      <c r="E21" s="42">
        <v>1000</v>
      </c>
      <c r="F21" s="42">
        <v>250</v>
      </c>
      <c r="G21" s="37">
        <f t="shared" si="0"/>
        <v>3.88</v>
      </c>
      <c r="H21" s="43">
        <f t="shared" si="1"/>
        <v>0.14175257731958765</v>
      </c>
      <c r="I21" s="23">
        <v>5</v>
      </c>
      <c r="J21" s="24">
        <f t="shared" si="2"/>
        <v>0.70876288659793829</v>
      </c>
      <c r="K21" s="25">
        <f t="shared" si="3"/>
        <v>0.8</v>
      </c>
      <c r="L21" s="44">
        <f t="shared" si="4"/>
        <v>0.56701030927835061</v>
      </c>
    </row>
    <row r="22" spans="1:12" ht="21.75" customHeight="1" x14ac:dyDescent="0.25">
      <c r="A22" s="27">
        <v>14</v>
      </c>
      <c r="B22" s="28" t="s">
        <v>171</v>
      </c>
      <c r="C22" s="30" t="s">
        <v>63</v>
      </c>
      <c r="D22" s="41">
        <v>9.9</v>
      </c>
      <c r="E22" s="42">
        <v>700</v>
      </c>
      <c r="F22" s="42">
        <v>40</v>
      </c>
      <c r="G22" s="45">
        <f t="shared" si="0"/>
        <v>16.98</v>
      </c>
      <c r="H22" s="43">
        <f t="shared" si="1"/>
        <v>0.58303886925795056</v>
      </c>
      <c r="I22" s="23">
        <v>6</v>
      </c>
      <c r="J22" s="46">
        <f t="shared" si="2"/>
        <v>3.4982332155477032</v>
      </c>
      <c r="K22" s="25">
        <f t="shared" si="3"/>
        <v>4.2</v>
      </c>
      <c r="L22" s="44">
        <f t="shared" si="4"/>
        <v>2.9151943462897525</v>
      </c>
    </row>
    <row r="23" spans="1:12" ht="21.75" customHeight="1" x14ac:dyDescent="0.25">
      <c r="A23" s="17">
        <v>15</v>
      </c>
      <c r="B23" s="18" t="s">
        <v>172</v>
      </c>
      <c r="C23" s="20" t="s">
        <v>63</v>
      </c>
      <c r="D23" s="41">
        <v>14.5</v>
      </c>
      <c r="E23" s="42">
        <v>700</v>
      </c>
      <c r="F23" s="42">
        <v>40</v>
      </c>
      <c r="G23" s="37">
        <f t="shared" si="0"/>
        <v>16.98</v>
      </c>
      <c r="H23" s="43">
        <f t="shared" si="1"/>
        <v>0.85394581861012953</v>
      </c>
      <c r="I23" s="23">
        <v>6</v>
      </c>
      <c r="J23" s="24">
        <f t="shared" si="2"/>
        <v>5.1236749116607774</v>
      </c>
      <c r="K23" s="25">
        <f t="shared" si="3"/>
        <v>6.1</v>
      </c>
      <c r="L23" s="44">
        <f t="shared" si="4"/>
        <v>4.269729093050648</v>
      </c>
    </row>
    <row r="24" spans="1:12" ht="21.75" customHeight="1" x14ac:dyDescent="0.25">
      <c r="A24" s="27">
        <v>16</v>
      </c>
      <c r="B24" s="28" t="s">
        <v>173</v>
      </c>
      <c r="C24" s="30" t="s">
        <v>89</v>
      </c>
      <c r="D24" s="31"/>
      <c r="E24" s="30"/>
      <c r="F24" s="30"/>
      <c r="G24" s="45" t="s">
        <v>66</v>
      </c>
      <c r="H24" s="43">
        <v>1.8</v>
      </c>
      <c r="I24" s="23">
        <v>5</v>
      </c>
      <c r="J24" s="46">
        <f t="shared" si="2"/>
        <v>9</v>
      </c>
      <c r="K24" s="25">
        <f t="shared" si="3"/>
        <v>10.7</v>
      </c>
      <c r="L24" s="44">
        <f t="shared" si="4"/>
        <v>7.2</v>
      </c>
    </row>
    <row r="25" spans="1:12" ht="21.75" customHeight="1" x14ac:dyDescent="0.25">
      <c r="A25" s="17">
        <v>17</v>
      </c>
      <c r="B25" s="18" t="s">
        <v>174</v>
      </c>
      <c r="C25" s="20" t="s">
        <v>89</v>
      </c>
      <c r="D25" s="22"/>
      <c r="E25" s="20"/>
      <c r="F25" s="20"/>
      <c r="G25" s="37" t="s">
        <v>66</v>
      </c>
      <c r="H25" s="43">
        <v>1.5</v>
      </c>
      <c r="I25" s="23">
        <v>5</v>
      </c>
      <c r="J25" s="24">
        <f t="shared" si="2"/>
        <v>7.5</v>
      </c>
      <c r="K25" s="25">
        <f t="shared" si="3"/>
        <v>8.9</v>
      </c>
      <c r="L25" s="44">
        <f t="shared" si="4"/>
        <v>6</v>
      </c>
    </row>
    <row r="26" spans="1:12" ht="15.75" customHeight="1" x14ac:dyDescent="0.25">
      <c r="A26" s="60" t="s">
        <v>175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</sheetData>
  <mergeCells count="4">
    <mergeCell ref="A2:L2"/>
    <mergeCell ref="A4:L4"/>
    <mergeCell ref="A6:B6"/>
    <mergeCell ref="A26:L26"/>
  </mergeCells>
  <pageMargins left="0.75" right="0.75" top="1" bottom="1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A5C52"/>
  </sheetPr>
  <dimension ref="A2:J33"/>
  <sheetViews>
    <sheetView showGridLines="0" zoomScaleNormal="100" workbookViewId="0">
      <pane ySplit="4" topLeftCell="A5" activePane="bottomLeft" state="frozen"/>
      <selection pane="bottomLeft"/>
    </sheetView>
  </sheetViews>
  <sheetFormatPr baseColWidth="10" defaultColWidth="8.7109375" defaultRowHeight="15" x14ac:dyDescent="0.25"/>
  <cols>
    <col min="1" max="1" width="5" customWidth="1"/>
    <col min="2" max="2" width="26" customWidth="1"/>
    <col min="3" max="3" width="15" customWidth="1"/>
    <col min="4" max="4" width="14" customWidth="1"/>
    <col min="5" max="7" width="13" customWidth="1"/>
    <col min="8" max="9" width="14" customWidth="1"/>
    <col min="10" max="10" width="16" customWidth="1"/>
  </cols>
  <sheetData>
    <row r="2" spans="1:10" ht="39.75" customHeight="1" x14ac:dyDescent="0.25">
      <c r="A2" s="61" t="s">
        <v>176</v>
      </c>
      <c r="B2" s="61"/>
      <c r="C2" s="61"/>
      <c r="D2" s="61"/>
      <c r="E2" s="61"/>
      <c r="F2" s="61"/>
      <c r="G2" s="61"/>
      <c r="H2" s="61"/>
      <c r="I2" s="61"/>
      <c r="J2" s="61"/>
    </row>
    <row r="4" spans="1:10" ht="25.5" customHeight="1" x14ac:dyDescent="0.25">
      <c r="A4" s="47" t="s">
        <v>5</v>
      </c>
      <c r="B4" s="47" t="s">
        <v>177</v>
      </c>
      <c r="C4" s="47" t="s">
        <v>7</v>
      </c>
      <c r="D4" s="15" t="s">
        <v>178</v>
      </c>
      <c r="E4" s="15" t="s">
        <v>179</v>
      </c>
      <c r="F4" s="15" t="s">
        <v>180</v>
      </c>
      <c r="G4" s="15" t="s">
        <v>181</v>
      </c>
      <c r="H4" s="15" t="s">
        <v>182</v>
      </c>
      <c r="I4" s="15" t="s">
        <v>183</v>
      </c>
      <c r="J4" s="15" t="s">
        <v>184</v>
      </c>
    </row>
    <row r="5" spans="1:10" ht="19.5" customHeight="1" x14ac:dyDescent="0.25">
      <c r="A5" s="9" t="s">
        <v>185</v>
      </c>
      <c r="B5" s="9"/>
      <c r="C5" s="9"/>
      <c r="D5" s="9"/>
      <c r="E5" s="9"/>
      <c r="F5" s="9"/>
      <c r="G5" s="9"/>
      <c r="H5" s="9"/>
      <c r="I5" s="9"/>
      <c r="J5" s="9"/>
    </row>
    <row r="6" spans="1:10" ht="19.5" customHeight="1" x14ac:dyDescent="0.25">
      <c r="A6" s="17">
        <v>1</v>
      </c>
      <c r="B6" s="18" t="s">
        <v>186</v>
      </c>
      <c r="C6" s="20" t="s">
        <v>20</v>
      </c>
      <c r="D6" s="20" t="s">
        <v>187</v>
      </c>
      <c r="E6" s="20">
        <v>3</v>
      </c>
      <c r="F6" s="48">
        <v>2</v>
      </c>
      <c r="G6" s="17" t="str">
        <f>IFERROR(IF(F6&lt;E6,"JA ⚠","Nein"),"")</f>
        <v>JA ⚠</v>
      </c>
      <c r="H6" s="37">
        <f>IFERROR(IF(F6&lt;E6,MAX(0,E6*2-F6),0),0)</f>
        <v>4</v>
      </c>
      <c r="I6" s="22">
        <v>68</v>
      </c>
      <c r="J6" s="44">
        <f>IFERROR(H6*I6,0)</f>
        <v>272</v>
      </c>
    </row>
    <row r="7" spans="1:10" ht="19.5" customHeight="1" x14ac:dyDescent="0.25">
      <c r="A7" s="27">
        <v>2</v>
      </c>
      <c r="B7" s="28" t="s">
        <v>188</v>
      </c>
      <c r="C7" s="30" t="s">
        <v>20</v>
      </c>
      <c r="D7" s="30" t="s">
        <v>189</v>
      </c>
      <c r="E7" s="30">
        <v>4</v>
      </c>
      <c r="F7" s="48">
        <v>3</v>
      </c>
      <c r="G7" s="27" t="str">
        <f>IFERROR(IF(F7&lt;E7,"JA ⚠","Nein"),"")</f>
        <v>JA ⚠</v>
      </c>
      <c r="H7" s="45">
        <f>IFERROR(IF(F7&lt;E7,MAX(0,E7*2-F7),0),0)</f>
        <v>5</v>
      </c>
      <c r="I7" s="31">
        <v>24</v>
      </c>
      <c r="J7" s="44">
        <f>IFERROR(H7*I7,0)</f>
        <v>120</v>
      </c>
    </row>
    <row r="8" spans="1:10" ht="19.5" customHeight="1" x14ac:dyDescent="0.25">
      <c r="A8" s="17">
        <v>3</v>
      </c>
      <c r="B8" s="18" t="s">
        <v>190</v>
      </c>
      <c r="C8" s="20" t="s">
        <v>20</v>
      </c>
      <c r="D8" s="20" t="s">
        <v>187</v>
      </c>
      <c r="E8" s="20">
        <v>3</v>
      </c>
      <c r="F8" s="48">
        <v>1</v>
      </c>
      <c r="G8" s="17" t="str">
        <f>IFERROR(IF(F8&lt;E8,"JA ⚠","Nein"),"")</f>
        <v>JA ⚠</v>
      </c>
      <c r="H8" s="37">
        <f>IFERROR(IF(F8&lt;E8,MAX(0,E8*2-F8),0),0)</f>
        <v>5</v>
      </c>
      <c r="I8" s="22">
        <v>65</v>
      </c>
      <c r="J8" s="44">
        <f>IFERROR(H8*I8,0)</f>
        <v>325</v>
      </c>
    </row>
    <row r="9" spans="1:10" ht="19.5" customHeight="1" x14ac:dyDescent="0.25">
      <c r="A9" s="27">
        <v>4</v>
      </c>
      <c r="B9" s="28" t="s">
        <v>191</v>
      </c>
      <c r="C9" s="30" t="s">
        <v>20</v>
      </c>
      <c r="D9" s="30" t="s">
        <v>189</v>
      </c>
      <c r="E9" s="30">
        <v>2</v>
      </c>
      <c r="F9" s="48">
        <v>4</v>
      </c>
      <c r="G9" s="27" t="str">
        <f>IFERROR(IF(F9&lt;E9,"JA ⚠","Nein"),"")</f>
        <v>Nein</v>
      </c>
      <c r="H9" s="45">
        <f>IFERROR(IF(F9&lt;E9,MAX(0,E9*2-F9),0),0)</f>
        <v>0</v>
      </c>
      <c r="I9" s="31">
        <v>18.5</v>
      </c>
      <c r="J9" s="44">
        <f>IFERROR(H9*I9,0)</f>
        <v>0</v>
      </c>
    </row>
    <row r="10" spans="1:10" ht="19.5" customHeight="1" x14ac:dyDescent="0.25">
      <c r="A10" s="8" t="s">
        <v>192</v>
      </c>
      <c r="B10" s="8"/>
      <c r="C10" s="8"/>
      <c r="D10" s="8"/>
      <c r="E10" s="8"/>
      <c r="F10" s="8"/>
      <c r="G10" s="8"/>
      <c r="H10" s="8"/>
      <c r="I10" s="8"/>
      <c r="J10" s="8"/>
    </row>
    <row r="11" spans="1:10" ht="19.5" customHeight="1" x14ac:dyDescent="0.25">
      <c r="A11" s="17">
        <v>5</v>
      </c>
      <c r="B11" s="18" t="s">
        <v>193</v>
      </c>
      <c r="C11" s="20" t="s">
        <v>43</v>
      </c>
      <c r="D11" s="20" t="s">
        <v>194</v>
      </c>
      <c r="E11" s="20">
        <v>6</v>
      </c>
      <c r="F11" s="48">
        <v>5</v>
      </c>
      <c r="G11" s="17" t="str">
        <f>IFERROR(IF(F11&lt;E11,"JA ⚠","Nein"),"")</f>
        <v>JA ⚠</v>
      </c>
      <c r="H11" s="37">
        <f>IFERROR(IF(F11&lt;E11,MAX(0,E11*2-F11),0),0)</f>
        <v>7</v>
      </c>
      <c r="I11" s="22">
        <v>27</v>
      </c>
      <c r="J11" s="44">
        <f>IFERROR(H11*I11,0)</f>
        <v>189</v>
      </c>
    </row>
    <row r="12" spans="1:10" ht="19.5" customHeight="1" x14ac:dyDescent="0.25">
      <c r="A12" s="27">
        <v>6</v>
      </c>
      <c r="B12" s="28" t="s">
        <v>195</v>
      </c>
      <c r="C12" s="30" t="s">
        <v>43</v>
      </c>
      <c r="D12" s="30" t="s">
        <v>194</v>
      </c>
      <c r="E12" s="30">
        <v>4</v>
      </c>
      <c r="F12" s="48">
        <v>3</v>
      </c>
      <c r="G12" s="27" t="str">
        <f>IFERROR(IF(F12&lt;E12,"JA ⚠","Nein"),"")</f>
        <v>JA ⚠</v>
      </c>
      <c r="H12" s="45">
        <f>IFERROR(IF(F12&lt;E12,MAX(0,E12*2-F12),0),0)</f>
        <v>5</v>
      </c>
      <c r="I12" s="31">
        <v>31.2</v>
      </c>
      <c r="J12" s="44">
        <f>IFERROR(H12*I12,0)</f>
        <v>156</v>
      </c>
    </row>
    <row r="13" spans="1:10" ht="19.5" customHeight="1" x14ac:dyDescent="0.25">
      <c r="A13" s="17">
        <v>7</v>
      </c>
      <c r="B13" s="18" t="s">
        <v>196</v>
      </c>
      <c r="C13" s="20" t="s">
        <v>43</v>
      </c>
      <c r="D13" s="20" t="s">
        <v>194</v>
      </c>
      <c r="E13" s="20">
        <v>3</v>
      </c>
      <c r="F13" s="48">
        <v>2</v>
      </c>
      <c r="G13" s="17" t="str">
        <f>IFERROR(IF(F13&lt;E13,"JA ⚠","Nein"),"")</f>
        <v>JA ⚠</v>
      </c>
      <c r="H13" s="37">
        <f>IFERROR(IF(F13&lt;E13,MAX(0,E13*2-F13),0),0)</f>
        <v>4</v>
      </c>
      <c r="I13" s="22">
        <v>25.5</v>
      </c>
      <c r="J13" s="44">
        <f>IFERROR(H13*I13,0)</f>
        <v>102</v>
      </c>
    </row>
    <row r="14" spans="1:10" ht="19.5" customHeight="1" x14ac:dyDescent="0.25">
      <c r="A14" s="27">
        <v>8</v>
      </c>
      <c r="B14" s="28" t="s">
        <v>197</v>
      </c>
      <c r="C14" s="30" t="s">
        <v>43</v>
      </c>
      <c r="D14" s="30" t="s">
        <v>194</v>
      </c>
      <c r="E14" s="30">
        <v>4</v>
      </c>
      <c r="F14" s="48">
        <v>3</v>
      </c>
      <c r="G14" s="27" t="str">
        <f>IFERROR(IF(F14&lt;E14,"JA ⚠","Nein"),"")</f>
        <v>JA ⚠</v>
      </c>
      <c r="H14" s="45">
        <f>IFERROR(IF(F14&lt;E14,MAX(0,E14*2-F14),0),0)</f>
        <v>5</v>
      </c>
      <c r="I14" s="31">
        <v>33</v>
      </c>
      <c r="J14" s="44">
        <f>IFERROR(H14*I14,0)</f>
        <v>165</v>
      </c>
    </row>
    <row r="15" spans="1:10" ht="19.5" customHeight="1" x14ac:dyDescent="0.25">
      <c r="A15" s="7" t="s">
        <v>198</v>
      </c>
      <c r="B15" s="7"/>
      <c r="C15" s="7"/>
      <c r="D15" s="7"/>
      <c r="E15" s="7"/>
      <c r="F15" s="7"/>
      <c r="G15" s="7"/>
      <c r="H15" s="7"/>
      <c r="I15" s="7"/>
      <c r="J15" s="7"/>
    </row>
    <row r="16" spans="1:10" ht="19.5" customHeight="1" x14ac:dyDescent="0.25">
      <c r="A16" s="17">
        <v>9</v>
      </c>
      <c r="B16" s="18" t="s">
        <v>199</v>
      </c>
      <c r="C16" s="20" t="s">
        <v>63</v>
      </c>
      <c r="D16" s="20" t="s">
        <v>200</v>
      </c>
      <c r="E16" s="20">
        <v>3</v>
      </c>
      <c r="F16" s="48">
        <v>2</v>
      </c>
      <c r="G16" s="17" t="str">
        <f t="shared" ref="G16:G21" si="0">IFERROR(IF(F16&lt;E16,"JA ⚠","Nein"),"")</f>
        <v>JA ⚠</v>
      </c>
      <c r="H16" s="37">
        <f t="shared" ref="H16:H21" si="1">IFERROR(IF(F16&lt;E16,MAX(0,E16*2-F16),0),0)</f>
        <v>4</v>
      </c>
      <c r="I16" s="22">
        <v>9.9</v>
      </c>
      <c r="J16" s="44">
        <f t="shared" ref="J16:J21" si="2">IFERROR(H16*I16,0)</f>
        <v>39.6</v>
      </c>
    </row>
    <row r="17" spans="1:10" ht="19.5" customHeight="1" x14ac:dyDescent="0.25">
      <c r="A17" s="27">
        <v>10</v>
      </c>
      <c r="B17" s="28" t="s">
        <v>201</v>
      </c>
      <c r="C17" s="30" t="s">
        <v>63</v>
      </c>
      <c r="D17" s="30" t="s">
        <v>200</v>
      </c>
      <c r="E17" s="30">
        <v>2</v>
      </c>
      <c r="F17" s="48">
        <v>1</v>
      </c>
      <c r="G17" s="27" t="str">
        <f t="shared" si="0"/>
        <v>JA ⚠</v>
      </c>
      <c r="H17" s="45">
        <f t="shared" si="1"/>
        <v>3</v>
      </c>
      <c r="I17" s="31">
        <v>10.5</v>
      </c>
      <c r="J17" s="44">
        <f t="shared" si="2"/>
        <v>31.5</v>
      </c>
    </row>
    <row r="18" spans="1:10" ht="19.5" customHeight="1" x14ac:dyDescent="0.25">
      <c r="A18" s="17">
        <v>11</v>
      </c>
      <c r="B18" s="18" t="s">
        <v>202</v>
      </c>
      <c r="C18" s="20" t="s">
        <v>63</v>
      </c>
      <c r="D18" s="20" t="s">
        <v>200</v>
      </c>
      <c r="E18" s="20">
        <v>2</v>
      </c>
      <c r="F18" s="48">
        <v>2</v>
      </c>
      <c r="G18" s="17" t="str">
        <f t="shared" si="0"/>
        <v>Nein</v>
      </c>
      <c r="H18" s="37">
        <f t="shared" si="1"/>
        <v>0</v>
      </c>
      <c r="I18" s="22">
        <v>14.8</v>
      </c>
      <c r="J18" s="44">
        <f t="shared" si="2"/>
        <v>0</v>
      </c>
    </row>
    <row r="19" spans="1:10" ht="19.5" customHeight="1" x14ac:dyDescent="0.25">
      <c r="A19" s="27">
        <v>12</v>
      </c>
      <c r="B19" s="28" t="s">
        <v>203</v>
      </c>
      <c r="C19" s="30" t="s">
        <v>63</v>
      </c>
      <c r="D19" s="30" t="s">
        <v>200</v>
      </c>
      <c r="E19" s="30">
        <v>3</v>
      </c>
      <c r="F19" s="48">
        <v>3</v>
      </c>
      <c r="G19" s="27" t="str">
        <f t="shared" si="0"/>
        <v>Nein</v>
      </c>
      <c r="H19" s="45">
        <f t="shared" si="1"/>
        <v>0</v>
      </c>
      <c r="I19" s="31">
        <v>14.5</v>
      </c>
      <c r="J19" s="44">
        <f t="shared" si="2"/>
        <v>0</v>
      </c>
    </row>
    <row r="20" spans="1:10" ht="19.5" customHeight="1" x14ac:dyDescent="0.25">
      <c r="A20" s="17">
        <v>13</v>
      </c>
      <c r="B20" s="18" t="s">
        <v>204</v>
      </c>
      <c r="C20" s="20" t="s">
        <v>63</v>
      </c>
      <c r="D20" s="20" t="s">
        <v>200</v>
      </c>
      <c r="E20" s="20">
        <v>2</v>
      </c>
      <c r="F20" s="48">
        <v>1</v>
      </c>
      <c r="G20" s="17" t="str">
        <f t="shared" si="0"/>
        <v>JA ⚠</v>
      </c>
      <c r="H20" s="37">
        <f t="shared" si="1"/>
        <v>3</v>
      </c>
      <c r="I20" s="22">
        <v>11.9</v>
      </c>
      <c r="J20" s="44">
        <f t="shared" si="2"/>
        <v>35.700000000000003</v>
      </c>
    </row>
    <row r="21" spans="1:10" ht="19.5" customHeight="1" x14ac:dyDescent="0.25">
      <c r="A21" s="27">
        <v>14</v>
      </c>
      <c r="B21" s="28" t="s">
        <v>205</v>
      </c>
      <c r="C21" s="30" t="s">
        <v>63</v>
      </c>
      <c r="D21" s="30" t="s">
        <v>200</v>
      </c>
      <c r="E21" s="30">
        <v>3</v>
      </c>
      <c r="F21" s="48">
        <v>2</v>
      </c>
      <c r="G21" s="27" t="str">
        <f t="shared" si="0"/>
        <v>JA ⚠</v>
      </c>
      <c r="H21" s="45">
        <f t="shared" si="1"/>
        <v>4</v>
      </c>
      <c r="I21" s="31">
        <v>12</v>
      </c>
      <c r="J21" s="44">
        <f t="shared" si="2"/>
        <v>48</v>
      </c>
    </row>
    <row r="22" spans="1:10" ht="19.5" customHeight="1" x14ac:dyDescent="0.25">
      <c r="A22" s="5" t="s">
        <v>100</v>
      </c>
      <c r="B22" s="5"/>
      <c r="C22" s="5"/>
      <c r="D22" s="5"/>
      <c r="E22" s="5"/>
      <c r="F22" s="5"/>
      <c r="G22" s="5"/>
      <c r="H22" s="5"/>
      <c r="I22" s="5"/>
      <c r="J22" s="5"/>
    </row>
    <row r="23" spans="1:10" ht="19.5" customHeight="1" x14ac:dyDescent="0.25">
      <c r="A23" s="17">
        <v>15</v>
      </c>
      <c r="B23" s="18" t="s">
        <v>206</v>
      </c>
      <c r="C23" s="20" t="s">
        <v>102</v>
      </c>
      <c r="D23" s="20" t="s">
        <v>189</v>
      </c>
      <c r="E23" s="20">
        <v>4</v>
      </c>
      <c r="F23" s="48">
        <v>4</v>
      </c>
      <c r="G23" s="17" t="str">
        <f>IFERROR(IF(F23&lt;E23,"JA ⚠","Nein"),"")</f>
        <v>Nein</v>
      </c>
      <c r="H23" s="37">
        <f>IFERROR(IF(F23&lt;E23,MAX(0,E23*2-F23),0),0)</f>
        <v>0</v>
      </c>
      <c r="I23" s="22">
        <v>11.5</v>
      </c>
      <c r="J23" s="44">
        <f>IFERROR(H23*I23,0)</f>
        <v>0</v>
      </c>
    </row>
    <row r="24" spans="1:10" ht="19.5" customHeight="1" x14ac:dyDescent="0.25">
      <c r="A24" s="27">
        <v>16</v>
      </c>
      <c r="B24" s="28" t="s">
        <v>207</v>
      </c>
      <c r="C24" s="30" t="s">
        <v>102</v>
      </c>
      <c r="D24" s="30" t="s">
        <v>189</v>
      </c>
      <c r="E24" s="30">
        <v>3</v>
      </c>
      <c r="F24" s="48">
        <v>2</v>
      </c>
      <c r="G24" s="27" t="str">
        <f>IFERROR(IF(F24&lt;E24,"JA ⚠","Nein"),"")</f>
        <v>JA ⚠</v>
      </c>
      <c r="H24" s="45">
        <f>IFERROR(IF(F24&lt;E24,MAX(0,E24*2-F24),0),0)</f>
        <v>4</v>
      </c>
      <c r="I24" s="31">
        <v>10.8</v>
      </c>
      <c r="J24" s="44">
        <f>IFERROR(H24*I24,0)</f>
        <v>43.2</v>
      </c>
    </row>
    <row r="25" spans="1:10" ht="19.5" customHeight="1" x14ac:dyDescent="0.25">
      <c r="A25" s="17">
        <v>17</v>
      </c>
      <c r="B25" s="18" t="s">
        <v>208</v>
      </c>
      <c r="C25" s="20" t="s">
        <v>102</v>
      </c>
      <c r="D25" s="20" t="s">
        <v>209</v>
      </c>
      <c r="E25" s="20">
        <v>5</v>
      </c>
      <c r="F25" s="48">
        <v>5</v>
      </c>
      <c r="G25" s="17" t="str">
        <f>IFERROR(IF(F25&lt;E25,"JA ⚠","Nein"),"")</f>
        <v>Nein</v>
      </c>
      <c r="H25" s="37">
        <f>IFERROR(IF(F25&lt;E25,MAX(0,E25*2-F25),0),0)</f>
        <v>0</v>
      </c>
      <c r="I25" s="22">
        <v>1.8</v>
      </c>
      <c r="J25" s="44">
        <f>IFERROR(H25*I25,0)</f>
        <v>0</v>
      </c>
    </row>
    <row r="26" spans="1:10" ht="19.5" customHeight="1" x14ac:dyDescent="0.25">
      <c r="A26" s="27">
        <v>18</v>
      </c>
      <c r="B26" s="28" t="s">
        <v>210</v>
      </c>
      <c r="C26" s="30" t="s">
        <v>102</v>
      </c>
      <c r="D26" s="30" t="s">
        <v>189</v>
      </c>
      <c r="E26" s="30">
        <v>6</v>
      </c>
      <c r="F26" s="48">
        <v>4</v>
      </c>
      <c r="G26" s="27" t="str">
        <f>IFERROR(IF(F26&lt;E26,"JA ⚠","Nein"),"")</f>
        <v>JA ⚠</v>
      </c>
      <c r="H26" s="45">
        <f>IFERROR(IF(F26&lt;E26,MAX(0,E26*2-F26),0),0)</f>
        <v>8</v>
      </c>
      <c r="I26" s="31">
        <v>7.2</v>
      </c>
      <c r="J26" s="44">
        <f>IFERROR(H26*I26,0)</f>
        <v>57.6</v>
      </c>
    </row>
    <row r="27" spans="1:10" ht="19.5" customHeight="1" x14ac:dyDescent="0.25">
      <c r="A27" s="17">
        <v>19</v>
      </c>
      <c r="B27" s="18" t="s">
        <v>211</v>
      </c>
      <c r="C27" s="20" t="s">
        <v>102</v>
      </c>
      <c r="D27" s="20" t="s">
        <v>189</v>
      </c>
      <c r="E27" s="20">
        <v>3</v>
      </c>
      <c r="F27" s="48">
        <v>13</v>
      </c>
      <c r="G27" s="17" t="str">
        <f>IFERROR(IF(F27&lt;E27,"JA ⚠","Nein"),"")</f>
        <v>Nein</v>
      </c>
      <c r="H27" s="37">
        <f>IFERROR(IF(F27&lt;E27,MAX(0,E27*2-F27),0),0)</f>
        <v>0</v>
      </c>
      <c r="I27" s="22">
        <v>9.6</v>
      </c>
      <c r="J27" s="44">
        <f>IFERROR(H27*I27,0)</f>
        <v>0</v>
      </c>
    </row>
    <row r="28" spans="1:10" ht="19.5" customHeight="1" x14ac:dyDescent="0.25">
      <c r="A28" s="4" t="s">
        <v>116</v>
      </c>
      <c r="B28" s="4"/>
      <c r="C28" s="4"/>
      <c r="D28" s="4"/>
      <c r="E28" s="4"/>
      <c r="F28" s="4"/>
      <c r="G28" s="4"/>
      <c r="H28" s="4"/>
      <c r="I28" s="4"/>
      <c r="J28" s="4"/>
    </row>
    <row r="29" spans="1:10" ht="19.5" customHeight="1" x14ac:dyDescent="0.25">
      <c r="A29" s="27">
        <v>20</v>
      </c>
      <c r="B29" s="28" t="s">
        <v>212</v>
      </c>
      <c r="C29" s="30" t="s">
        <v>118</v>
      </c>
      <c r="D29" s="30" t="s">
        <v>213</v>
      </c>
      <c r="E29" s="30">
        <v>3</v>
      </c>
      <c r="F29" s="48">
        <v>2</v>
      </c>
      <c r="G29" s="27" t="str">
        <f>IFERROR(IF(F29&lt;E29,"JA ⚠","Nein"),"")</f>
        <v>JA ⚠</v>
      </c>
      <c r="H29" s="45">
        <f>IFERROR(IF(F29&lt;E29,MAX(0,E29*2-F29),0),0)</f>
        <v>4</v>
      </c>
      <c r="I29" s="31">
        <v>18.5</v>
      </c>
      <c r="J29" s="44">
        <f>IFERROR(H29*I29,0)</f>
        <v>74</v>
      </c>
    </row>
    <row r="30" spans="1:10" ht="19.5" customHeight="1" x14ac:dyDescent="0.25">
      <c r="A30" s="17">
        <v>21</v>
      </c>
      <c r="B30" s="18" t="s">
        <v>214</v>
      </c>
      <c r="C30" s="20" t="s">
        <v>118</v>
      </c>
      <c r="D30" s="20" t="s">
        <v>209</v>
      </c>
      <c r="E30" s="20">
        <v>10</v>
      </c>
      <c r="F30" s="48">
        <v>1</v>
      </c>
      <c r="G30" s="17" t="str">
        <f>IFERROR(IF(F30&lt;E30,"JA ⚠","Nein"),"")</f>
        <v>JA ⚠</v>
      </c>
      <c r="H30" s="37">
        <f>IFERROR(IF(F30&lt;E30,MAX(0,E30*2-F30),0),0)</f>
        <v>19</v>
      </c>
      <c r="I30" s="22">
        <v>1.1000000000000001</v>
      </c>
      <c r="J30" s="44">
        <f>IFERROR(H30*I30,0)</f>
        <v>20.900000000000002</v>
      </c>
    </row>
    <row r="31" spans="1:10" ht="19.5" customHeight="1" x14ac:dyDescent="0.25">
      <c r="A31" s="27">
        <v>22</v>
      </c>
      <c r="B31" s="28" t="s">
        <v>215</v>
      </c>
      <c r="C31" s="30" t="s">
        <v>118</v>
      </c>
      <c r="D31" s="30" t="s">
        <v>216</v>
      </c>
      <c r="E31" s="30">
        <v>4</v>
      </c>
      <c r="F31" s="48">
        <v>6</v>
      </c>
      <c r="G31" s="27" t="str">
        <f>IFERROR(IF(F31&lt;E31,"JA ⚠","Nein"),"")</f>
        <v>Nein</v>
      </c>
      <c r="H31" s="45">
        <f>IFERROR(IF(F31&lt;E31,MAX(0,E31*2-F31),0),0)</f>
        <v>0</v>
      </c>
      <c r="I31" s="31">
        <v>8.9</v>
      </c>
      <c r="J31" s="44">
        <f>IFERROR(H31*I31,0)</f>
        <v>0</v>
      </c>
    </row>
    <row r="32" spans="1:10" ht="19.5" customHeight="1" x14ac:dyDescent="0.25">
      <c r="A32" s="17">
        <v>23</v>
      </c>
      <c r="B32" s="18" t="s">
        <v>217</v>
      </c>
      <c r="C32" s="20" t="s">
        <v>118</v>
      </c>
      <c r="D32" s="20" t="s">
        <v>216</v>
      </c>
      <c r="E32" s="20">
        <v>3</v>
      </c>
      <c r="F32" s="48">
        <v>3</v>
      </c>
      <c r="G32" s="17" t="str">
        <f>IFERROR(IF(F32&lt;E32,"JA ⚠","Nein"),"")</f>
        <v>Nein</v>
      </c>
      <c r="H32" s="37">
        <f>IFERROR(IF(F32&lt;E32,MAX(0,E32*2-F32),0),0)</f>
        <v>0</v>
      </c>
      <c r="I32" s="22">
        <v>5.5</v>
      </c>
      <c r="J32" s="44">
        <f>IFERROR(H32*I32,0)</f>
        <v>0</v>
      </c>
    </row>
    <row r="33" spans="1:10" ht="21.75" customHeight="1" x14ac:dyDescent="0.25">
      <c r="A33" s="5" t="s">
        <v>218</v>
      </c>
      <c r="B33" s="5"/>
      <c r="C33" s="5"/>
      <c r="D33" s="5"/>
      <c r="E33" s="5"/>
      <c r="F33" s="5"/>
      <c r="G33" s="5"/>
      <c r="H33" s="5"/>
      <c r="I33" s="5"/>
      <c r="J33" s="49">
        <f>IFERROR(SUM(J5:J32),0)</f>
        <v>1679.5</v>
      </c>
    </row>
  </sheetData>
  <mergeCells count="7">
    <mergeCell ref="A28:J28"/>
    <mergeCell ref="A33:I33"/>
    <mergeCell ref="A2:J2"/>
    <mergeCell ref="A5:J5"/>
    <mergeCell ref="A10:J10"/>
    <mergeCell ref="A15:J15"/>
    <mergeCell ref="A22:J22"/>
  </mergeCells>
  <conditionalFormatting sqref="G5:G32">
    <cfRule type="containsText" dxfId="0" priority="2" operator="containsText" text="JA">
      <formula>NOT(ISERROR(SEARCH("JA",G5)))</formula>
    </cfRule>
  </conditionalFormatting>
  <pageMargins left="0.75" right="0.75" top="1" bottom="1" header="0.511811023622047" footer="0.511811023622047"/>
  <pageSetup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8B6914"/>
  </sheetPr>
  <dimension ref="A2:I34"/>
  <sheetViews>
    <sheetView showGridLines="0" zoomScaleNormal="100" workbookViewId="0">
      <pane ySplit="4" topLeftCell="A5" activePane="bottomLeft" state="frozen"/>
      <selection pane="bottomLeft"/>
    </sheetView>
  </sheetViews>
  <sheetFormatPr baseColWidth="10" defaultColWidth="8.7109375" defaultRowHeight="15" x14ac:dyDescent="0.25"/>
  <cols>
    <col min="1" max="1" width="5" customWidth="1"/>
    <col min="2" max="2" width="26" customWidth="1"/>
    <col min="3" max="3" width="14" customWidth="1"/>
    <col min="4" max="6" width="13" customWidth="1"/>
    <col min="7" max="8" width="14" customWidth="1"/>
    <col min="9" max="9" width="16" customWidth="1"/>
  </cols>
  <sheetData>
    <row r="2" spans="1:9" ht="39.75" customHeight="1" x14ac:dyDescent="0.25">
      <c r="A2" s="62" t="s">
        <v>219</v>
      </c>
      <c r="B2" s="62"/>
      <c r="C2" s="62"/>
      <c r="D2" s="62"/>
      <c r="E2" s="62"/>
      <c r="F2" s="62"/>
      <c r="G2" s="62"/>
      <c r="H2" s="62"/>
      <c r="I2" s="62"/>
    </row>
    <row r="4" spans="1:9" ht="25.5" customHeight="1" x14ac:dyDescent="0.25">
      <c r="A4" s="15" t="s">
        <v>5</v>
      </c>
      <c r="B4" s="15" t="s">
        <v>220</v>
      </c>
      <c r="C4" s="15" t="s">
        <v>7</v>
      </c>
      <c r="D4" s="15" t="s">
        <v>221</v>
      </c>
      <c r="E4" s="15" t="s">
        <v>222</v>
      </c>
      <c r="F4" s="15" t="s">
        <v>223</v>
      </c>
      <c r="G4" s="15" t="s">
        <v>224</v>
      </c>
      <c r="H4" s="15" t="s">
        <v>225</v>
      </c>
      <c r="I4" s="15" t="s">
        <v>226</v>
      </c>
    </row>
    <row r="5" spans="1:9" ht="19.5" customHeight="1" x14ac:dyDescent="0.25">
      <c r="A5" s="9" t="s">
        <v>185</v>
      </c>
      <c r="B5" s="9"/>
      <c r="C5" s="9"/>
      <c r="D5" s="9"/>
      <c r="E5" s="9"/>
      <c r="F5" s="9"/>
      <c r="G5" s="9"/>
      <c r="H5" s="9"/>
      <c r="I5" s="9"/>
    </row>
    <row r="6" spans="1:9" ht="19.5" customHeight="1" x14ac:dyDescent="0.25">
      <c r="A6" s="17">
        <v>1</v>
      </c>
      <c r="B6" s="18" t="s">
        <v>160</v>
      </c>
      <c r="C6" s="20" t="s">
        <v>20</v>
      </c>
      <c r="D6" s="50">
        <v>280</v>
      </c>
      <c r="E6" s="41">
        <v>1.68</v>
      </c>
      <c r="F6" s="51">
        <f>IFERROR(D6*E6,0)</f>
        <v>470.4</v>
      </c>
      <c r="G6" s="52">
        <f>IFERROR(D6*0.3696,0)</f>
        <v>103.488</v>
      </c>
      <c r="H6" s="44">
        <f>IFERROR(F6-G6,0)</f>
        <v>366.91199999999998</v>
      </c>
      <c r="I6" s="53">
        <f>IFERROR(H6/H34,0)</f>
        <v>3.7467577666451389E-2</v>
      </c>
    </row>
    <row r="7" spans="1:9" ht="19.5" customHeight="1" x14ac:dyDescent="0.25">
      <c r="A7" s="27">
        <v>2</v>
      </c>
      <c r="B7" s="28" t="s">
        <v>161</v>
      </c>
      <c r="C7" s="30" t="s">
        <v>20</v>
      </c>
      <c r="D7" s="50">
        <v>195</v>
      </c>
      <c r="E7" s="41">
        <v>2.56</v>
      </c>
      <c r="F7" s="54">
        <f>IFERROR(D7*E7,0)</f>
        <v>499.2</v>
      </c>
      <c r="G7" s="55">
        <f>IFERROR(D7*0.5632,0)</f>
        <v>109.82400000000001</v>
      </c>
      <c r="H7" s="44">
        <f>IFERROR(F7-G7,0)</f>
        <v>389.37599999999998</v>
      </c>
      <c r="I7" s="56">
        <f>IFERROR(H7/H34,0)</f>
        <v>3.9761510992968825E-2</v>
      </c>
    </row>
    <row r="8" spans="1:9" ht="19.5" customHeight="1" x14ac:dyDescent="0.25">
      <c r="A8" s="17">
        <v>3</v>
      </c>
      <c r="B8" s="18" t="s">
        <v>162</v>
      </c>
      <c r="C8" s="20" t="s">
        <v>20</v>
      </c>
      <c r="D8" s="50">
        <v>120</v>
      </c>
      <c r="E8" s="41">
        <v>2.88</v>
      </c>
      <c r="F8" s="51">
        <f>IFERROR(D8*E8,0)</f>
        <v>345.59999999999997</v>
      </c>
      <c r="G8" s="52">
        <f>IFERROR(D8*0.6336,0)</f>
        <v>76.032000000000011</v>
      </c>
      <c r="H8" s="44">
        <f>IFERROR(F8-G8,0)</f>
        <v>269.56799999999998</v>
      </c>
      <c r="I8" s="53">
        <f>IFERROR(H8/H34,0)</f>
        <v>2.7527199918209184E-2</v>
      </c>
    </row>
    <row r="9" spans="1:9" ht="19.5" customHeight="1" x14ac:dyDescent="0.25">
      <c r="A9" s="27">
        <v>4</v>
      </c>
      <c r="B9" s="28" t="s">
        <v>163</v>
      </c>
      <c r="C9" s="30" t="s">
        <v>20</v>
      </c>
      <c r="D9" s="50">
        <v>175</v>
      </c>
      <c r="E9" s="41">
        <v>1.65</v>
      </c>
      <c r="F9" s="54">
        <f>IFERROR(D9*E9,0)</f>
        <v>288.75</v>
      </c>
      <c r="G9" s="55">
        <f>IFERROR(D9*0.363,0)</f>
        <v>63.524999999999999</v>
      </c>
      <c r="H9" s="44">
        <f>IFERROR(F9-G9,0)</f>
        <v>225.22499999999999</v>
      </c>
      <c r="I9" s="56">
        <f>IFERROR(H9/H34,0)</f>
        <v>2.2999071112219046E-2</v>
      </c>
    </row>
    <row r="10" spans="1:9" ht="19.5" customHeight="1" x14ac:dyDescent="0.25">
      <c r="A10" s="17">
        <v>5</v>
      </c>
      <c r="B10" s="18" t="s">
        <v>227</v>
      </c>
      <c r="C10" s="20" t="s">
        <v>20</v>
      </c>
      <c r="D10" s="50">
        <v>140</v>
      </c>
      <c r="E10" s="41">
        <v>2.54</v>
      </c>
      <c r="F10" s="51">
        <f>IFERROR(D10*E10,0)</f>
        <v>355.6</v>
      </c>
      <c r="G10" s="52">
        <f>IFERROR(D10*0.5588,0)</f>
        <v>78.231999999999999</v>
      </c>
      <c r="H10" s="44">
        <f>IFERROR(F10-G10,0)</f>
        <v>277.36800000000005</v>
      </c>
      <c r="I10" s="53">
        <f>IFERROR(H10/H34,0)</f>
        <v>2.832370454547219E-2</v>
      </c>
    </row>
    <row r="11" spans="1:9" ht="19.5" customHeight="1" x14ac:dyDescent="0.25">
      <c r="A11" s="8" t="s">
        <v>192</v>
      </c>
      <c r="B11" s="8"/>
      <c r="C11" s="8"/>
      <c r="D11" s="8"/>
      <c r="E11" s="8"/>
      <c r="F11" s="8"/>
      <c r="G11" s="8"/>
      <c r="H11" s="8"/>
      <c r="I11" s="8"/>
    </row>
    <row r="12" spans="1:9" ht="19.5" customHeight="1" x14ac:dyDescent="0.25">
      <c r="A12" s="27">
        <v>6</v>
      </c>
      <c r="B12" s="28" t="s">
        <v>228</v>
      </c>
      <c r="C12" s="30" t="s">
        <v>43</v>
      </c>
      <c r="D12" s="50">
        <v>210</v>
      </c>
      <c r="E12" s="41">
        <v>4.8</v>
      </c>
      <c r="F12" s="54">
        <f>IFERROR(D12*E12,0)</f>
        <v>1008</v>
      </c>
      <c r="G12" s="55">
        <f>IFERROR(D12*1.2,0)</f>
        <v>252</v>
      </c>
      <c r="H12" s="44">
        <f>IFERROR(F12-G12,0)</f>
        <v>756</v>
      </c>
      <c r="I12" s="53">
        <f>IFERROR(H12/H34,0)</f>
        <v>7.7199679257798207E-2</v>
      </c>
    </row>
    <row r="13" spans="1:9" ht="19.5" customHeight="1" x14ac:dyDescent="0.25">
      <c r="A13" s="17">
        <v>7</v>
      </c>
      <c r="B13" s="18" t="s">
        <v>229</v>
      </c>
      <c r="C13" s="20" t="s">
        <v>43</v>
      </c>
      <c r="D13" s="50">
        <v>45</v>
      </c>
      <c r="E13" s="41">
        <v>18</v>
      </c>
      <c r="F13" s="51">
        <f>IFERROR(D13*E13,0)</f>
        <v>810</v>
      </c>
      <c r="G13" s="52">
        <f>IFERROR(D13*4.5,0)</f>
        <v>202.5</v>
      </c>
      <c r="H13" s="44">
        <f>IFERROR(F13-G13,0)</f>
        <v>607.5</v>
      </c>
      <c r="I13" s="56">
        <f>IFERROR(H13/H34,0)</f>
        <v>6.2035456546444982E-2</v>
      </c>
    </row>
    <row r="14" spans="1:9" ht="19.5" customHeight="1" x14ac:dyDescent="0.25">
      <c r="A14" s="27">
        <v>8</v>
      </c>
      <c r="B14" s="28" t="s">
        <v>230</v>
      </c>
      <c r="C14" s="30" t="s">
        <v>43</v>
      </c>
      <c r="D14" s="50">
        <v>185</v>
      </c>
      <c r="E14" s="41">
        <v>5.6</v>
      </c>
      <c r="F14" s="54">
        <f>IFERROR(D14*E14,0)</f>
        <v>1036</v>
      </c>
      <c r="G14" s="55">
        <f>IFERROR(D14*1.4,0)</f>
        <v>259</v>
      </c>
      <c r="H14" s="44">
        <f>IFERROR(F14-G14,0)</f>
        <v>777</v>
      </c>
      <c r="I14" s="53">
        <f>IFERROR(H14/H34,0)</f>
        <v>7.9344114792737036E-2</v>
      </c>
    </row>
    <row r="15" spans="1:9" ht="19.5" customHeight="1" x14ac:dyDescent="0.25">
      <c r="A15" s="17">
        <v>9</v>
      </c>
      <c r="B15" s="18" t="s">
        <v>231</v>
      </c>
      <c r="C15" s="20" t="s">
        <v>43</v>
      </c>
      <c r="D15" s="50">
        <v>95</v>
      </c>
      <c r="E15" s="41">
        <v>5.5</v>
      </c>
      <c r="F15" s="51">
        <f>IFERROR(D15*E15,0)</f>
        <v>522.5</v>
      </c>
      <c r="G15" s="52">
        <f>IFERROR(D15*1.375,0)</f>
        <v>130.625</v>
      </c>
      <c r="H15" s="44">
        <f>IFERROR(F15-G15,0)</f>
        <v>391.875</v>
      </c>
      <c r="I15" s="56">
        <f>IFERROR(H15/H34,0)</f>
        <v>4.0016698821626548E-2</v>
      </c>
    </row>
    <row r="16" spans="1:9" ht="19.5" customHeight="1" x14ac:dyDescent="0.25">
      <c r="A16" s="7" t="s">
        <v>61</v>
      </c>
      <c r="B16" s="7"/>
      <c r="C16" s="7"/>
      <c r="D16" s="7"/>
      <c r="E16" s="7"/>
      <c r="F16" s="7"/>
      <c r="G16" s="7"/>
      <c r="H16" s="7"/>
      <c r="I16" s="7"/>
    </row>
    <row r="17" spans="1:9" ht="19.5" customHeight="1" x14ac:dyDescent="0.25">
      <c r="A17" s="27">
        <v>10</v>
      </c>
      <c r="B17" s="28" t="s">
        <v>171</v>
      </c>
      <c r="C17" s="30" t="s">
        <v>63</v>
      </c>
      <c r="D17" s="50">
        <v>88</v>
      </c>
      <c r="E17" s="41">
        <v>4.2</v>
      </c>
      <c r="F17" s="54">
        <f>IFERROR(D17*E17,0)</f>
        <v>369.6</v>
      </c>
      <c r="G17" s="55">
        <f>IFERROR(D17*0.714,0)</f>
        <v>62.831999999999994</v>
      </c>
      <c r="H17" s="44">
        <f>IFERROR(F17-G17,0)</f>
        <v>306.76800000000003</v>
      </c>
      <c r="I17" s="56">
        <f>IFERROR(H17/H34,0)</f>
        <v>3.132591429438656E-2</v>
      </c>
    </row>
    <row r="18" spans="1:9" ht="19.5" customHeight="1" x14ac:dyDescent="0.25">
      <c r="A18" s="17">
        <v>11</v>
      </c>
      <c r="B18" s="18" t="s">
        <v>172</v>
      </c>
      <c r="C18" s="20" t="s">
        <v>63</v>
      </c>
      <c r="D18" s="50">
        <v>72</v>
      </c>
      <c r="E18" s="41">
        <v>5.25</v>
      </c>
      <c r="F18" s="51">
        <f>IFERROR(D18*E18,0)</f>
        <v>378</v>
      </c>
      <c r="G18" s="52">
        <f>IFERROR(D18*0.8925,0)</f>
        <v>64.259999999999991</v>
      </c>
      <c r="H18" s="44">
        <f>IFERROR(F18-G18,0)</f>
        <v>313.74</v>
      </c>
      <c r="I18" s="53">
        <f>IFERROR(H18/H34,0)</f>
        <v>3.2037866891986254E-2</v>
      </c>
    </row>
    <row r="19" spans="1:9" ht="19.5" customHeight="1" x14ac:dyDescent="0.25">
      <c r="A19" s="27">
        <v>12</v>
      </c>
      <c r="B19" s="28" t="s">
        <v>232</v>
      </c>
      <c r="C19" s="30" t="s">
        <v>63</v>
      </c>
      <c r="D19" s="50">
        <v>65</v>
      </c>
      <c r="E19" s="41">
        <v>7.8</v>
      </c>
      <c r="F19" s="54">
        <f>IFERROR(D19*E19,0)</f>
        <v>507</v>
      </c>
      <c r="G19" s="55">
        <f>IFERROR(D19*1.326,0)</f>
        <v>86.19</v>
      </c>
      <c r="H19" s="44">
        <f>IFERROR(F19-G19,0)</f>
        <v>420.81</v>
      </c>
      <c r="I19" s="56">
        <f>IFERROR(H19/H34,0)</f>
        <v>4.2971424640838703E-2</v>
      </c>
    </row>
    <row r="20" spans="1:9" ht="19.5" customHeight="1" x14ac:dyDescent="0.25">
      <c r="A20" s="17">
        <v>13</v>
      </c>
      <c r="B20" s="18" t="s">
        <v>233</v>
      </c>
      <c r="C20" s="20" t="s">
        <v>63</v>
      </c>
      <c r="D20" s="50">
        <v>58</v>
      </c>
      <c r="E20" s="41">
        <v>6.72</v>
      </c>
      <c r="F20" s="51">
        <f>IFERROR(D20*E20,0)</f>
        <v>389.76</v>
      </c>
      <c r="G20" s="52">
        <f>IFERROR(D20*1.1424,0)</f>
        <v>66.259200000000007</v>
      </c>
      <c r="H20" s="44">
        <f>IFERROR(F20-G20,0)</f>
        <v>323.50079999999997</v>
      </c>
      <c r="I20" s="53">
        <f>IFERROR(H20/H34,0)</f>
        <v>3.3034600528625821E-2</v>
      </c>
    </row>
    <row r="21" spans="1:9" ht="19.5" customHeight="1" x14ac:dyDescent="0.25">
      <c r="A21" s="6" t="s">
        <v>234</v>
      </c>
      <c r="B21" s="6"/>
      <c r="C21" s="6"/>
      <c r="D21" s="6"/>
      <c r="E21" s="6"/>
      <c r="F21" s="6"/>
      <c r="G21" s="6"/>
      <c r="H21" s="6"/>
      <c r="I21" s="6"/>
    </row>
    <row r="22" spans="1:9" ht="19.5" customHeight="1" x14ac:dyDescent="0.25">
      <c r="A22" s="27">
        <v>14</v>
      </c>
      <c r="B22" s="28" t="s">
        <v>235</v>
      </c>
      <c r="C22" s="30" t="s">
        <v>89</v>
      </c>
      <c r="D22" s="50">
        <v>92</v>
      </c>
      <c r="E22" s="41">
        <v>9.4499999999999993</v>
      </c>
      <c r="F22" s="54">
        <f>IFERROR(D22*E22,0)</f>
        <v>869.4</v>
      </c>
      <c r="G22" s="55">
        <f>IFERROR(D22*1.89,0)</f>
        <v>173.88</v>
      </c>
      <c r="H22" s="44">
        <f>IFERROR(F22-G22,0)</f>
        <v>695.52</v>
      </c>
      <c r="I22" s="53">
        <f>IFERROR(H22/H34,0)</f>
        <v>7.1023704917174343E-2</v>
      </c>
    </row>
    <row r="23" spans="1:9" ht="19.5" customHeight="1" x14ac:dyDescent="0.25">
      <c r="A23" s="17">
        <v>15</v>
      </c>
      <c r="B23" s="18" t="s">
        <v>91</v>
      </c>
      <c r="C23" s="20" t="s">
        <v>89</v>
      </c>
      <c r="D23" s="50">
        <v>118</v>
      </c>
      <c r="E23" s="41">
        <v>7.8</v>
      </c>
      <c r="F23" s="51">
        <f>IFERROR(D23*E23,0)</f>
        <v>920.4</v>
      </c>
      <c r="G23" s="52">
        <f>IFERROR(D23*1.56,0)</f>
        <v>184.08</v>
      </c>
      <c r="H23" s="44">
        <f>IFERROR(F23-G23,0)</f>
        <v>736.31999999999994</v>
      </c>
      <c r="I23" s="56">
        <f>IFERROR(H23/H34,0)</f>
        <v>7.5190036813626945E-2</v>
      </c>
    </row>
    <row r="24" spans="1:9" ht="19.5" customHeight="1" x14ac:dyDescent="0.25">
      <c r="A24" s="27">
        <v>16</v>
      </c>
      <c r="B24" s="28" t="s">
        <v>96</v>
      </c>
      <c r="C24" s="30" t="s">
        <v>89</v>
      </c>
      <c r="D24" s="50">
        <v>75</v>
      </c>
      <c r="E24" s="41">
        <v>9.8000000000000007</v>
      </c>
      <c r="F24" s="54">
        <f>IFERROR(D24*E24,0)</f>
        <v>735</v>
      </c>
      <c r="G24" s="55">
        <f>IFERROR(D24*1.96,0)</f>
        <v>147</v>
      </c>
      <c r="H24" s="44">
        <f>IFERROR(F24-G24,0)</f>
        <v>588</v>
      </c>
      <c r="I24" s="53">
        <f>IFERROR(H24/H34,0)</f>
        <v>6.0044194978287488E-2</v>
      </c>
    </row>
    <row r="25" spans="1:9" ht="19.5" customHeight="1" x14ac:dyDescent="0.25">
      <c r="A25" s="5" t="s">
        <v>100</v>
      </c>
      <c r="B25" s="5"/>
      <c r="C25" s="5"/>
      <c r="D25" s="5"/>
      <c r="E25" s="5"/>
      <c r="F25" s="5"/>
      <c r="G25" s="5"/>
      <c r="H25" s="5"/>
      <c r="I25" s="5"/>
    </row>
    <row r="26" spans="1:9" ht="19.5" customHeight="1" x14ac:dyDescent="0.25">
      <c r="A26" s="17">
        <v>17</v>
      </c>
      <c r="B26" s="18" t="s">
        <v>168</v>
      </c>
      <c r="C26" s="20" t="s">
        <v>102</v>
      </c>
      <c r="D26" s="50">
        <v>320</v>
      </c>
      <c r="E26" s="41">
        <v>1.65</v>
      </c>
      <c r="F26" s="51">
        <f>IFERROR(D26*E26,0)</f>
        <v>528</v>
      </c>
      <c r="G26" s="52">
        <f>IFERROR(D26*0.33,0)</f>
        <v>105.60000000000001</v>
      </c>
      <c r="H26" s="44">
        <f>IFERROR(F26-G26,0)</f>
        <v>422.4</v>
      </c>
      <c r="I26" s="53">
        <f>IFERROR(H26/H34,0)</f>
        <v>4.3133789045626932E-2</v>
      </c>
    </row>
    <row r="27" spans="1:9" ht="19.5" customHeight="1" x14ac:dyDescent="0.25">
      <c r="A27" s="27">
        <v>18</v>
      </c>
      <c r="B27" s="28" t="s">
        <v>169</v>
      </c>
      <c r="C27" s="30" t="s">
        <v>102</v>
      </c>
      <c r="D27" s="50">
        <v>145</v>
      </c>
      <c r="E27" s="41">
        <v>2.98</v>
      </c>
      <c r="F27" s="54">
        <f>IFERROR(D27*E27,0)</f>
        <v>432.1</v>
      </c>
      <c r="G27" s="55">
        <f>IFERROR(D27*0.596,0)</f>
        <v>86.42</v>
      </c>
      <c r="H27" s="44">
        <f>IFERROR(F27-G27,0)</f>
        <v>345.68</v>
      </c>
      <c r="I27" s="56">
        <f>IFERROR(H27/H34,0)</f>
        <v>3.529945122465037E-2</v>
      </c>
    </row>
    <row r="28" spans="1:9" ht="19.5" customHeight="1" x14ac:dyDescent="0.25">
      <c r="A28" s="17">
        <v>19</v>
      </c>
      <c r="B28" s="18" t="s">
        <v>170</v>
      </c>
      <c r="C28" s="20" t="s">
        <v>102</v>
      </c>
      <c r="D28" s="50">
        <v>290</v>
      </c>
      <c r="E28" s="41">
        <v>1.26</v>
      </c>
      <c r="F28" s="51">
        <f>IFERROR(D28*E28,0)</f>
        <v>365.4</v>
      </c>
      <c r="G28" s="52">
        <f>IFERROR(D28*0.252,0)</f>
        <v>73.08</v>
      </c>
      <c r="H28" s="44">
        <f>IFERROR(F28-G28,0)</f>
        <v>292.32</v>
      </c>
      <c r="I28" s="53">
        <f>IFERROR(H28/H34,0)</f>
        <v>2.9850542646348635E-2</v>
      </c>
    </row>
    <row r="29" spans="1:9" ht="19.5" customHeight="1" x14ac:dyDescent="0.25">
      <c r="A29" s="4" t="s">
        <v>116</v>
      </c>
      <c r="B29" s="4"/>
      <c r="C29" s="4"/>
      <c r="D29" s="4"/>
      <c r="E29" s="4"/>
      <c r="F29" s="4"/>
      <c r="G29" s="4"/>
      <c r="H29" s="4"/>
      <c r="I29" s="4"/>
    </row>
    <row r="30" spans="1:9" ht="19.5" customHeight="1" x14ac:dyDescent="0.25">
      <c r="A30" s="27">
        <v>20</v>
      </c>
      <c r="B30" s="28" t="s">
        <v>117</v>
      </c>
      <c r="C30" s="30" t="s">
        <v>118</v>
      </c>
      <c r="D30" s="50">
        <v>240</v>
      </c>
      <c r="E30" s="41">
        <v>1.43</v>
      </c>
      <c r="F30" s="54">
        <f>IFERROR(D30*E30,0)</f>
        <v>343.2</v>
      </c>
      <c r="G30" s="55">
        <f>IFERROR(D30*0.2002,0)</f>
        <v>48.047999999999995</v>
      </c>
      <c r="H30" s="44">
        <f>IFERROR(F30-G30,0)</f>
        <v>295.15199999999999</v>
      </c>
      <c r="I30" s="53">
        <f>IFERROR(H30/H34,0)</f>
        <v>3.0139735095631816E-2</v>
      </c>
    </row>
    <row r="31" spans="1:9" ht="19.5" customHeight="1" x14ac:dyDescent="0.25">
      <c r="A31" s="17">
        <v>21</v>
      </c>
      <c r="B31" s="18" t="s">
        <v>120</v>
      </c>
      <c r="C31" s="20" t="s">
        <v>118</v>
      </c>
      <c r="D31" s="50">
        <v>185</v>
      </c>
      <c r="E31" s="41">
        <v>2.5</v>
      </c>
      <c r="F31" s="51">
        <f>IFERROR(D31*E31,0)</f>
        <v>462.5</v>
      </c>
      <c r="G31" s="52">
        <f>IFERROR(D31*0.35,0)</f>
        <v>64.75</v>
      </c>
      <c r="H31" s="44">
        <f>IFERROR(F31-G31,0)</f>
        <v>397.75</v>
      </c>
      <c r="I31" s="56">
        <f>IFERROR(H31/H34,0)</f>
        <v>4.0616630191520148E-2</v>
      </c>
    </row>
    <row r="32" spans="1:9" ht="19.5" customHeight="1" x14ac:dyDescent="0.25">
      <c r="A32" s="27">
        <v>22</v>
      </c>
      <c r="B32" s="28" t="s">
        <v>123</v>
      </c>
      <c r="C32" s="30" t="s">
        <v>118</v>
      </c>
      <c r="D32" s="50">
        <v>155</v>
      </c>
      <c r="E32" s="41">
        <v>2.9</v>
      </c>
      <c r="F32" s="54">
        <f>IFERROR(D32*E32,0)</f>
        <v>449.5</v>
      </c>
      <c r="G32" s="55">
        <f>IFERROR(D32*0.406,0)</f>
        <v>62.930000000000007</v>
      </c>
      <c r="H32" s="44">
        <f>IFERROR(F32-G32,0)</f>
        <v>386.57</v>
      </c>
      <c r="I32" s="53">
        <f>IFERROR(H32/H34,0)</f>
        <v>3.9474973559109852E-2</v>
      </c>
    </row>
    <row r="33" spans="1:9" ht="19.5" customHeight="1" x14ac:dyDescent="0.25">
      <c r="A33" s="17">
        <v>23</v>
      </c>
      <c r="B33" s="18" t="s">
        <v>125</v>
      </c>
      <c r="C33" s="20" t="s">
        <v>118</v>
      </c>
      <c r="D33" s="50">
        <v>180</v>
      </c>
      <c r="E33" s="41">
        <v>1.34</v>
      </c>
      <c r="F33" s="51">
        <f>IFERROR(D33*E33,0)</f>
        <v>241.20000000000002</v>
      </c>
      <c r="G33" s="52">
        <f>IFERROR(D33*0.1876,0)</f>
        <v>33.768000000000001</v>
      </c>
      <c r="H33" s="44">
        <f>IFERROR(F33-G33,0)</f>
        <v>207.43200000000002</v>
      </c>
      <c r="I33" s="56">
        <f>IFERROR(H33/H34,0)</f>
        <v>2.1182121518258726E-2</v>
      </c>
    </row>
    <row r="34" spans="1:9" ht="24" customHeight="1" x14ac:dyDescent="0.25">
      <c r="A34" s="63" t="s">
        <v>236</v>
      </c>
      <c r="B34" s="63"/>
      <c r="C34" s="63"/>
      <c r="D34" s="63"/>
      <c r="E34" s="63"/>
      <c r="F34" s="57">
        <f>IFERROR(SUM(F5:F33),0)</f>
        <v>12327.11</v>
      </c>
      <c r="G34" s="57">
        <f>IFERROR(SUM(G5:G33),0)</f>
        <v>2534.3231999999994</v>
      </c>
      <c r="H34" s="57">
        <f>IFERROR(SUM(H5:H33),0)</f>
        <v>9792.7867999999999</v>
      </c>
      <c r="I34" s="58" t="s">
        <v>237</v>
      </c>
    </row>
  </sheetData>
  <mergeCells count="8">
    <mergeCell ref="A25:I25"/>
    <mergeCell ref="A29:I29"/>
    <mergeCell ref="A34:E34"/>
    <mergeCell ref="A2:I2"/>
    <mergeCell ref="A5:I5"/>
    <mergeCell ref="A11:I11"/>
    <mergeCell ref="A16:I16"/>
    <mergeCell ref="A21:I21"/>
  </mergeCells>
  <pageMargins left="0.75" right="0.75" top="1" bottom="1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Getränkekarte</vt:lpstr>
      <vt:lpstr>Kalkulation &amp; DB</vt:lpstr>
      <vt:lpstr>Bestand &amp; Einkauf</vt:lpstr>
      <vt:lpstr>Umsatzauswertung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2026-06-02T11:12:05Z</dcterms:created>
  <dcterms:modified xsi:type="dcterms:W3CDTF">2026-06-02T13:34:39Z</dcterms:modified>
  <dc:language>en-US</dc:language>
</cp:coreProperties>
</file>