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ergi\Documents\SEO\SEO\AA_Webs\Excel Aleman\Generador\"/>
    </mc:Choice>
  </mc:AlternateContent>
  <xr:revisionPtr revIDLastSave="0" documentId="13_ncr:1_{D342DA2B-8480-47A6-97E1-A06978031E26}" xr6:coauthVersionLast="47" xr6:coauthVersionMax="47" xr10:uidLastSave="{00000000-0000-0000-0000-000000000000}"/>
  <bookViews>
    <workbookView xWindow="-120" yWindow="-120" windowWidth="29040" windowHeight="15720" xr2:uid="{00000000-000D-0000-FFFF-FFFF00000000}"/>
  </bookViews>
  <sheets>
    <sheet name="Abrechnung" sheetId="3" r:id="rId1"/>
    <sheet name="Stammdaten" sheetId="1" r:id="rId2"/>
    <sheet name="Jahresuebersicht" sheetId="2" r:id="rId3"/>
    <sheet name="Auswertung"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4" l="1"/>
  <c r="A21" i="4"/>
  <c r="A20" i="4"/>
  <c r="A19" i="4"/>
  <c r="A18" i="4"/>
  <c r="A17" i="4"/>
  <c r="A16" i="4"/>
  <c r="A15" i="4"/>
  <c r="A14" i="4"/>
  <c r="A13" i="4"/>
  <c r="A12" i="4"/>
  <c r="A11" i="4"/>
  <c r="B6" i="4"/>
  <c r="B17" i="3"/>
  <c r="B15" i="3"/>
  <c r="F14" i="3"/>
  <c r="E11" i="3"/>
  <c r="E10" i="3"/>
  <c r="B10" i="3"/>
  <c r="B9" i="3"/>
  <c r="E8" i="3"/>
  <c r="B8" i="3"/>
  <c r="E7" i="3"/>
  <c r="B7" i="3"/>
  <c r="E6" i="3"/>
  <c r="B6" i="3"/>
  <c r="E3" i="3"/>
  <c r="B3" i="3"/>
  <c r="K18" i="2"/>
  <c r="G18" i="2"/>
  <c r="D18" i="2"/>
  <c r="F16" i="2"/>
  <c r="H16" i="2" s="1"/>
  <c r="F15" i="2"/>
  <c r="H15" i="2" s="1"/>
  <c r="F14" i="2"/>
  <c r="H14" i="2" s="1"/>
  <c r="F13" i="2"/>
  <c r="H13" i="2" s="1"/>
  <c r="F12" i="2"/>
  <c r="H12" i="2" s="1"/>
  <c r="F11" i="2"/>
  <c r="H11" i="2" s="1"/>
  <c r="F10" i="2"/>
  <c r="H10" i="2" s="1"/>
  <c r="F9" i="2"/>
  <c r="H9" i="2" s="1"/>
  <c r="F8" i="2"/>
  <c r="H8" i="2" s="1"/>
  <c r="F7" i="2"/>
  <c r="H7" i="2" s="1"/>
  <c r="F6" i="2"/>
  <c r="H6" i="2" s="1"/>
  <c r="F5" i="2"/>
  <c r="H5" i="2" s="1"/>
  <c r="B36" i="1"/>
  <c r="B35" i="1"/>
  <c r="B34" i="1"/>
  <c r="B33" i="1"/>
  <c r="B32" i="1"/>
  <c r="B31" i="1"/>
  <c r="B30" i="1"/>
  <c r="B29" i="1"/>
  <c r="B28" i="1"/>
  <c r="B27" i="1"/>
  <c r="B39" i="1" s="1"/>
  <c r="B26" i="1"/>
  <c r="F22" i="4" s="1"/>
  <c r="B25" i="1"/>
  <c r="W13" i="2" s="1"/>
  <c r="V13" i="2" l="1"/>
  <c r="B19" i="4"/>
  <c r="T13" i="2"/>
  <c r="U13" i="2" s="1"/>
  <c r="D19" i="4" s="1"/>
  <c r="R13" i="2"/>
  <c r="Q13" i="2"/>
  <c r="P13" i="2"/>
  <c r="X13" i="2"/>
  <c r="E19" i="4" s="1"/>
  <c r="F19" i="4"/>
  <c r="O13" i="2"/>
  <c r="J13" i="2"/>
  <c r="L13" i="2" s="1"/>
  <c r="C19" i="4" s="1"/>
  <c r="N13" i="2"/>
  <c r="M13" i="2"/>
  <c r="N14" i="2"/>
  <c r="V14" i="2"/>
  <c r="X14" i="2" s="1"/>
  <c r="E20" i="4" s="1"/>
  <c r="T14" i="2"/>
  <c r="U14" i="2" s="1"/>
  <c r="D20" i="4" s="1"/>
  <c r="M14" i="2"/>
  <c r="B20" i="4"/>
  <c r="J14" i="2"/>
  <c r="P14" i="2"/>
  <c r="O14" i="2"/>
  <c r="R14" i="2"/>
  <c r="Q14" i="2"/>
  <c r="J15" i="2"/>
  <c r="R15" i="2"/>
  <c r="Q15" i="2"/>
  <c r="M15" i="2"/>
  <c r="P15" i="2"/>
  <c r="O15" i="2"/>
  <c r="N15" i="2"/>
  <c r="L15" i="2"/>
  <c r="C21" i="4" s="1"/>
  <c r="B21" i="4"/>
  <c r="T15" i="2"/>
  <c r="V15" i="2"/>
  <c r="X15" i="2" s="1"/>
  <c r="E21" i="4" s="1"/>
  <c r="U15" i="2"/>
  <c r="D21" i="4" s="1"/>
  <c r="O16" i="2"/>
  <c r="N16" i="2"/>
  <c r="M16" i="2"/>
  <c r="Q16" i="2"/>
  <c r="B22" i="4"/>
  <c r="J16" i="2"/>
  <c r="L16" i="2" s="1"/>
  <c r="C22" i="4" s="1"/>
  <c r="V16" i="2"/>
  <c r="T16" i="2"/>
  <c r="U16" i="2" s="1"/>
  <c r="D22" i="4" s="1"/>
  <c r="P16" i="2"/>
  <c r="R16" i="2"/>
  <c r="X16" i="2"/>
  <c r="E22" i="4" s="1"/>
  <c r="E32" i="3"/>
  <c r="N9" i="2"/>
  <c r="U9" i="2" s="1"/>
  <c r="D15" i="4" s="1"/>
  <c r="M9" i="2"/>
  <c r="V9" i="2"/>
  <c r="X9" i="2" s="1"/>
  <c r="E15" i="4" s="1"/>
  <c r="B15" i="4"/>
  <c r="T9" i="2"/>
  <c r="J9" i="2"/>
  <c r="L9" i="2" s="1"/>
  <c r="C15" i="4" s="1"/>
  <c r="Q9" i="2"/>
  <c r="P9" i="2"/>
  <c r="O9" i="2"/>
  <c r="R9" i="2"/>
  <c r="J5" i="2"/>
  <c r="H18" i="2"/>
  <c r="R5" i="2"/>
  <c r="Q5" i="2"/>
  <c r="X5" i="2"/>
  <c r="P5" i="2"/>
  <c r="O5" i="2"/>
  <c r="B4" i="4"/>
  <c r="N5" i="2"/>
  <c r="L5" i="2"/>
  <c r="B11" i="4"/>
  <c r="T5" i="2"/>
  <c r="T18" i="2" s="1"/>
  <c r="M5" i="2"/>
  <c r="M18" i="2" s="1"/>
  <c r="V5" i="2"/>
  <c r="O6" i="2"/>
  <c r="N6" i="2"/>
  <c r="M6" i="2"/>
  <c r="V6" i="2"/>
  <c r="Q6" i="2"/>
  <c r="B12" i="4"/>
  <c r="J6" i="2"/>
  <c r="T6" i="2"/>
  <c r="U6" i="2" s="1"/>
  <c r="D12" i="4" s="1"/>
  <c r="P6" i="2"/>
  <c r="R6" i="2"/>
  <c r="X6" i="2"/>
  <c r="E12" i="4" s="1"/>
  <c r="V8" i="2"/>
  <c r="X8" i="2" s="1"/>
  <c r="E14" i="4" s="1"/>
  <c r="T8" i="2"/>
  <c r="R8" i="2"/>
  <c r="Q8" i="2"/>
  <c r="U8" i="2" s="1"/>
  <c r="D14" i="4" s="1"/>
  <c r="P8" i="2"/>
  <c r="O8" i="2"/>
  <c r="M8" i="2"/>
  <c r="B14" i="4"/>
  <c r="J8" i="2"/>
  <c r="N8" i="2"/>
  <c r="B16" i="4"/>
  <c r="J10" i="2"/>
  <c r="R10" i="2"/>
  <c r="Q10" i="2"/>
  <c r="M10" i="2"/>
  <c r="X10" i="2"/>
  <c r="E16" i="4" s="1"/>
  <c r="O10" i="2"/>
  <c r="L10" i="2"/>
  <c r="C16" i="4" s="1"/>
  <c r="N10" i="2"/>
  <c r="T10" i="2"/>
  <c r="U10" i="2" s="1"/>
  <c r="D16" i="4" s="1"/>
  <c r="P10" i="2"/>
  <c r="V10" i="2"/>
  <c r="O11" i="2"/>
  <c r="N11" i="2"/>
  <c r="M11" i="2"/>
  <c r="V11" i="2"/>
  <c r="Q11" i="2"/>
  <c r="J11" i="2"/>
  <c r="L11" i="2" s="1"/>
  <c r="C17" i="4" s="1"/>
  <c r="B17" i="4"/>
  <c r="T11" i="2"/>
  <c r="U11" i="2" s="1"/>
  <c r="D17" i="4" s="1"/>
  <c r="R11" i="2"/>
  <c r="P11" i="2"/>
  <c r="R12" i="2"/>
  <c r="Q12" i="2"/>
  <c r="P12" i="2"/>
  <c r="O12" i="2"/>
  <c r="N12" i="2"/>
  <c r="U12" i="2" s="1"/>
  <c r="D18" i="4" s="1"/>
  <c r="M12" i="2"/>
  <c r="T12" i="2"/>
  <c r="V12" i="2"/>
  <c r="B18" i="4"/>
  <c r="J12" i="2"/>
  <c r="X12" i="2"/>
  <c r="E18" i="4" s="1"/>
  <c r="R7" i="2"/>
  <c r="Q7" i="2"/>
  <c r="P7" i="2"/>
  <c r="O7" i="2"/>
  <c r="N7" i="2"/>
  <c r="M7" i="2"/>
  <c r="B30" i="3" s="1"/>
  <c r="V7" i="2"/>
  <c r="D15" i="3" s="1"/>
  <c r="B13" i="4"/>
  <c r="T7" i="2"/>
  <c r="B33" i="3" s="1"/>
  <c r="J7" i="2"/>
  <c r="S7" i="2" s="1"/>
  <c r="X7" i="2"/>
  <c r="F17" i="4"/>
  <c r="F18" i="2"/>
  <c r="D23" i="3"/>
  <c r="F16" i="4"/>
  <c r="W6" i="2"/>
  <c r="W16" i="2"/>
  <c r="C21" i="3"/>
  <c r="F20" i="4"/>
  <c r="D21" i="3"/>
  <c r="D22" i="3"/>
  <c r="W5" i="2"/>
  <c r="W10" i="2"/>
  <c r="W15" i="2"/>
  <c r="F14" i="4"/>
  <c r="W7" i="2"/>
  <c r="F15" i="3" s="1"/>
  <c r="W12" i="2"/>
  <c r="F13" i="4"/>
  <c r="W11" i="2"/>
  <c r="X11" i="2" s="1"/>
  <c r="E17" i="4" s="1"/>
  <c r="F11" i="4"/>
  <c r="F21" i="4"/>
  <c r="B37" i="1"/>
  <c r="B38" i="1"/>
  <c r="W9" i="2"/>
  <c r="W14" i="2"/>
  <c r="E30" i="3"/>
  <c r="F18" i="4"/>
  <c r="B21" i="3"/>
  <c r="D25" i="3"/>
  <c r="B31" i="3"/>
  <c r="E31" i="3"/>
  <c r="F15" i="4"/>
  <c r="B14" i="3"/>
  <c r="B32" i="3"/>
  <c r="W8" i="2"/>
  <c r="D14" i="3"/>
  <c r="F12" i="4"/>
  <c r="N18" i="2" l="1"/>
  <c r="S6" i="2"/>
  <c r="E11" i="4"/>
  <c r="X18" i="2"/>
  <c r="D6" i="4"/>
  <c r="U7" i="2"/>
  <c r="S10" i="2"/>
  <c r="S15" i="2"/>
  <c r="L6" i="2"/>
  <c r="C12" i="4" s="1"/>
  <c r="O18" i="2"/>
  <c r="P18" i="2"/>
  <c r="S13" i="2"/>
  <c r="S8" i="2"/>
  <c r="D24" i="3"/>
  <c r="Q18" i="2"/>
  <c r="J18" i="2"/>
  <c r="S5" i="2"/>
  <c r="L8" i="2"/>
  <c r="C14" i="4" s="1"/>
  <c r="L18" i="2"/>
  <c r="D4" i="4"/>
  <c r="C11" i="4"/>
  <c r="L7" i="2"/>
  <c r="R18" i="2"/>
  <c r="S14" i="2"/>
  <c r="E13" i="4"/>
  <c r="B16" i="3"/>
  <c r="S12" i="2"/>
  <c r="L12" i="2"/>
  <c r="C18" i="4" s="1"/>
  <c r="U5" i="2"/>
  <c r="S11" i="2"/>
  <c r="S16" i="2"/>
  <c r="S9" i="2"/>
  <c r="L14" i="2"/>
  <c r="C20" i="4" s="1"/>
  <c r="D5" i="4" l="1"/>
  <c r="S18" i="2"/>
  <c r="D13" i="4"/>
  <c r="E33" i="3"/>
  <c r="C13" i="4"/>
  <c r="D26" i="3"/>
  <c r="B5" i="4"/>
  <c r="U18" i="2"/>
  <c r="D11" i="4"/>
</calcChain>
</file>

<file path=xl/sharedStrings.xml><?xml version="1.0" encoding="utf-8"?>
<sst xmlns="http://schemas.openxmlformats.org/spreadsheetml/2006/main" count="279" uniqueCount="201">
  <si>
    <t>Gehaltsabrechnung Minijob 2026 – Stammdaten und Rechensätze</t>
  </si>
  <si>
    <t>Eingaben</t>
  </si>
  <si>
    <t>Beitragssätze 2026</t>
  </si>
  <si>
    <t>Jahr</t>
  </si>
  <si>
    <t>für diese Vorlage fest auf 2026 ausgerichtet</t>
  </si>
  <si>
    <t>Kennzahl</t>
  </si>
  <si>
    <t>Gewerblich</t>
  </si>
  <si>
    <t>Privathaushalt</t>
  </si>
  <si>
    <t>Einheit</t>
  </si>
  <si>
    <t>Betriebsart</t>
  </si>
  <si>
    <t>Auswahl steuert Beitragssätze</t>
  </si>
  <si>
    <t>Mindestlohn</t>
  </si>
  <si>
    <t>EUR/Stunde</t>
  </si>
  <si>
    <t>Monat für Ausdruck</t>
  </si>
  <si>
    <t>März</t>
  </si>
  <si>
    <t>steuert die druckbare Abrechnung</t>
  </si>
  <si>
    <t>Minijob-Grenze</t>
  </si>
  <si>
    <t>EUR/Monat</t>
  </si>
  <si>
    <t>Währung</t>
  </si>
  <si>
    <t>EUR</t>
  </si>
  <si>
    <t>Anzeige</t>
  </si>
  <si>
    <t>AG Krankenversicherung</t>
  </si>
  <si>
    <t>% vom Brutto</t>
  </si>
  <si>
    <t>AG Rentenversicherung</t>
  </si>
  <si>
    <t>Arbeitgeber</t>
  </si>
  <si>
    <t>AN Rentenversicherung</t>
  </si>
  <si>
    <t>Firma</t>
  </si>
  <si>
    <t>Musterbetrieb Nordlicht GmbH</t>
  </si>
  <si>
    <t>Pauschsteuer</t>
  </si>
  <si>
    <t>Anschrift</t>
  </si>
  <si>
    <t>Hafenstraße 18, 28195 Bremen</t>
  </si>
  <si>
    <t>Umlage U1</t>
  </si>
  <si>
    <t>Betriebsnummer</t>
  </si>
  <si>
    <t>12345678</t>
  </si>
  <si>
    <t>Umlage U2</t>
  </si>
  <si>
    <t>Ansprechpartner</t>
  </si>
  <si>
    <t>Mara Schneider</t>
  </si>
  <si>
    <t>Insolvenzgeldumlage</t>
  </si>
  <si>
    <t>Zahlungsweg</t>
  </si>
  <si>
    <t>Überweisung</t>
  </si>
  <si>
    <t>Unfallversicherung</t>
  </si>
  <si>
    <t>RV-Gesamtbeitrag</t>
  </si>
  <si>
    <t>%</t>
  </si>
  <si>
    <t>Arbeitnehmer/in</t>
  </si>
  <si>
    <t>RV-Mindestbemessung</t>
  </si>
  <si>
    <t>Name</t>
  </si>
  <si>
    <t>Lea Beispiel</t>
  </si>
  <si>
    <t>Parkallee 7, 30159 Hannover</t>
  </si>
  <si>
    <t>Hinweis: Blaue Felder sind Eingabefelder. Die Vorlage nutzt beispielhafte Personendaten und lässt sich für einen anderen Minijob durch Überschreiben der Stammdaten und Monatswerte anpassen. Diese Datei ersetzt keine individuelle steuerliche oder sozialversicherungsrechtliche Prüfung.</t>
  </si>
  <si>
    <t>Personalnummer</t>
  </si>
  <si>
    <t>MJ-2026-001</t>
  </si>
  <si>
    <t>Eintrittsdatum</t>
  </si>
  <si>
    <t>Beschäftigungsart</t>
  </si>
  <si>
    <t>Minijob mit Verdienstgrenze</t>
  </si>
  <si>
    <t>Steuerart</t>
  </si>
  <si>
    <t>Einheitliche Pauschsteuer</t>
  </si>
  <si>
    <t>Aktive Rechensätze</t>
  </si>
  <si>
    <t>Mindestlohn je Stunde</t>
  </si>
  <si>
    <t>gesetzlicher Mindestlohn 2026</t>
  </si>
  <si>
    <t>Monatliche Minijob-Grenze</t>
  </si>
  <si>
    <t>Geringfügigkeitsgrenze 2026</t>
  </si>
  <si>
    <t>aktiver Satz nach Betriebsart</t>
  </si>
  <si>
    <t>nur bei RV-pflichtig</t>
  </si>
  <si>
    <t>2 %-Pauschsteuer</t>
  </si>
  <si>
    <t>Krankheitsaufwendungen</t>
  </si>
  <si>
    <t>Mutterschaftsaufwendungen</t>
  </si>
  <si>
    <t>bei Privathaushalt 0 %</t>
  </si>
  <si>
    <t>durchschnittlicher/einheitlicher Beispielwert</t>
  </si>
  <si>
    <t>für Mindestbeitrag RV</t>
  </si>
  <si>
    <t>bei RV-pflichtigen Verdiensten unter 175 €</t>
  </si>
  <si>
    <t>Max. Stunden bei Mindestlohn</t>
  </si>
  <si>
    <t>Minijob-Grenze / Mindestlohn</t>
  </si>
  <si>
    <t>AG-Abgabensatz ohne UV</t>
  </si>
  <si>
    <t>ohne Arbeitnehmer-RV</t>
  </si>
  <si>
    <t>AG-Gesamtsatz inkl. UV</t>
  </si>
  <si>
    <t>Planung der Arbeitgeberkosten</t>
  </si>
  <si>
    <t>Jahresübersicht Minijob 2026 – monatliche Abrechnung und Prüfungen</t>
  </si>
  <si>
    <t>Blaue Spalten sind Eingaben. Graue Spalten berechnen automatisch Brutto, Netto, Abgaben, Arbeitgeberkosten und Prüfstatus.</t>
  </si>
  <si>
    <t>Monat</t>
  </si>
  <si>
    <t>Beginn</t>
  </si>
  <si>
    <t>Ende</t>
  </si>
  <si>
    <t>Stunden</t>
  </si>
  <si>
    <t>Stundenlohn</t>
  </si>
  <si>
    <t>Lohn</t>
  </si>
  <si>
    <t>Sonderzahlung</t>
  </si>
  <si>
    <t>Brutto</t>
  </si>
  <si>
    <t>RV-Status</t>
  </si>
  <si>
    <t>AN-RV</t>
  </si>
  <si>
    <t>Sonst. Abzüge</t>
  </si>
  <si>
    <t>Netto</t>
  </si>
  <si>
    <t>AG-KV</t>
  </si>
  <si>
    <t>AG-RV</t>
  </si>
  <si>
    <t>U1</t>
  </si>
  <si>
    <t>U2</t>
  </si>
  <si>
    <t>Insolvenz</t>
  </si>
  <si>
    <t>Abgaben gesamt</t>
  </si>
  <si>
    <t>Arbeitgeberkosten</t>
  </si>
  <si>
    <t>Status</t>
  </si>
  <si>
    <t>Auszahlungsdatum</t>
  </si>
  <si>
    <t>Bemerkung</t>
  </si>
  <si>
    <t>Januar</t>
  </si>
  <si>
    <t>01.01.2026</t>
  </si>
  <si>
    <t>31.01.2026</t>
  </si>
  <si>
    <t>RV-befreit</t>
  </si>
  <si>
    <t>05.02.2026</t>
  </si>
  <si>
    <t>Beispielmonat</t>
  </si>
  <si>
    <t>Februar</t>
  </si>
  <si>
    <t>01.02.2026</t>
  </si>
  <si>
    <t>28.02.2026</t>
  </si>
  <si>
    <t>05.03.2026</t>
  </si>
  <si>
    <t>gleichbleibender Lohn</t>
  </si>
  <si>
    <t>01.03.2026</t>
  </si>
  <si>
    <t>31.03.2026</t>
  </si>
  <si>
    <t>RV-pflichtig</t>
  </si>
  <si>
    <t>05.04.2026</t>
  </si>
  <si>
    <t>RV-pflichtig als Beispiel</t>
  </si>
  <si>
    <t>April</t>
  </si>
  <si>
    <t>01.04.2026</t>
  </si>
  <si>
    <t>30.04.2026</t>
  </si>
  <si>
    <t>05.05.2026</t>
  </si>
  <si>
    <t>nahe an Monatsgrenze</t>
  </si>
  <si>
    <t>Mai</t>
  </si>
  <si>
    <t>01.05.2026</t>
  </si>
  <si>
    <t>31.05.2026</t>
  </si>
  <si>
    <t>05.06.2026</t>
  </si>
  <si>
    <t>maximale Stunden prüfen</t>
  </si>
  <si>
    <t>Juni</t>
  </si>
  <si>
    <t>01.06.2026</t>
  </si>
  <si>
    <t>30.06.2026</t>
  </si>
  <si>
    <t>05.07.2026</t>
  </si>
  <si>
    <t>reduzierte Stunden</t>
  </si>
  <si>
    <t>Juli</t>
  </si>
  <si>
    <t>01.07.2026</t>
  </si>
  <si>
    <t>31.07.2026</t>
  </si>
  <si>
    <t>05.08.2026</t>
  </si>
  <si>
    <t>mit Sonderzahlung</t>
  </si>
  <si>
    <t>August</t>
  </si>
  <si>
    <t>01.08.2026</t>
  </si>
  <si>
    <t>31.08.2026</t>
  </si>
  <si>
    <t>kein Einsatz</t>
  </si>
  <si>
    <t>September</t>
  </si>
  <si>
    <t>01.09.2026</t>
  </si>
  <si>
    <t>30.09.2026</t>
  </si>
  <si>
    <t>05.10.2026</t>
  </si>
  <si>
    <t>normaler Monat</t>
  </si>
  <si>
    <t>Oktober</t>
  </si>
  <si>
    <t>01.10.2026</t>
  </si>
  <si>
    <t>31.10.2026</t>
  </si>
  <si>
    <t>05.11.2026</t>
  </si>
  <si>
    <t>Grenze überschritten als Warnbeispiel</t>
  </si>
  <si>
    <t>November</t>
  </si>
  <si>
    <t>01.11.2026</t>
  </si>
  <si>
    <t>30.11.2026</t>
  </si>
  <si>
    <t>05.12.2026</t>
  </si>
  <si>
    <t>Dezember</t>
  </si>
  <si>
    <t>01.12.2026</t>
  </si>
  <si>
    <t>31.12.2026</t>
  </si>
  <si>
    <t>05.01.2027</t>
  </si>
  <si>
    <t>Sonderzahlung zum Jahresende</t>
  </si>
  <si>
    <t>Gesamt 2026</t>
  </si>
  <si>
    <t>Abrechnungsmonat</t>
  </si>
  <si>
    <t>Abrechnungsdaten</t>
  </si>
  <si>
    <t>Zeitraum von</t>
  </si>
  <si>
    <t>Zeitraum bis</t>
  </si>
  <si>
    <t>Auszahlung am</t>
  </si>
  <si>
    <t>Mindestlohnprüfung</t>
  </si>
  <si>
    <t>Status der Abrechnung</t>
  </si>
  <si>
    <t>Verdienst und Abzüge</t>
  </si>
  <si>
    <t>Position</t>
  </si>
  <si>
    <t>Menge</t>
  </si>
  <si>
    <t>Satz</t>
  </si>
  <si>
    <t>Brutto/Abzug</t>
  </si>
  <si>
    <t>Hinweis</t>
  </si>
  <si>
    <t>Arbeitslohn</t>
  </si>
  <si>
    <t>Stunden × Stundenlohn</t>
  </si>
  <si>
    <t>Sonderzahlung / Zuschläge</t>
  </si>
  <si>
    <t>minijob-relevanter Betrag</t>
  </si>
  <si>
    <t>Gesamtbrutto</t>
  </si>
  <si>
    <t>Arbeitnehmeranteil Rentenversicherung</t>
  </si>
  <si>
    <t>Sonstige Abzüge</t>
  </si>
  <si>
    <t>manuell in Jahresübersicht</t>
  </si>
  <si>
    <t>Nettoauszahlung</t>
  </si>
  <si>
    <t>Arbeitgeberkosten und Abgaben</t>
  </si>
  <si>
    <t>Betrag</t>
  </si>
  <si>
    <t>Satz/Bezug</t>
  </si>
  <si>
    <t>aktiver Satz</t>
  </si>
  <si>
    <t>Beispielwert</t>
  </si>
  <si>
    <t>Summe AG-Kosten</t>
  </si>
  <si>
    <t>Brutto + AG-Abgaben</t>
  </si>
  <si>
    <t>Hinweis: Diese Musterabrechnung ist als neutrale Excel-Vorlage aufgebaut. Für die tatsächliche Lohnabrechnung müssen die eingegebenen Werte, der Rentenversicherungsstatus, die Steuerart und Sonderfälle geprüft werden.</t>
  </si>
  <si>
    <t>Auswertung Minijob 2026</t>
  </si>
  <si>
    <t>Kennzahlen</t>
  </si>
  <si>
    <t>Gesamtbrutto 2026</t>
  </si>
  <si>
    <t>Gesamtnetto 2026</t>
  </si>
  <si>
    <t>Arbeitgeberkosten 2026</t>
  </si>
  <si>
    <t>Ø Stunden/Monat</t>
  </si>
  <si>
    <t>Monate mit Prüfhinweis</t>
  </si>
  <si>
    <t>Monatsübersicht</t>
  </si>
  <si>
    <t>Rest zur Grenze</t>
  </si>
  <si>
    <t>Leselogik: Ein negativer Rest zur Grenze zeigt, dass der Monatsverdienst über der Minijob-Grenze liegt. Die Werte sind bewusst mit Beispieldaten gefüllt, damit die Funktionsweise sofort nachvollziehbar ist.</t>
  </si>
  <si>
    <t>Gehaltsabrechnung Minijob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</si>
</sst>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 \€;[Red]\-#,##0.00\ \€"/>
  </numFmts>
  <fonts count="12" x14ac:knownFonts="1">
    <font>
      <sz val="11"/>
      <name val="Carlito"/>
    </font>
    <font>
      <b/>
      <sz val="16"/>
      <color rgb="FFFFFFFF"/>
      <name val="Carlito"/>
    </font>
    <font>
      <b/>
      <sz val="11"/>
      <color rgb="FFFFFFFF"/>
      <name val="Carlito"/>
    </font>
    <font>
      <b/>
      <sz val="11"/>
      <name val="Carlito"/>
    </font>
    <font>
      <sz val="11"/>
      <color rgb="FF111827"/>
      <name val="Carlito"/>
    </font>
    <font>
      <sz val="11"/>
      <color rgb="FF6B7280"/>
      <name val="Carlito"/>
    </font>
    <font>
      <i/>
      <sz val="11"/>
      <color rgb="FF4B5563"/>
      <name val="Carlito"/>
    </font>
    <font>
      <b/>
      <sz val="11"/>
      <color rgb="FF111827"/>
      <name val="Carlito"/>
    </font>
    <font>
      <b/>
      <sz val="11"/>
      <color rgb="FF6B7280"/>
      <name val="Carlito"/>
    </font>
    <font>
      <b/>
      <sz val="11"/>
      <color rgb="FF14532D"/>
      <name val="Carlito"/>
    </font>
    <font>
      <sz val="11"/>
      <name val="Carlito"/>
    </font>
    <font>
      <b/>
      <sz val="20"/>
      <color rgb="FFFFFFFF"/>
      <name val="Carlito"/>
      <family val="2"/>
    </font>
  </fonts>
  <fills count="12">
    <fill>
      <patternFill patternType="none"/>
    </fill>
    <fill>
      <patternFill patternType="gray125"/>
    </fill>
    <fill>
      <patternFill patternType="solid">
        <fgColor rgb="FF1F2937"/>
      </patternFill>
    </fill>
    <fill>
      <patternFill patternType="solid">
        <fgColor rgb="FF0F766E"/>
      </patternFill>
    </fill>
    <fill>
      <patternFill patternType="solid">
        <fgColor rgb="FFF3F4F6"/>
      </patternFill>
    </fill>
    <fill>
      <patternFill patternType="solid">
        <fgColor rgb="FFDBEAFE"/>
      </patternFill>
    </fill>
    <fill>
      <patternFill patternType="solid">
        <fgColor rgb="FF374151"/>
      </patternFill>
    </fill>
    <fill>
      <patternFill patternType="solid">
        <fgColor rgb="FFFEF3C7"/>
      </patternFill>
    </fill>
    <fill>
      <patternFill patternType="solid">
        <fgColor rgb="FFE5E7EB"/>
      </patternFill>
    </fill>
    <fill>
      <patternFill patternType="solid">
        <fgColor rgb="FFDCFCE7"/>
      </patternFill>
    </fill>
    <fill>
      <patternFill patternType="solid">
        <fgColor rgb="FFD1FAE5"/>
      </patternFill>
    </fill>
    <fill>
      <patternFill patternType="solid">
        <fgColor theme="0"/>
        <bgColor indexed="64"/>
      </patternFill>
    </fill>
  </fills>
  <borders count="1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indexed="64"/>
      </bottom>
      <diagonal/>
    </border>
  </borders>
  <cellStyleXfs count="2">
    <xf numFmtId="0" fontId="0" fillId="0" borderId="0"/>
    <xf numFmtId="0" fontId="10" fillId="0" borderId="0"/>
  </cellStyleXfs>
  <cellXfs count="123">
    <xf numFmtId="0" fontId="0" fillId="0" borderId="0" xfId="0"/>
    <xf numFmtId="0" fontId="3" fillId="4" borderId="0" xfId="1" applyFont="1" applyFill="1"/>
    <xf numFmtId="0" fontId="4" fillId="5" borderId="1" xfId="1" applyFont="1" applyFill="1" applyBorder="1"/>
    <xf numFmtId="0" fontId="4" fillId="5" borderId="2" xfId="1" applyFont="1" applyFill="1" applyBorder="1"/>
    <xf numFmtId="0" fontId="4" fillId="5" borderId="3" xfId="1" applyFont="1" applyFill="1" applyBorder="1"/>
    <xf numFmtId="0" fontId="5" fillId="0" borderId="0" xfId="1" applyFont="1" applyAlignment="1">
      <alignment wrapText="1"/>
    </xf>
    <xf numFmtId="164" fontId="4" fillId="5" borderId="2" xfId="1" applyNumberFormat="1" applyFont="1" applyFill="1" applyBorder="1"/>
    <xf numFmtId="165" fontId="4" fillId="4" borderId="1" xfId="1" applyNumberFormat="1" applyFont="1" applyFill="1" applyBorder="1"/>
    <xf numFmtId="165" fontId="4" fillId="4" borderId="2" xfId="1" applyNumberFormat="1" applyFont="1" applyFill="1" applyBorder="1"/>
    <xf numFmtId="10" fontId="4" fillId="4" borderId="2" xfId="1" applyNumberFormat="1" applyFont="1" applyFill="1" applyBorder="1"/>
    <xf numFmtId="4" fontId="4" fillId="4" borderId="2" xfId="1" applyNumberFormat="1" applyFont="1" applyFill="1" applyBorder="1"/>
    <xf numFmtId="10" fontId="4" fillId="4" borderId="3" xfId="1" applyNumberFormat="1" applyFont="1" applyFill="1" applyBorder="1"/>
    <xf numFmtId="0" fontId="2" fillId="6" borderId="0" xfId="1" applyFont="1" applyFill="1" applyAlignment="1">
      <alignment horizontal="center" vertical="center" wrapText="1"/>
    </xf>
    <xf numFmtId="0" fontId="3" fillId="4" borderId="0" xfId="1" applyFont="1" applyFill="1" applyAlignment="1">
      <alignment wrapText="1"/>
    </xf>
    <xf numFmtId="165" fontId="0" fillId="0" borderId="0" xfId="1" applyNumberFormat="1" applyFont="1"/>
    <xf numFmtId="165" fontId="4" fillId="5" borderId="4" xfId="1" applyNumberFormat="1" applyFont="1" applyFill="1" applyBorder="1"/>
    <xf numFmtId="165" fontId="4" fillId="5" borderId="5" xfId="1" applyNumberFormat="1" applyFont="1" applyFill="1" applyBorder="1"/>
    <xf numFmtId="165" fontId="4" fillId="5" borderId="6" xfId="1" applyNumberFormat="1" applyFont="1" applyFill="1" applyBorder="1"/>
    <xf numFmtId="165" fontId="4" fillId="5" borderId="7" xfId="1" applyNumberFormat="1" applyFont="1" applyFill="1" applyBorder="1"/>
    <xf numFmtId="10" fontId="4" fillId="5" borderId="6" xfId="1" applyNumberFormat="1" applyFont="1" applyFill="1" applyBorder="1"/>
    <xf numFmtId="10" fontId="4" fillId="5" borderId="7" xfId="1" applyNumberFormat="1" applyFont="1" applyFill="1" applyBorder="1"/>
    <xf numFmtId="165" fontId="4" fillId="5" borderId="8" xfId="1" applyNumberFormat="1" applyFont="1" applyFill="1" applyBorder="1"/>
    <xf numFmtId="165" fontId="4" fillId="5" borderId="9" xfId="1" applyNumberFormat="1" applyFont="1" applyFill="1" applyBorder="1"/>
    <xf numFmtId="0" fontId="3" fillId="8" borderId="10" xfId="1" applyFont="1" applyFill="1" applyBorder="1"/>
    <xf numFmtId="165" fontId="3" fillId="8" borderId="10" xfId="1" applyNumberFormat="1" applyFont="1" applyFill="1" applyBorder="1"/>
    <xf numFmtId="4" fontId="0" fillId="0" borderId="0" xfId="1" applyNumberFormat="1" applyFont="1"/>
    <xf numFmtId="4" fontId="3" fillId="8" borderId="10" xfId="1" applyNumberFormat="1" applyFont="1" applyFill="1" applyBorder="1"/>
    <xf numFmtId="0" fontId="0" fillId="0" borderId="0" xfId="1" applyFont="1" applyAlignment="1">
      <alignment wrapText="1"/>
    </xf>
    <xf numFmtId="164" fontId="0" fillId="0" borderId="0" xfId="1" applyNumberFormat="1" applyFont="1" applyAlignment="1">
      <alignment wrapText="1"/>
    </xf>
    <xf numFmtId="4" fontId="4" fillId="5" borderId="4" xfId="1" applyNumberFormat="1" applyFont="1" applyFill="1" applyBorder="1" applyAlignment="1">
      <alignment wrapText="1"/>
    </xf>
    <xf numFmtId="165" fontId="4" fillId="5" borderId="5" xfId="1" applyNumberFormat="1" applyFont="1" applyFill="1" applyBorder="1" applyAlignment="1">
      <alignment wrapText="1"/>
    </xf>
    <xf numFmtId="4" fontId="4" fillId="5" borderId="6" xfId="1" applyNumberFormat="1" applyFont="1" applyFill="1" applyBorder="1" applyAlignment="1">
      <alignment wrapText="1"/>
    </xf>
    <xf numFmtId="165" fontId="4" fillId="5" borderId="7" xfId="1" applyNumberFormat="1" applyFont="1" applyFill="1" applyBorder="1" applyAlignment="1">
      <alignment wrapText="1"/>
    </xf>
    <xf numFmtId="4" fontId="4" fillId="5" borderId="8" xfId="1" applyNumberFormat="1" applyFont="1" applyFill="1" applyBorder="1" applyAlignment="1">
      <alignment wrapText="1"/>
    </xf>
    <xf numFmtId="165" fontId="4" fillId="5" borderId="9" xfId="1" applyNumberFormat="1" applyFont="1" applyFill="1" applyBorder="1" applyAlignment="1">
      <alignment wrapText="1"/>
    </xf>
    <xf numFmtId="165" fontId="4" fillId="5" borderId="1" xfId="1" applyNumberFormat="1" applyFont="1" applyFill="1" applyBorder="1" applyAlignment="1">
      <alignment wrapText="1"/>
    </xf>
    <xf numFmtId="165" fontId="4" fillId="5" borderId="2" xfId="1" applyNumberFormat="1" applyFont="1" applyFill="1" applyBorder="1" applyAlignment="1">
      <alignment wrapText="1"/>
    </xf>
    <xf numFmtId="165" fontId="4" fillId="5" borderId="3" xfId="1" applyNumberFormat="1" applyFont="1" applyFill="1" applyBorder="1" applyAlignment="1">
      <alignment wrapText="1"/>
    </xf>
    <xf numFmtId="0" fontId="4" fillId="5" borderId="0" xfId="1" applyFont="1" applyFill="1" applyAlignment="1">
      <alignment wrapText="1"/>
    </xf>
    <xf numFmtId="0" fontId="4" fillId="5" borderId="1" xfId="1" applyFont="1" applyFill="1" applyBorder="1" applyAlignment="1">
      <alignment wrapText="1"/>
    </xf>
    <xf numFmtId="0" fontId="4" fillId="5" borderId="2" xfId="1" applyFont="1" applyFill="1" applyBorder="1" applyAlignment="1">
      <alignment wrapText="1"/>
    </xf>
    <xf numFmtId="0" fontId="4" fillId="5" borderId="3" xfId="1" applyFont="1" applyFill="1" applyBorder="1" applyAlignment="1">
      <alignment wrapText="1"/>
    </xf>
    <xf numFmtId="165" fontId="4" fillId="4" borderId="1" xfId="1" applyNumberFormat="1" applyFont="1" applyFill="1" applyBorder="1" applyAlignment="1">
      <alignment wrapText="1"/>
    </xf>
    <xf numFmtId="165" fontId="4" fillId="4" borderId="2" xfId="1" applyNumberFormat="1" applyFont="1" applyFill="1" applyBorder="1" applyAlignment="1">
      <alignment wrapText="1"/>
    </xf>
    <xf numFmtId="165" fontId="4" fillId="4" borderId="3" xfId="1" applyNumberFormat="1" applyFont="1" applyFill="1" applyBorder="1" applyAlignment="1">
      <alignment wrapText="1"/>
    </xf>
    <xf numFmtId="165" fontId="4" fillId="4" borderId="4" xfId="1" applyNumberFormat="1" applyFont="1" applyFill="1" applyBorder="1" applyAlignment="1">
      <alignment wrapText="1"/>
    </xf>
    <xf numFmtId="165" fontId="4" fillId="4" borderId="11" xfId="1" applyNumberFormat="1" applyFont="1" applyFill="1" applyBorder="1" applyAlignment="1">
      <alignment wrapText="1"/>
    </xf>
    <xf numFmtId="165" fontId="4" fillId="4" borderId="5" xfId="1" applyNumberFormat="1" applyFont="1" applyFill="1" applyBorder="1" applyAlignment="1">
      <alignment wrapText="1"/>
    </xf>
    <xf numFmtId="165" fontId="4" fillId="4" borderId="6" xfId="1" applyNumberFormat="1" applyFont="1" applyFill="1" applyBorder="1" applyAlignment="1">
      <alignment wrapText="1"/>
    </xf>
    <xf numFmtId="165" fontId="4" fillId="4" borderId="12" xfId="1" applyNumberFormat="1" applyFont="1" applyFill="1" applyBorder="1" applyAlignment="1">
      <alignment wrapText="1"/>
    </xf>
    <xf numFmtId="165" fontId="4" fillId="4" borderId="7" xfId="1" applyNumberFormat="1" applyFont="1" applyFill="1" applyBorder="1" applyAlignment="1">
      <alignment wrapText="1"/>
    </xf>
    <xf numFmtId="165" fontId="4" fillId="4" borderId="8" xfId="1" applyNumberFormat="1" applyFont="1" applyFill="1" applyBorder="1" applyAlignment="1">
      <alignment wrapText="1"/>
    </xf>
    <xf numFmtId="165" fontId="4" fillId="4" borderId="13" xfId="1" applyNumberFormat="1" applyFont="1" applyFill="1" applyBorder="1" applyAlignment="1">
      <alignment wrapText="1"/>
    </xf>
    <xf numFmtId="165" fontId="4" fillId="4" borderId="9" xfId="1" applyNumberFormat="1" applyFont="1" applyFill="1" applyBorder="1" applyAlignment="1">
      <alignment wrapText="1"/>
    </xf>
    <xf numFmtId="0" fontId="4" fillId="4" borderId="4" xfId="1" applyFont="1" applyFill="1" applyBorder="1" applyAlignment="1">
      <alignment wrapText="1"/>
    </xf>
    <xf numFmtId="0" fontId="4" fillId="4" borderId="11" xfId="1" applyFont="1" applyFill="1" applyBorder="1" applyAlignment="1">
      <alignment wrapText="1"/>
    </xf>
    <xf numFmtId="0" fontId="4" fillId="4" borderId="5" xfId="1" applyFont="1" applyFill="1" applyBorder="1" applyAlignment="1">
      <alignment wrapText="1"/>
    </xf>
    <xf numFmtId="0" fontId="4" fillId="4" borderId="6" xfId="1" applyFont="1" applyFill="1" applyBorder="1" applyAlignment="1">
      <alignment wrapText="1"/>
    </xf>
    <xf numFmtId="0" fontId="4" fillId="4" borderId="12" xfId="1" applyFont="1" applyFill="1" applyBorder="1" applyAlignment="1">
      <alignment wrapText="1"/>
    </xf>
    <xf numFmtId="0" fontId="4" fillId="4" borderId="7" xfId="1" applyFont="1" applyFill="1" applyBorder="1" applyAlignment="1">
      <alignment wrapText="1"/>
    </xf>
    <xf numFmtId="0" fontId="4" fillId="4" borderId="8" xfId="1" applyFont="1" applyFill="1" applyBorder="1" applyAlignment="1">
      <alignment wrapText="1"/>
    </xf>
    <xf numFmtId="0" fontId="4" fillId="4" borderId="13" xfId="1" applyFont="1" applyFill="1" applyBorder="1" applyAlignment="1">
      <alignment wrapText="1"/>
    </xf>
    <xf numFmtId="0" fontId="4" fillId="4" borderId="9" xfId="1" applyFont="1" applyFill="1" applyBorder="1" applyAlignment="1">
      <alignment wrapText="1"/>
    </xf>
    <xf numFmtId="164" fontId="4" fillId="4" borderId="1" xfId="1" applyNumberFormat="1" applyFont="1" applyFill="1" applyBorder="1" applyAlignment="1">
      <alignment wrapText="1"/>
    </xf>
    <xf numFmtId="164" fontId="4" fillId="4" borderId="2" xfId="1" applyNumberFormat="1" applyFont="1" applyFill="1" applyBorder="1" applyAlignment="1">
      <alignment wrapText="1"/>
    </xf>
    <xf numFmtId="164" fontId="4" fillId="4" borderId="3" xfId="1" applyNumberFormat="1" applyFont="1" applyFill="1" applyBorder="1" applyAlignment="1">
      <alignment wrapText="1"/>
    </xf>
    <xf numFmtId="0" fontId="4" fillId="4" borderId="4" xfId="1" applyFont="1" applyFill="1" applyBorder="1"/>
    <xf numFmtId="0" fontId="4" fillId="4" borderId="6" xfId="1" applyFont="1" applyFill="1" applyBorder="1"/>
    <xf numFmtId="0" fontId="4" fillId="4" borderId="8" xfId="1" applyFont="1" applyFill="1" applyBorder="1"/>
    <xf numFmtId="0" fontId="4" fillId="4" borderId="11" xfId="1" applyFont="1" applyFill="1" applyBorder="1"/>
    <xf numFmtId="0" fontId="4" fillId="4" borderId="12" xfId="1" applyFont="1" applyFill="1" applyBorder="1"/>
    <xf numFmtId="0" fontId="4" fillId="4" borderId="13" xfId="1" applyFont="1" applyFill="1" applyBorder="1"/>
    <xf numFmtId="165" fontId="4" fillId="4" borderId="11" xfId="1" applyNumberFormat="1" applyFont="1" applyFill="1" applyBorder="1"/>
    <xf numFmtId="165" fontId="4" fillId="4" borderId="5" xfId="1" applyNumberFormat="1" applyFont="1" applyFill="1" applyBorder="1"/>
    <xf numFmtId="165" fontId="4" fillId="4" borderId="12" xfId="1" applyNumberFormat="1" applyFont="1" applyFill="1" applyBorder="1"/>
    <xf numFmtId="165" fontId="4" fillId="4" borderId="7" xfId="1" applyNumberFormat="1" applyFont="1" applyFill="1" applyBorder="1"/>
    <xf numFmtId="165" fontId="4" fillId="4" borderId="13" xfId="1" applyNumberFormat="1" applyFont="1" applyFill="1" applyBorder="1"/>
    <xf numFmtId="165" fontId="4" fillId="4" borderId="9" xfId="1" applyNumberFormat="1" applyFont="1" applyFill="1" applyBorder="1"/>
    <xf numFmtId="0" fontId="8" fillId="8" borderId="0" xfId="1" applyFont="1" applyFill="1" applyAlignment="1">
      <alignment wrapText="1"/>
    </xf>
    <xf numFmtId="0" fontId="9" fillId="9" borderId="0" xfId="1" applyFont="1" applyFill="1" applyAlignment="1">
      <alignment wrapText="1"/>
    </xf>
    <xf numFmtId="0" fontId="4" fillId="4" borderId="14" xfId="1" applyFont="1" applyFill="1" applyBorder="1" applyAlignment="1">
      <alignment wrapText="1"/>
    </xf>
    <xf numFmtId="0" fontId="4" fillId="4" borderId="15" xfId="1" applyFont="1" applyFill="1" applyBorder="1" applyAlignment="1">
      <alignment wrapText="1"/>
    </xf>
    <xf numFmtId="164" fontId="4" fillId="4" borderId="4" xfId="1" applyNumberFormat="1" applyFont="1" applyFill="1" applyBorder="1" applyAlignment="1">
      <alignment wrapText="1"/>
    </xf>
    <xf numFmtId="0" fontId="7" fillId="4" borderId="11" xfId="1" applyFont="1" applyFill="1" applyBorder="1" applyAlignment="1">
      <alignment wrapText="1"/>
    </xf>
    <xf numFmtId="164" fontId="4" fillId="4" borderId="11" xfId="1" applyNumberFormat="1" applyFont="1" applyFill="1" applyBorder="1" applyAlignment="1">
      <alignment wrapText="1"/>
    </xf>
    <xf numFmtId="164" fontId="4" fillId="4" borderId="5" xfId="1" applyNumberFormat="1" applyFont="1" applyFill="1" applyBorder="1" applyAlignment="1">
      <alignment wrapText="1"/>
    </xf>
    <xf numFmtId="0" fontId="7" fillId="4" borderId="12" xfId="1" applyFont="1" applyFill="1" applyBorder="1" applyAlignment="1">
      <alignment wrapText="1"/>
    </xf>
    <xf numFmtId="4" fontId="4" fillId="4" borderId="4" xfId="1" applyNumberFormat="1" applyFont="1" applyFill="1" applyBorder="1" applyAlignment="1">
      <alignment wrapText="1"/>
    </xf>
    <xf numFmtId="0" fontId="3" fillId="8" borderId="0" xfId="1" applyFont="1" applyFill="1" applyAlignment="1">
      <alignment wrapText="1"/>
    </xf>
    <xf numFmtId="0" fontId="7" fillId="8" borderId="6" xfId="1" applyFont="1" applyFill="1" applyBorder="1" applyAlignment="1">
      <alignment wrapText="1"/>
    </xf>
    <xf numFmtId="165" fontId="7" fillId="8" borderId="12" xfId="1" applyNumberFormat="1" applyFont="1" applyFill="1" applyBorder="1" applyAlignment="1">
      <alignment wrapText="1"/>
    </xf>
    <xf numFmtId="165" fontId="7" fillId="8" borderId="7" xfId="1" applyNumberFormat="1" applyFont="1" applyFill="1" applyBorder="1" applyAlignment="1">
      <alignment wrapText="1"/>
    </xf>
    <xf numFmtId="0" fontId="9" fillId="9" borderId="8" xfId="1" applyFont="1" applyFill="1" applyBorder="1" applyAlignment="1">
      <alignment wrapText="1"/>
    </xf>
    <xf numFmtId="165" fontId="9" fillId="9" borderId="13" xfId="1" applyNumberFormat="1" applyFont="1" applyFill="1" applyBorder="1" applyAlignment="1">
      <alignment wrapText="1"/>
    </xf>
    <xf numFmtId="165" fontId="9" fillId="9" borderId="9" xfId="1" applyNumberFormat="1" applyFont="1" applyFill="1" applyBorder="1" applyAlignment="1">
      <alignment wrapText="1"/>
    </xf>
    <xf numFmtId="165" fontId="9" fillId="9" borderId="3" xfId="1" applyNumberFormat="1" applyFont="1" applyFill="1" applyBorder="1" applyAlignment="1">
      <alignment wrapText="1"/>
    </xf>
    <xf numFmtId="165" fontId="3" fillId="10" borderId="1" xfId="1" applyNumberFormat="1" applyFont="1" applyFill="1" applyBorder="1"/>
    <xf numFmtId="165" fontId="3" fillId="4" borderId="0" xfId="1" applyNumberFormat="1" applyFont="1" applyFill="1"/>
    <xf numFmtId="165" fontId="3" fillId="10" borderId="2" xfId="1" applyNumberFormat="1" applyFont="1" applyFill="1" applyBorder="1"/>
    <xf numFmtId="4" fontId="3" fillId="10" borderId="3" xfId="1" applyNumberFormat="1" applyFont="1" applyFill="1" applyBorder="1"/>
    <xf numFmtId="1" fontId="3" fillId="10" borderId="3" xfId="1" applyNumberFormat="1" applyFont="1" applyFill="1" applyBorder="1"/>
    <xf numFmtId="0" fontId="1" fillId="2" borderId="0" xfId="1" applyFont="1" applyFill="1" applyAlignment="1">
      <alignment horizontal="left" vertical="center"/>
    </xf>
    <xf numFmtId="0" fontId="2" fillId="3" borderId="0" xfId="1" applyFont="1" applyFill="1" applyAlignment="1">
      <alignment horizontal="left"/>
    </xf>
    <xf numFmtId="0" fontId="6" fillId="7" borderId="0" xfId="1" applyFont="1" applyFill="1" applyAlignment="1">
      <alignment wrapText="1"/>
    </xf>
    <xf numFmtId="0" fontId="2" fillId="3" borderId="0" xfId="1" applyFont="1" applyFill="1" applyAlignment="1">
      <alignment horizontal="left" wrapText="1"/>
    </xf>
    <xf numFmtId="0" fontId="4" fillId="4" borderId="4" xfId="1" applyFont="1" applyFill="1" applyBorder="1" applyAlignment="1">
      <alignment wrapText="1"/>
    </xf>
    <xf numFmtId="0" fontId="4" fillId="4" borderId="5" xfId="1" applyFont="1" applyFill="1" applyBorder="1" applyAlignment="1">
      <alignment wrapText="1"/>
    </xf>
    <xf numFmtId="0" fontId="4" fillId="4" borderId="6" xfId="1" applyFont="1" applyFill="1" applyBorder="1" applyAlignment="1">
      <alignment wrapText="1"/>
    </xf>
    <xf numFmtId="0" fontId="4" fillId="4" borderId="7" xfId="1" applyFont="1" applyFill="1" applyBorder="1" applyAlignment="1">
      <alignment wrapText="1"/>
    </xf>
    <xf numFmtId="0" fontId="4" fillId="4" borderId="8" xfId="1" applyFont="1" applyFill="1" applyBorder="1" applyAlignment="1">
      <alignment wrapText="1"/>
    </xf>
    <xf numFmtId="0" fontId="4" fillId="4" borderId="9" xfId="1" applyFont="1" applyFill="1" applyBorder="1" applyAlignment="1">
      <alignment wrapText="1"/>
    </xf>
    <xf numFmtId="164" fontId="4" fillId="4" borderId="6" xfId="1" applyNumberFormat="1" applyFont="1" applyFill="1" applyBorder="1" applyAlignment="1">
      <alignment wrapText="1"/>
    </xf>
    <xf numFmtId="0" fontId="4" fillId="4" borderId="12" xfId="1" applyFont="1" applyFill="1" applyBorder="1" applyAlignment="1">
      <alignment wrapText="1"/>
    </xf>
    <xf numFmtId="0" fontId="4" fillId="4" borderId="13" xfId="1" applyFont="1" applyFill="1" applyBorder="1" applyAlignment="1">
      <alignment wrapText="1"/>
    </xf>
    <xf numFmtId="0" fontId="0" fillId="11" borderId="0" xfId="0" applyFill="1"/>
    <xf numFmtId="0" fontId="0" fillId="11" borderId="0" xfId="1" applyFont="1" applyFill="1" applyAlignment="1">
      <alignment wrapText="1"/>
    </xf>
    <xf numFmtId="0" fontId="3" fillId="11" borderId="0" xfId="1" applyFont="1" applyFill="1" applyAlignment="1">
      <alignment wrapText="1"/>
    </xf>
    <xf numFmtId="0" fontId="4" fillId="11" borderId="8" xfId="1" applyFont="1" applyFill="1" applyBorder="1" applyAlignment="1">
      <alignment wrapText="1"/>
    </xf>
    <xf numFmtId="0" fontId="4" fillId="11" borderId="9" xfId="1" applyFont="1" applyFill="1" applyBorder="1" applyAlignment="1">
      <alignment wrapText="1"/>
    </xf>
    <xf numFmtId="0" fontId="5" fillId="11" borderId="0" xfId="1" applyFont="1" applyFill="1" applyAlignment="1">
      <alignment wrapText="1"/>
    </xf>
    <xf numFmtId="0" fontId="6" fillId="7" borderId="0" xfId="1" applyFont="1" applyFill="1" applyAlignment="1">
      <alignment vertical="top" wrapText="1"/>
    </xf>
    <xf numFmtId="0" fontId="2" fillId="6" borderId="16" xfId="1" applyFont="1" applyFill="1" applyBorder="1" applyAlignment="1">
      <alignment horizontal="center" vertical="center" wrapText="1"/>
    </xf>
    <xf numFmtId="0" fontId="11" fillId="2" borderId="0" xfId="1" applyFont="1" applyFill="1" applyAlignment="1">
      <alignment horizontal="left" vertical="center" wrapText="1"/>
    </xf>
  </cellXfs>
  <cellStyles count="2">
    <cellStyle name="Normal" xfId="1" xr:uid="{00000000-0005-0000-0000-000000000000}"/>
    <cellStyle name="Standard" xfId="0" builtinId="0"/>
  </cellStyles>
  <dxfs count="10">
    <dxf>
      <font>
        <color rgb="FF991B1B"/>
      </font>
      <fill>
        <patternFill patternType="solid">
          <bgColor rgb="FFFECACA"/>
        </patternFill>
      </fill>
    </dxf>
    <dxf>
      <font>
        <b/>
        <color rgb="FF166534"/>
      </font>
      <fill>
        <patternFill patternType="solid">
          <bgColor rgb="FFDCFCE7"/>
        </patternFill>
      </fill>
    </dxf>
    <dxf>
      <font>
        <b/>
        <color rgb="FF991B1B"/>
      </font>
      <fill>
        <patternFill patternType="solid">
          <bgColor rgb="FFFECACA"/>
        </patternFill>
      </fill>
    </dxf>
    <dxf>
      <font>
        <b/>
        <color rgb="FF166534"/>
      </font>
      <fill>
        <patternFill patternType="solid">
          <bgColor rgb="FFDCFCE7"/>
        </patternFill>
      </fill>
    </dxf>
    <dxf>
      <font>
        <b/>
        <color rgb="FF991B1B"/>
      </font>
      <fill>
        <patternFill patternType="solid">
          <bgColor rgb="FFFECACA"/>
        </patternFill>
      </fill>
    </dxf>
    <dxf>
      <font>
        <color rgb="FF374151"/>
      </font>
      <fill>
        <patternFill patternType="solid">
          <bgColor rgb="FFE5E7EB"/>
        </patternFill>
      </fill>
    </dxf>
    <dxf>
      <font>
        <b/>
        <color rgb="FF166534"/>
      </font>
      <fill>
        <patternFill patternType="solid">
          <bgColor rgb="FFDCFCE7"/>
        </patternFill>
      </fill>
    </dxf>
    <dxf>
      <font>
        <b/>
        <color rgb="FF991B1B"/>
      </font>
      <fill>
        <patternFill patternType="solid">
          <bgColor rgb="FFFECACA"/>
        </patternFill>
      </fill>
    </dxf>
    <dxf>
      <font>
        <color rgb="FF991B1B"/>
      </font>
      <fill>
        <patternFill patternType="solid">
          <bgColor rgb="FFFECACA"/>
        </patternFill>
      </fill>
    </dxf>
    <dxf>
      <font>
        <color rgb="FF991B1B"/>
      </font>
      <fill>
        <patternFill patternType="solid">
          <bgColor rgb="FFFECA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title>
      <c:tx>
        <c:rich>
          <a:bodyPr/>
          <a:lstStyle/>
          <a:p>
            <a:r>
              <a:t>Brutto, Netto und Arbeitgeberkosten 2026</a:t>
            </a:r>
          </a:p>
        </c:rich>
      </c:tx>
      <c:overlay val="0"/>
    </c:title>
    <c:autoTitleDeleted val="0"/>
    <c:plotArea>
      <c:layout/>
      <c:lineChart>
        <c:grouping val="standard"/>
        <c:varyColors val="1"/>
        <c:ser>
          <c:idx val="0"/>
          <c:order val="0"/>
          <c:tx>
            <c:v>Brutto</c:v>
          </c:tx>
          <c:cat>
            <c:strRef>
              <c:f>Auswertung!$A$11:$A$22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Auswertung!$B$11:$B$22</c:f>
              <c:numCache>
                <c:formatCode>General</c:formatCode>
                <c:ptCount val="12"/>
                <c:pt idx="0">
                  <c:v>406</c:v>
                </c:pt>
                <c:pt idx="1">
                  <c:v>435</c:v>
                </c:pt>
                <c:pt idx="2">
                  <c:v>480</c:v>
                </c:pt>
                <c:pt idx="3">
                  <c:v>574</c:v>
                </c:pt>
                <c:pt idx="4">
                  <c:v>597.70000000000005</c:v>
                </c:pt>
                <c:pt idx="5">
                  <c:v>320</c:v>
                </c:pt>
                <c:pt idx="6">
                  <c:v>589.6</c:v>
                </c:pt>
                <c:pt idx="7">
                  <c:v>0</c:v>
                </c:pt>
                <c:pt idx="8">
                  <c:v>527</c:v>
                </c:pt>
                <c:pt idx="9">
                  <c:v>616</c:v>
                </c:pt>
                <c:pt idx="10">
                  <c:v>540</c:v>
                </c:pt>
                <c:pt idx="11">
                  <c:v>535</c:v>
                </c:pt>
              </c:numCache>
            </c:numRef>
          </c:val>
          <c:smooth val="0"/>
          <c:extLst>
            <c:ext xmlns:c16="http://schemas.microsoft.com/office/drawing/2014/chart" uri="{C3380CC4-5D6E-409C-BE32-E72D297353CC}">
              <c16:uniqueId val="{00000000-2111-4733-A9AB-DB00D5B814A3}"/>
            </c:ext>
          </c:extLst>
        </c:ser>
        <c:ser>
          <c:idx val="1"/>
          <c:order val="1"/>
          <c:tx>
            <c:v>Netto</c:v>
          </c:tx>
          <c:cat>
            <c:strRef>
              <c:f>Auswertung!$A$11:$A$22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Auswertung!$C$11:$C$22</c:f>
              <c:numCache>
                <c:formatCode>General</c:formatCode>
                <c:ptCount val="12"/>
                <c:pt idx="0">
                  <c:v>406</c:v>
                </c:pt>
                <c:pt idx="1">
                  <c:v>435</c:v>
                </c:pt>
                <c:pt idx="2">
                  <c:v>462.72</c:v>
                </c:pt>
                <c:pt idx="3">
                  <c:v>574</c:v>
                </c:pt>
                <c:pt idx="4">
                  <c:v>597.70000000000005</c:v>
                </c:pt>
                <c:pt idx="5">
                  <c:v>308.48</c:v>
                </c:pt>
                <c:pt idx="6">
                  <c:v>568.37</c:v>
                </c:pt>
                <c:pt idx="7">
                  <c:v>0</c:v>
                </c:pt>
                <c:pt idx="8">
                  <c:v>527</c:v>
                </c:pt>
                <c:pt idx="9">
                  <c:v>616</c:v>
                </c:pt>
                <c:pt idx="10">
                  <c:v>540</c:v>
                </c:pt>
                <c:pt idx="11">
                  <c:v>535</c:v>
                </c:pt>
              </c:numCache>
            </c:numRef>
          </c:val>
          <c:smooth val="0"/>
          <c:extLst>
            <c:ext xmlns:c16="http://schemas.microsoft.com/office/drawing/2014/chart" uri="{C3380CC4-5D6E-409C-BE32-E72D297353CC}">
              <c16:uniqueId val="{00000001-2111-4733-A9AB-DB00D5B814A3}"/>
            </c:ext>
          </c:extLst>
        </c:ser>
        <c:ser>
          <c:idx val="2"/>
          <c:order val="2"/>
          <c:tx>
            <c:v>Arbeitgeberkosten</c:v>
          </c:tx>
          <c:cat>
            <c:strRef>
              <c:f>Auswertung!$A$11:$A$22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Auswertung!$D$11:$D$22</c:f>
              <c:numCache>
                <c:formatCode>General</c:formatCode>
                <c:ptCount val="12"/>
                <c:pt idx="0">
                  <c:v>537.83000000000004</c:v>
                </c:pt>
                <c:pt idx="1">
                  <c:v>576.25</c:v>
                </c:pt>
                <c:pt idx="2">
                  <c:v>635.86</c:v>
                </c:pt>
                <c:pt idx="3">
                  <c:v>760.37</c:v>
                </c:pt>
                <c:pt idx="4">
                  <c:v>791.77</c:v>
                </c:pt>
                <c:pt idx="5">
                  <c:v>423.9</c:v>
                </c:pt>
                <c:pt idx="6">
                  <c:v>781.04</c:v>
                </c:pt>
                <c:pt idx="7">
                  <c:v>0</c:v>
                </c:pt>
                <c:pt idx="8">
                  <c:v>698.12</c:v>
                </c:pt>
                <c:pt idx="9">
                  <c:v>816.02</c:v>
                </c:pt>
                <c:pt idx="10">
                  <c:v>715.34</c:v>
                </c:pt>
                <c:pt idx="11">
                  <c:v>708.72</c:v>
                </c:pt>
              </c:numCache>
            </c:numRef>
          </c:val>
          <c:smooth val="0"/>
          <c:extLst>
            <c:ext xmlns:c16="http://schemas.microsoft.com/office/drawing/2014/chart" uri="{C3380CC4-5D6E-409C-BE32-E72D297353CC}">
              <c16:uniqueId val="{00000002-2111-4733-A9AB-DB00D5B814A3}"/>
            </c:ext>
          </c:extLst>
        </c:ser>
        <c:dLbls>
          <c:showLegendKey val="0"/>
          <c:showVal val="0"/>
          <c:showCatName val="0"/>
          <c:showSerName val="0"/>
          <c:showPercent val="0"/>
          <c:showBubbleSize val="0"/>
        </c:dLbls>
        <c:marker val="1"/>
        <c:smooth val="0"/>
        <c:axId val="48650112"/>
        <c:axId val="48672768"/>
      </c:line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General" sourceLinked="1"/>
        <c:majorTickMark val="none"/>
        <c:minorTickMark val="none"/>
        <c:tickLblPos val="nextTo"/>
        <c:crossAx val="48650112"/>
        <c:crosses val="autoZero"/>
        <c:crossBetween val="between"/>
      </c:valAx>
    </c:plotArea>
    <c:legend>
      <c:legendPos val="b"/>
      <c:overlay val="0"/>
    </c:legend>
    <c:plotVisOnly val="1"/>
    <c:dispBlanksAs val="zero"/>
    <c:showDLblsOverMax val="1"/>
  </c:chart>
  <c:spPr>
    <a:ln w="9525">
      <a:solidFill>
        <a:srgbClr val="D9D9D9"/>
      </a:solidFill>
      <a:prstDash val="solid"/>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0</xdr:colOff>
      <xdr:row>3</xdr:row>
      <xdr:rowOff>0</xdr:rowOff>
    </xdr:from>
    <xdr:to>
      <xdr:col>14</xdr:col>
      <xdr:colOff>0</xdr:colOff>
      <xdr:row>20</xdr:row>
      <xdr:rowOff>0</xdr:rowOff>
    </xdr:to>
    <xdr:graphicFrame macro="">
      <xdr:nvGraphicFramePr>
        <xdr:cNvPr id="2" name="Chart">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inijobJahr2026" displayName="MinijobJahr2026" ref="A4:Z18">
  <tableColumns count="26">
    <tableColumn id="1" xr3:uid="{00000000-0010-0000-0000-000001000000}" name="Monat"/>
    <tableColumn id="2" xr3:uid="{00000000-0010-0000-0000-000002000000}" name="Beginn"/>
    <tableColumn id="3" xr3:uid="{00000000-0010-0000-0000-000003000000}" name="Ende"/>
    <tableColumn id="4" xr3:uid="{00000000-0010-0000-0000-000004000000}" name="Stunden"/>
    <tableColumn id="5" xr3:uid="{00000000-0010-0000-0000-000005000000}" name="Stundenlohn"/>
    <tableColumn id="6" xr3:uid="{00000000-0010-0000-0000-000006000000}" name="Lohn"/>
    <tableColumn id="7" xr3:uid="{00000000-0010-0000-0000-000007000000}" name="Sonderzahlung"/>
    <tableColumn id="8" xr3:uid="{00000000-0010-0000-0000-000008000000}" name="Brutto"/>
    <tableColumn id="9" xr3:uid="{00000000-0010-0000-0000-000009000000}" name="RV-Status"/>
    <tableColumn id="10" xr3:uid="{00000000-0010-0000-0000-00000A000000}" name="AN-RV"/>
    <tableColumn id="11" xr3:uid="{00000000-0010-0000-0000-00000B000000}" name="Sonst. Abzüge"/>
    <tableColumn id="12" xr3:uid="{00000000-0010-0000-0000-00000C000000}" name="Netto"/>
    <tableColumn id="13" xr3:uid="{00000000-0010-0000-0000-00000D000000}" name="AG-KV"/>
    <tableColumn id="14" xr3:uid="{00000000-0010-0000-0000-00000E000000}" name="AG-RV"/>
    <tableColumn id="15" xr3:uid="{00000000-0010-0000-0000-00000F000000}" name="Pauschsteuer"/>
    <tableColumn id="16" xr3:uid="{00000000-0010-0000-0000-000010000000}" name="U1"/>
    <tableColumn id="17" xr3:uid="{00000000-0010-0000-0000-000011000000}" name="U2"/>
    <tableColumn id="18" xr3:uid="{00000000-0010-0000-0000-000012000000}" name="Insolvenz"/>
    <tableColumn id="19" xr3:uid="{00000000-0010-0000-0000-000013000000}" name="Abgaben gesamt"/>
    <tableColumn id="20" xr3:uid="{00000000-0010-0000-0000-000014000000}" name="Unfallversicherung"/>
    <tableColumn id="21" xr3:uid="{00000000-0010-0000-0000-000015000000}" name="Arbeitgeberkosten"/>
    <tableColumn id="22" xr3:uid="{00000000-0010-0000-0000-000016000000}" name="Minijob-Grenze"/>
    <tableColumn id="23" xr3:uid="{00000000-0010-0000-0000-000017000000}" name="Mindestlohn"/>
    <tableColumn id="24" xr3:uid="{00000000-0010-0000-0000-000018000000}" name="Status"/>
    <tableColumn id="25" xr3:uid="{00000000-0010-0000-0000-000019000000}" name="Auszahlungsdatum"/>
    <tableColumn id="26" xr3:uid="{00000000-0010-0000-0000-00001A000000}" name="Bemerkung"/>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Auswertung2026" displayName="Auswertung2026" ref="A10:F22">
  <tableColumns count="6">
    <tableColumn id="1" xr3:uid="{00000000-0010-0000-0100-000001000000}" name="Monat"/>
    <tableColumn id="2" xr3:uid="{00000000-0010-0000-0100-000002000000}" name="Brutto"/>
    <tableColumn id="3" xr3:uid="{00000000-0010-0000-0100-000003000000}" name="Netto"/>
    <tableColumn id="4" xr3:uid="{00000000-0010-0000-0100-000004000000}" name="Arbeitgeberkosten"/>
    <tableColumn id="5" xr3:uid="{00000000-0010-0000-0100-000005000000}" name="Status"/>
    <tableColumn id="6" xr3:uid="{00000000-0010-0000-0100-000006000000}" name="Rest zur Grenze"/>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2"/>
  <sheetViews>
    <sheetView tabSelected="1" workbookViewId="0">
      <selection activeCell="G16" sqref="G16"/>
    </sheetView>
  </sheetViews>
  <sheetFormatPr baseColWidth="10" defaultColWidth="9" defaultRowHeight="15" x14ac:dyDescent="0.25"/>
  <cols>
    <col min="1" max="1" width="21.75" bestFit="1" customWidth="1"/>
    <col min="2" max="2" width="9.875" bestFit="1" customWidth="1"/>
    <col min="3" max="3" width="13.25" bestFit="1" customWidth="1"/>
    <col min="4" max="4" width="17.5" bestFit="1" customWidth="1"/>
    <col min="5" max="6" width="17.125" bestFit="1" customWidth="1"/>
    <col min="7" max="24" width="9" style="114"/>
  </cols>
  <sheetData>
    <row r="1" spans="1:6" ht="30" customHeight="1" x14ac:dyDescent="0.25">
      <c r="A1" s="122" t="s">
        <v>200</v>
      </c>
      <c r="B1" s="122"/>
      <c r="C1" s="122"/>
      <c r="D1" s="122"/>
      <c r="E1" s="122"/>
      <c r="F1" s="122"/>
    </row>
    <row r="2" spans="1:6" s="114" customFormat="1" x14ac:dyDescent="0.25">
      <c r="A2" s="115"/>
      <c r="B2" s="115"/>
      <c r="C2" s="115"/>
      <c r="D2" s="115"/>
      <c r="E2" s="115"/>
      <c r="F2" s="115"/>
    </row>
    <row r="3" spans="1:6" x14ac:dyDescent="0.25">
      <c r="A3" s="13" t="s">
        <v>160</v>
      </c>
      <c r="B3" s="38" t="str">
        <f>Stammdaten!$B$6</f>
        <v>März</v>
      </c>
      <c r="C3" s="27"/>
      <c r="D3" s="13" t="s">
        <v>9</v>
      </c>
      <c r="E3" s="80" t="str">
        <f>Stammdaten!$B$5</f>
        <v>Gewerblich</v>
      </c>
      <c r="F3" s="81"/>
    </row>
    <row r="4" spans="1:6" s="114" customFormat="1" x14ac:dyDescent="0.25">
      <c r="A4" s="115"/>
      <c r="B4" s="115"/>
      <c r="C4" s="115"/>
      <c r="D4" s="115"/>
      <c r="E4" s="115"/>
      <c r="F4" s="115"/>
    </row>
    <row r="5" spans="1:6" x14ac:dyDescent="0.25">
      <c r="A5" s="104" t="s">
        <v>24</v>
      </c>
      <c r="B5" s="104"/>
      <c r="C5" s="104"/>
      <c r="D5" s="104" t="s">
        <v>43</v>
      </c>
      <c r="E5" s="104"/>
      <c r="F5" s="104"/>
    </row>
    <row r="6" spans="1:6" x14ac:dyDescent="0.25">
      <c r="A6" s="13" t="s">
        <v>26</v>
      </c>
      <c r="B6" s="105" t="str">
        <f>Stammdaten!$B$10</f>
        <v>Musterbetrieb Nordlicht GmbH</v>
      </c>
      <c r="C6" s="106"/>
      <c r="D6" s="13" t="s">
        <v>45</v>
      </c>
      <c r="E6" s="105" t="str">
        <f>Stammdaten!$B$17</f>
        <v>Lea Beispiel</v>
      </c>
      <c r="F6" s="106"/>
    </row>
    <row r="7" spans="1:6" x14ac:dyDescent="0.25">
      <c r="A7" s="13" t="s">
        <v>29</v>
      </c>
      <c r="B7" s="107" t="str">
        <f>Stammdaten!$B$11</f>
        <v>Hafenstraße 18, 28195 Bremen</v>
      </c>
      <c r="C7" s="108"/>
      <c r="D7" s="13" t="s">
        <v>29</v>
      </c>
      <c r="E7" s="107" t="str">
        <f>Stammdaten!$B$18</f>
        <v>Parkallee 7, 30159 Hannover</v>
      </c>
      <c r="F7" s="108"/>
    </row>
    <row r="8" spans="1:6" x14ac:dyDescent="0.25">
      <c r="A8" s="13" t="s">
        <v>32</v>
      </c>
      <c r="B8" s="107" t="str">
        <f>Stammdaten!$B$12</f>
        <v>12345678</v>
      </c>
      <c r="C8" s="108"/>
      <c r="D8" s="13" t="s">
        <v>49</v>
      </c>
      <c r="E8" s="107" t="str">
        <f>Stammdaten!$B$19</f>
        <v>MJ-2026-001</v>
      </c>
      <c r="F8" s="108"/>
    </row>
    <row r="9" spans="1:6" x14ac:dyDescent="0.25">
      <c r="A9" s="13" t="s">
        <v>35</v>
      </c>
      <c r="B9" s="107" t="str">
        <f>Stammdaten!$B$13</f>
        <v>Mara Schneider</v>
      </c>
      <c r="C9" s="108"/>
      <c r="D9" s="13" t="s">
        <v>51</v>
      </c>
      <c r="E9" s="111" t="s">
        <v>101</v>
      </c>
      <c r="F9" s="108"/>
    </row>
    <row r="10" spans="1:6" x14ac:dyDescent="0.25">
      <c r="A10" s="13" t="s">
        <v>38</v>
      </c>
      <c r="B10" s="109" t="str">
        <f>Stammdaten!$B$14</f>
        <v>Überweisung</v>
      </c>
      <c r="C10" s="110"/>
      <c r="D10" s="13" t="s">
        <v>52</v>
      </c>
      <c r="E10" s="107" t="str">
        <f>Stammdaten!$B$21</f>
        <v>Minijob mit Verdienstgrenze</v>
      </c>
      <c r="F10" s="108"/>
    </row>
    <row r="11" spans="1:6" s="114" customFormat="1" x14ac:dyDescent="0.25">
      <c r="A11" s="115"/>
      <c r="B11" s="115"/>
      <c r="C11" s="115"/>
      <c r="D11" s="116" t="s">
        <v>54</v>
      </c>
      <c r="E11" s="117" t="str">
        <f>Stammdaten!$B$22</f>
        <v>Einheitliche Pauschsteuer</v>
      </c>
      <c r="F11" s="118"/>
    </row>
    <row r="12" spans="1:6" s="114" customFormat="1" x14ac:dyDescent="0.25">
      <c r="A12" s="115"/>
      <c r="B12" s="115"/>
      <c r="C12" s="115"/>
      <c r="D12" s="115"/>
      <c r="E12" s="115"/>
      <c r="F12" s="115"/>
    </row>
    <row r="13" spans="1:6" x14ac:dyDescent="0.25">
      <c r="A13" s="104" t="s">
        <v>161</v>
      </c>
      <c r="B13" s="104"/>
      <c r="C13" s="104"/>
      <c r="D13" s="104"/>
      <c r="E13" s="104"/>
      <c r="F13" s="104"/>
    </row>
    <row r="14" spans="1:6" x14ac:dyDescent="0.25">
      <c r="A14" s="13" t="s">
        <v>162</v>
      </c>
      <c r="B14" s="82" t="str">
        <f>INDEX(Jahresuebersicht!$B$5:$B$16,MATCH($B$3,Jahresuebersicht!$A$5:$A$16,0))</f>
        <v>01.03.2026</v>
      </c>
      <c r="C14" s="83" t="s">
        <v>163</v>
      </c>
      <c r="D14" s="84" t="str">
        <f>INDEX(Jahresuebersicht!$C$5:$C$16,MATCH($B$3,Jahresuebersicht!$A$5:$A$16,0))</f>
        <v>31.03.2026</v>
      </c>
      <c r="E14" s="83" t="s">
        <v>164</v>
      </c>
      <c r="F14" s="85" t="str">
        <f>INDEX(Jahresuebersicht!$Y$5:$Y$16,MATCH($B$3,Jahresuebersicht!$A$5:$A$16,0))</f>
        <v>05.04.2026</v>
      </c>
    </row>
    <row r="15" spans="1:6" x14ac:dyDescent="0.25">
      <c r="A15" s="13" t="s">
        <v>86</v>
      </c>
      <c r="B15" s="57" t="str">
        <f>INDEX(Jahresuebersicht!$I$5:$I$16,MATCH($B$3,Jahresuebersicht!$A$5:$A$16,0))</f>
        <v>RV-pflichtig</v>
      </c>
      <c r="C15" s="86" t="s">
        <v>16</v>
      </c>
      <c r="D15" s="58" t="str">
        <f>INDEX(Jahresuebersicht!$V$5:$V$16,MATCH($B$3,Jahresuebersicht!$A$5:$A$16,0))</f>
        <v>OK</v>
      </c>
      <c r="E15" s="86" t="s">
        <v>165</v>
      </c>
      <c r="F15" s="59" t="str">
        <f>INDEX(Jahresuebersicht!$W$5:$W$16,MATCH($B$3,Jahresuebersicht!$A$5:$A$16,0))</f>
        <v>OK</v>
      </c>
    </row>
    <row r="16" spans="1:6" x14ac:dyDescent="0.25">
      <c r="A16" s="13" t="s">
        <v>166</v>
      </c>
      <c r="B16" s="107" t="str">
        <f>INDEX(Jahresuebersicht!$X$5:$X$16,MATCH($B$3,Jahresuebersicht!$A$5:$A$16,0))</f>
        <v>OK</v>
      </c>
      <c r="C16" s="112"/>
      <c r="D16" s="112"/>
      <c r="E16" s="112"/>
      <c r="F16" s="108"/>
    </row>
    <row r="17" spans="1:6" x14ac:dyDescent="0.25">
      <c r="A17" s="13" t="s">
        <v>99</v>
      </c>
      <c r="B17" s="109" t="str">
        <f>INDEX(Jahresuebersicht!$Z$5:$Z$16,MATCH($B$3,Jahresuebersicht!$A$5:$A$16,0))</f>
        <v>RV-pflichtig als Beispiel</v>
      </c>
      <c r="C17" s="113"/>
      <c r="D17" s="113"/>
      <c r="E17" s="113"/>
      <c r="F17" s="110"/>
    </row>
    <row r="18" spans="1:6" s="114" customFormat="1" x14ac:dyDescent="0.25">
      <c r="A18" s="115"/>
      <c r="B18" s="115"/>
      <c r="C18" s="115"/>
      <c r="D18" s="115"/>
      <c r="E18" s="115"/>
      <c r="F18" s="115"/>
    </row>
    <row r="19" spans="1:6" x14ac:dyDescent="0.25">
      <c r="A19" s="104" t="s">
        <v>167</v>
      </c>
      <c r="B19" s="104"/>
      <c r="C19" s="104"/>
      <c r="D19" s="104"/>
      <c r="E19" s="104"/>
      <c r="F19" s="104"/>
    </row>
    <row r="20" spans="1:6" x14ac:dyDescent="0.25">
      <c r="A20" s="121" t="s">
        <v>168</v>
      </c>
      <c r="B20" s="121" t="s">
        <v>169</v>
      </c>
      <c r="C20" s="121" t="s">
        <v>170</v>
      </c>
      <c r="D20" s="121" t="s">
        <v>171</v>
      </c>
      <c r="E20" s="121" t="s">
        <v>172</v>
      </c>
      <c r="F20" s="121"/>
    </row>
    <row r="21" spans="1:6" ht="30" x14ac:dyDescent="0.25">
      <c r="A21" s="13" t="s">
        <v>173</v>
      </c>
      <c r="B21" s="87">
        <f>INDEX(Jahresuebersicht!$D$5:$D$16,MATCH($B$3,Jahresuebersicht!$A$5:$A$16,0))</f>
        <v>32</v>
      </c>
      <c r="C21" s="46">
        <f>INDEX(Jahresuebersicht!$E$5:$E$16,MATCH($B$3,Jahresuebersicht!$A$5:$A$16,0))</f>
        <v>15</v>
      </c>
      <c r="D21" s="47">
        <f>INDEX(Jahresuebersicht!$F$5:$F$16,MATCH($B$3,Jahresuebersicht!$A$5:$A$16,0))</f>
        <v>480</v>
      </c>
      <c r="E21" s="5" t="s">
        <v>174</v>
      </c>
      <c r="F21" s="119"/>
    </row>
    <row r="22" spans="1:6" ht="30" x14ac:dyDescent="0.25">
      <c r="A22" s="13" t="s">
        <v>175</v>
      </c>
      <c r="B22" s="57"/>
      <c r="C22" s="49"/>
      <c r="D22" s="50">
        <f>INDEX(Jahresuebersicht!$G$5:$G$16,MATCH($B$3,Jahresuebersicht!$A$5:$A$16,0))</f>
        <v>0</v>
      </c>
      <c r="E22" s="5" t="s">
        <v>176</v>
      </c>
      <c r="F22" s="119"/>
    </row>
    <row r="23" spans="1:6" x14ac:dyDescent="0.25">
      <c r="A23" s="88" t="s">
        <v>177</v>
      </c>
      <c r="B23" s="89"/>
      <c r="C23" s="90"/>
      <c r="D23" s="91">
        <f>INDEX(Jahresuebersicht!$H$5:$H$16,MATCH($B$3,Jahresuebersicht!$A$5:$A$16,0))</f>
        <v>480</v>
      </c>
      <c r="E23" s="78"/>
      <c r="F23" s="78"/>
    </row>
    <row r="24" spans="1:6" ht="30" x14ac:dyDescent="0.25">
      <c r="A24" s="13" t="s">
        <v>178</v>
      </c>
      <c r="B24" s="57"/>
      <c r="C24" s="49"/>
      <c r="D24" s="50">
        <f>-INDEX(Jahresuebersicht!$J$5:$J$16,MATCH($B$3,Jahresuebersicht!$A$5:$A$16,0))</f>
        <v>-17.28</v>
      </c>
      <c r="E24" s="5" t="s">
        <v>62</v>
      </c>
      <c r="F24" s="119"/>
    </row>
    <row r="25" spans="1:6" ht="30" x14ac:dyDescent="0.25">
      <c r="A25" s="13" t="s">
        <v>179</v>
      </c>
      <c r="B25" s="57"/>
      <c r="C25" s="49"/>
      <c r="D25" s="50">
        <f>-INDEX(Jahresuebersicht!$K$5:$K$16,MATCH($B$3,Jahresuebersicht!$A$5:$A$16,0))</f>
        <v>0</v>
      </c>
      <c r="E25" s="5" t="s">
        <v>180</v>
      </c>
      <c r="F25" s="119"/>
    </row>
    <row r="26" spans="1:6" x14ac:dyDescent="0.25">
      <c r="A26" s="79" t="s">
        <v>181</v>
      </c>
      <c r="B26" s="92"/>
      <c r="C26" s="93"/>
      <c r="D26" s="94">
        <f>INDEX(Jahresuebersicht!$L$5:$L$16,MATCH($B$3,Jahresuebersicht!$A$5:$A$16,0))</f>
        <v>462.72</v>
      </c>
      <c r="E26" s="79"/>
      <c r="F26" s="79"/>
    </row>
    <row r="27" spans="1:6" s="114" customFormat="1" x14ac:dyDescent="0.25">
      <c r="A27" s="115"/>
      <c r="B27" s="115"/>
      <c r="C27" s="115"/>
      <c r="D27" s="115"/>
      <c r="E27" s="115"/>
      <c r="F27" s="115"/>
    </row>
    <row r="28" spans="1:6" x14ac:dyDescent="0.25">
      <c r="A28" s="104" t="s">
        <v>182</v>
      </c>
      <c r="B28" s="104"/>
      <c r="C28" s="104"/>
      <c r="D28" s="104"/>
      <c r="E28" s="104"/>
      <c r="F28" s="104"/>
    </row>
    <row r="29" spans="1:6" x14ac:dyDescent="0.25">
      <c r="A29" s="12" t="s">
        <v>168</v>
      </c>
      <c r="B29" s="12" t="s">
        <v>183</v>
      </c>
      <c r="C29" s="12" t="s">
        <v>184</v>
      </c>
      <c r="D29" s="12" t="s">
        <v>168</v>
      </c>
      <c r="E29" s="12" t="s">
        <v>183</v>
      </c>
      <c r="F29" s="12" t="s">
        <v>184</v>
      </c>
    </row>
    <row r="30" spans="1:6" x14ac:dyDescent="0.25">
      <c r="A30" s="13" t="s">
        <v>21</v>
      </c>
      <c r="B30" s="42">
        <f>INDEX(Jahresuebersicht!$M$5:$M$16,MATCH($B$3,Jahresuebersicht!$A$5:$A$16,0))</f>
        <v>62.4</v>
      </c>
      <c r="C30" s="27" t="s">
        <v>185</v>
      </c>
      <c r="D30" s="13" t="s">
        <v>31</v>
      </c>
      <c r="E30" s="42">
        <f>INDEX(Jahresuebersicht!$P$5:$P$16,MATCH($B$3,Jahresuebersicht!$A$5:$A$16,0))</f>
        <v>3.84</v>
      </c>
      <c r="F30" s="27" t="s">
        <v>185</v>
      </c>
    </row>
    <row r="31" spans="1:6" x14ac:dyDescent="0.25">
      <c r="A31" s="13" t="s">
        <v>23</v>
      </c>
      <c r="B31" s="43">
        <f>INDEX(Jahresuebersicht!$N$5:$N$16,MATCH($B$3,Jahresuebersicht!$A$5:$A$16,0))</f>
        <v>72</v>
      </c>
      <c r="C31" s="27" t="s">
        <v>185</v>
      </c>
      <c r="D31" s="13" t="s">
        <v>34</v>
      </c>
      <c r="E31" s="43">
        <f>INDEX(Jahresuebersicht!$Q$5:$Q$16,MATCH($B$3,Jahresuebersicht!$A$5:$A$16,0))</f>
        <v>1.06</v>
      </c>
      <c r="F31" s="27" t="s">
        <v>185</v>
      </c>
    </row>
    <row r="32" spans="1:6" x14ac:dyDescent="0.25">
      <c r="A32" s="13" t="s">
        <v>28</v>
      </c>
      <c r="B32" s="43">
        <f>INDEX(Jahresuebersicht!$O$5:$O$16,MATCH($B$3,Jahresuebersicht!$A$5:$A$16,0))</f>
        <v>9.6</v>
      </c>
      <c r="C32" s="27" t="s">
        <v>185</v>
      </c>
      <c r="D32" s="13" t="s">
        <v>37</v>
      </c>
      <c r="E32" s="43">
        <f>INDEX(Jahresuebersicht!$R$5:$R$16,MATCH($B$3,Jahresuebersicht!$A$5:$A$16,0))</f>
        <v>0.72</v>
      </c>
      <c r="F32" s="27" t="s">
        <v>185</v>
      </c>
    </row>
    <row r="33" spans="1:6" x14ac:dyDescent="0.25">
      <c r="A33" s="13" t="s">
        <v>40</v>
      </c>
      <c r="B33" s="44">
        <f>INDEX(Jahresuebersicht!$T$5:$T$16,MATCH($B$3,Jahresuebersicht!$A$5:$A$16,0))</f>
        <v>6.24</v>
      </c>
      <c r="C33" s="27" t="s">
        <v>186</v>
      </c>
      <c r="D33" s="13" t="s">
        <v>187</v>
      </c>
      <c r="E33" s="95">
        <f>INDEX(Jahresuebersicht!$U$5:$U$16,MATCH($B$3,Jahresuebersicht!$A$5:$A$16,0))</f>
        <v>635.86</v>
      </c>
      <c r="F33" s="27" t="s">
        <v>188</v>
      </c>
    </row>
    <row r="34" spans="1:6" s="114" customFormat="1" x14ac:dyDescent="0.25">
      <c r="A34" s="115"/>
      <c r="B34" s="115"/>
      <c r="C34" s="115"/>
      <c r="D34" s="115"/>
      <c r="E34" s="115"/>
      <c r="F34" s="115"/>
    </row>
    <row r="35" spans="1:6" s="114" customFormat="1" x14ac:dyDescent="0.25">
      <c r="A35" s="115"/>
      <c r="B35" s="115"/>
      <c r="C35" s="115"/>
      <c r="D35" s="115"/>
      <c r="E35" s="115"/>
      <c r="F35" s="115"/>
    </row>
    <row r="36" spans="1:6" x14ac:dyDescent="0.25">
      <c r="A36" s="120" t="s">
        <v>189</v>
      </c>
      <c r="B36" s="120"/>
      <c r="C36" s="120"/>
      <c r="D36" s="120"/>
      <c r="E36" s="120"/>
      <c r="F36" s="120"/>
    </row>
    <row r="37" spans="1:6" x14ac:dyDescent="0.25">
      <c r="A37" s="120"/>
      <c r="B37" s="120"/>
      <c r="C37" s="120"/>
      <c r="D37" s="120"/>
      <c r="E37" s="120"/>
      <c r="F37" s="120"/>
    </row>
    <row r="38" spans="1:6" x14ac:dyDescent="0.25">
      <c r="A38" s="120"/>
      <c r="B38" s="120"/>
      <c r="C38" s="120"/>
      <c r="D38" s="120"/>
      <c r="E38" s="120"/>
      <c r="F38" s="120"/>
    </row>
    <row r="39" spans="1:6" x14ac:dyDescent="0.25">
      <c r="A39" s="120"/>
      <c r="B39" s="120"/>
      <c r="C39" s="120"/>
      <c r="D39" s="120"/>
      <c r="E39" s="120"/>
      <c r="F39" s="120"/>
    </row>
    <row r="40" spans="1:6" s="114" customFormat="1" x14ac:dyDescent="0.25"/>
    <row r="41" spans="1:6" s="114" customFormat="1" x14ac:dyDescent="0.25"/>
    <row r="42" spans="1:6" s="114" customFormat="1" x14ac:dyDescent="0.25"/>
    <row r="43" spans="1:6" s="114" customFormat="1" x14ac:dyDescent="0.25"/>
    <row r="44" spans="1:6" s="114" customFormat="1" x14ac:dyDescent="0.25"/>
    <row r="45" spans="1:6" s="114" customFormat="1" x14ac:dyDescent="0.25"/>
    <row r="46" spans="1:6" s="114" customFormat="1" x14ac:dyDescent="0.25"/>
    <row r="47" spans="1:6" s="114" customFormat="1" x14ac:dyDescent="0.25"/>
    <row r="48" spans="1:6" s="114" customFormat="1" x14ac:dyDescent="0.25"/>
    <row r="49" s="114" customFormat="1" x14ac:dyDescent="0.25"/>
    <row r="50" s="114" customFormat="1" x14ac:dyDescent="0.25"/>
    <row r="51" s="114" customFormat="1" x14ac:dyDescent="0.25"/>
    <row r="52" s="114" customFormat="1" x14ac:dyDescent="0.25"/>
  </sheetData>
  <mergeCells count="20">
    <mergeCell ref="A28:F28"/>
    <mergeCell ref="A36:F39"/>
    <mergeCell ref="E11:F11"/>
    <mergeCell ref="A13:F13"/>
    <mergeCell ref="B16:F16"/>
    <mergeCell ref="B17:F17"/>
    <mergeCell ref="A19:F19"/>
    <mergeCell ref="B9:C9"/>
    <mergeCell ref="B10:C10"/>
    <mergeCell ref="D5:F5"/>
    <mergeCell ref="E6:F6"/>
    <mergeCell ref="E7:F7"/>
    <mergeCell ref="E8:F8"/>
    <mergeCell ref="E9:F9"/>
    <mergeCell ref="E10:F10"/>
    <mergeCell ref="A1:F1"/>
    <mergeCell ref="A5:C5"/>
    <mergeCell ref="B6:C6"/>
    <mergeCell ref="B7:C7"/>
    <mergeCell ref="B8:C8"/>
  </mergeCells>
  <conditionalFormatting sqref="B16">
    <cfRule type="expression" dxfId="4" priority="1">
      <formula>B16="Prüfen"</formula>
    </cfRule>
    <cfRule type="expression" dxfId="3" priority="2">
      <formula>B16="OK"</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workbookViewId="0"/>
  </sheetViews>
  <sheetFormatPr baseColWidth="10" defaultColWidth="9" defaultRowHeight="15" x14ac:dyDescent="0.25"/>
  <cols>
    <col min="1" max="1" width="25" customWidth="1"/>
    <col min="2" max="2" width="24" customWidth="1"/>
    <col min="3" max="3" width="32" customWidth="1"/>
    <col min="5" max="5" width="26" customWidth="1"/>
    <col min="6" max="7" width="16" customWidth="1"/>
    <col min="8" max="8" width="20" customWidth="1"/>
  </cols>
  <sheetData>
    <row r="1" spans="1:8" ht="27.95" customHeight="1" x14ac:dyDescent="0.25">
      <c r="A1" s="101" t="s">
        <v>0</v>
      </c>
      <c r="B1" s="101"/>
      <c r="C1" s="101"/>
      <c r="D1" s="101"/>
      <c r="E1" s="101"/>
      <c r="F1" s="101"/>
      <c r="G1" s="101"/>
      <c r="H1" s="101"/>
    </row>
    <row r="3" spans="1:8" x14ac:dyDescent="0.25">
      <c r="A3" s="102" t="s">
        <v>1</v>
      </c>
      <c r="B3" s="102"/>
      <c r="C3" s="102"/>
      <c r="E3" s="102" t="s">
        <v>2</v>
      </c>
      <c r="F3" s="102"/>
      <c r="G3" s="102"/>
      <c r="H3" s="102"/>
    </row>
    <row r="4" spans="1:8" ht="30" x14ac:dyDescent="0.25">
      <c r="A4" s="1" t="s">
        <v>3</v>
      </c>
      <c r="B4" s="2">
        <v>2026</v>
      </c>
      <c r="C4" s="5" t="s">
        <v>4</v>
      </c>
      <c r="E4" s="12" t="s">
        <v>5</v>
      </c>
      <c r="F4" s="12" t="s">
        <v>6</v>
      </c>
      <c r="G4" s="12" t="s">
        <v>7</v>
      </c>
      <c r="H4" s="12" t="s">
        <v>8</v>
      </c>
    </row>
    <row r="5" spans="1:8" x14ac:dyDescent="0.25">
      <c r="A5" s="1" t="s">
        <v>9</v>
      </c>
      <c r="B5" s="3" t="s">
        <v>6</v>
      </c>
      <c r="C5" s="5" t="s">
        <v>10</v>
      </c>
      <c r="E5" s="13" t="s">
        <v>11</v>
      </c>
      <c r="F5" s="15">
        <v>13.9</v>
      </c>
      <c r="G5" s="16">
        <v>13.9</v>
      </c>
      <c r="H5" s="5" t="s">
        <v>12</v>
      </c>
    </row>
    <row r="6" spans="1:8" x14ac:dyDescent="0.25">
      <c r="A6" s="1" t="s">
        <v>13</v>
      </c>
      <c r="B6" s="3" t="s">
        <v>14</v>
      </c>
      <c r="C6" s="5" t="s">
        <v>15</v>
      </c>
      <c r="E6" s="13" t="s">
        <v>16</v>
      </c>
      <c r="F6" s="17">
        <v>603</v>
      </c>
      <c r="G6" s="18">
        <v>603</v>
      </c>
      <c r="H6" s="5" t="s">
        <v>17</v>
      </c>
    </row>
    <row r="7" spans="1:8" x14ac:dyDescent="0.25">
      <c r="A7" s="1" t="s">
        <v>18</v>
      </c>
      <c r="B7" s="4" t="s">
        <v>19</v>
      </c>
      <c r="C7" s="5" t="s">
        <v>20</v>
      </c>
      <c r="E7" s="13" t="s">
        <v>21</v>
      </c>
      <c r="F7" s="19">
        <v>0.13</v>
      </c>
      <c r="G7" s="20">
        <v>0.05</v>
      </c>
      <c r="H7" s="5" t="s">
        <v>22</v>
      </c>
    </row>
    <row r="8" spans="1:8" x14ac:dyDescent="0.25">
      <c r="E8" s="13" t="s">
        <v>23</v>
      </c>
      <c r="F8" s="19">
        <v>0.15</v>
      </c>
      <c r="G8" s="20">
        <v>0.05</v>
      </c>
      <c r="H8" s="5" t="s">
        <v>22</v>
      </c>
    </row>
    <row r="9" spans="1:8" x14ac:dyDescent="0.25">
      <c r="A9" s="102" t="s">
        <v>24</v>
      </c>
      <c r="B9" s="102"/>
      <c r="C9" s="102"/>
      <c r="E9" s="13" t="s">
        <v>25</v>
      </c>
      <c r="F9" s="19">
        <v>3.5999999999999997E-2</v>
      </c>
      <c r="G9" s="20">
        <v>0.13600000000000001</v>
      </c>
      <c r="H9" s="5" t="s">
        <v>22</v>
      </c>
    </row>
    <row r="10" spans="1:8" x14ac:dyDescent="0.25">
      <c r="A10" s="1" t="s">
        <v>26</v>
      </c>
      <c r="B10" s="2" t="s">
        <v>27</v>
      </c>
      <c r="E10" s="13" t="s">
        <v>28</v>
      </c>
      <c r="F10" s="19">
        <v>0.02</v>
      </c>
      <c r="G10" s="20">
        <v>0.02</v>
      </c>
      <c r="H10" s="5" t="s">
        <v>22</v>
      </c>
    </row>
    <row r="11" spans="1:8" x14ac:dyDescent="0.25">
      <c r="A11" s="1" t="s">
        <v>29</v>
      </c>
      <c r="B11" s="3" t="s">
        <v>30</v>
      </c>
      <c r="E11" s="13" t="s">
        <v>31</v>
      </c>
      <c r="F11" s="19">
        <v>8.0000000000000002E-3</v>
      </c>
      <c r="G11" s="20">
        <v>8.0000000000000002E-3</v>
      </c>
      <c r="H11" s="5" t="s">
        <v>22</v>
      </c>
    </row>
    <row r="12" spans="1:8" x14ac:dyDescent="0.25">
      <c r="A12" s="1" t="s">
        <v>32</v>
      </c>
      <c r="B12" s="3" t="s">
        <v>33</v>
      </c>
      <c r="E12" s="13" t="s">
        <v>34</v>
      </c>
      <c r="F12" s="19">
        <v>2.2000000000000001E-3</v>
      </c>
      <c r="G12" s="20">
        <v>2.2000000000000001E-3</v>
      </c>
      <c r="H12" s="5" t="s">
        <v>22</v>
      </c>
    </row>
    <row r="13" spans="1:8" x14ac:dyDescent="0.25">
      <c r="A13" s="1" t="s">
        <v>35</v>
      </c>
      <c r="B13" s="3" t="s">
        <v>36</v>
      </c>
      <c r="E13" s="13" t="s">
        <v>37</v>
      </c>
      <c r="F13" s="19">
        <v>1.5E-3</v>
      </c>
      <c r="G13" s="20">
        <v>0</v>
      </c>
      <c r="H13" s="5" t="s">
        <v>22</v>
      </c>
    </row>
    <row r="14" spans="1:8" x14ac:dyDescent="0.25">
      <c r="A14" s="1" t="s">
        <v>38</v>
      </c>
      <c r="B14" s="4" t="s">
        <v>39</v>
      </c>
      <c r="E14" s="13" t="s">
        <v>40</v>
      </c>
      <c r="F14" s="19">
        <v>1.2999999999999999E-2</v>
      </c>
      <c r="G14" s="20">
        <v>1.6E-2</v>
      </c>
      <c r="H14" s="5" t="s">
        <v>22</v>
      </c>
    </row>
    <row r="15" spans="1:8" x14ac:dyDescent="0.25">
      <c r="E15" s="13" t="s">
        <v>41</v>
      </c>
      <c r="F15" s="19">
        <v>0.186</v>
      </c>
      <c r="G15" s="20">
        <v>0.186</v>
      </c>
      <c r="H15" s="5" t="s">
        <v>42</v>
      </c>
    </row>
    <row r="16" spans="1:8" x14ac:dyDescent="0.25">
      <c r="A16" s="102" t="s">
        <v>43</v>
      </c>
      <c r="B16" s="102"/>
      <c r="C16" s="102"/>
      <c r="E16" s="13" t="s">
        <v>44</v>
      </c>
      <c r="F16" s="21">
        <v>175</v>
      </c>
      <c r="G16" s="22">
        <v>175</v>
      </c>
      <c r="H16" s="5" t="s">
        <v>19</v>
      </c>
    </row>
    <row r="17" spans="1:8" x14ac:dyDescent="0.25">
      <c r="A17" s="1" t="s">
        <v>45</v>
      </c>
      <c r="B17" s="2" t="s">
        <v>46</v>
      </c>
    </row>
    <row r="18" spans="1:8" x14ac:dyDescent="0.25">
      <c r="A18" s="1" t="s">
        <v>29</v>
      </c>
      <c r="B18" s="3" t="s">
        <v>47</v>
      </c>
      <c r="E18" s="103" t="s">
        <v>48</v>
      </c>
      <c r="F18" s="103"/>
      <c r="G18" s="103"/>
      <c r="H18" s="103"/>
    </row>
    <row r="19" spans="1:8" x14ac:dyDescent="0.25">
      <c r="A19" s="1" t="s">
        <v>49</v>
      </c>
      <c r="B19" s="3" t="s">
        <v>50</v>
      </c>
      <c r="E19" s="103"/>
      <c r="F19" s="103"/>
      <c r="G19" s="103"/>
      <c r="H19" s="103"/>
    </row>
    <row r="20" spans="1:8" x14ac:dyDescent="0.25">
      <c r="A20" s="1" t="s">
        <v>51</v>
      </c>
      <c r="B20" s="6">
        <v>46023</v>
      </c>
      <c r="E20" s="103"/>
      <c r="F20" s="103"/>
      <c r="G20" s="103"/>
      <c r="H20" s="103"/>
    </row>
    <row r="21" spans="1:8" x14ac:dyDescent="0.25">
      <c r="A21" s="1" t="s">
        <v>52</v>
      </c>
      <c r="B21" s="3" t="s">
        <v>53</v>
      </c>
      <c r="E21" s="103"/>
      <c r="F21" s="103"/>
      <c r="G21" s="103"/>
      <c r="H21" s="103"/>
    </row>
    <row r="22" spans="1:8" x14ac:dyDescent="0.25">
      <c r="A22" s="1" t="s">
        <v>54</v>
      </c>
      <c r="B22" s="4" t="s">
        <v>55</v>
      </c>
      <c r="E22" s="103"/>
      <c r="F22" s="103"/>
      <c r="G22" s="103"/>
      <c r="H22" s="103"/>
    </row>
    <row r="24" spans="1:8" x14ac:dyDescent="0.25">
      <c r="A24" s="102" t="s">
        <v>56</v>
      </c>
      <c r="B24" s="102"/>
      <c r="C24" s="102"/>
    </row>
    <row r="25" spans="1:8" x14ac:dyDescent="0.25">
      <c r="A25" s="1" t="s">
        <v>57</v>
      </c>
      <c r="B25" s="7">
        <f>IF($B$5="Gewerblich",$F$5,$G$5)</f>
        <v>13.9</v>
      </c>
      <c r="C25" s="5" t="s">
        <v>58</v>
      </c>
    </row>
    <row r="26" spans="1:8" x14ac:dyDescent="0.25">
      <c r="A26" s="1" t="s">
        <v>59</v>
      </c>
      <c r="B26" s="8">
        <f>IF($B$5="Gewerblich",$F$6,$G$6)</f>
        <v>603</v>
      </c>
      <c r="C26" s="5" t="s">
        <v>60</v>
      </c>
    </row>
    <row r="27" spans="1:8" x14ac:dyDescent="0.25">
      <c r="A27" s="1" t="s">
        <v>21</v>
      </c>
      <c r="B27" s="9">
        <f>IF($B$5="Gewerblich",$F$7,$G$7)</f>
        <v>0.13</v>
      </c>
      <c r="C27" s="5" t="s">
        <v>61</v>
      </c>
    </row>
    <row r="28" spans="1:8" x14ac:dyDescent="0.25">
      <c r="A28" s="1" t="s">
        <v>23</v>
      </c>
      <c r="B28" s="9">
        <f>IF($B$5="Gewerblich",$F$8,$G$8)</f>
        <v>0.15</v>
      </c>
      <c r="C28" s="5" t="s">
        <v>61</v>
      </c>
    </row>
    <row r="29" spans="1:8" x14ac:dyDescent="0.25">
      <c r="A29" s="1" t="s">
        <v>25</v>
      </c>
      <c r="B29" s="9">
        <f>IF($B$5="Gewerblich",$F$9,$G$9)</f>
        <v>3.5999999999999997E-2</v>
      </c>
      <c r="C29" s="5" t="s">
        <v>62</v>
      </c>
    </row>
    <row r="30" spans="1:8" x14ac:dyDescent="0.25">
      <c r="A30" s="1" t="s">
        <v>28</v>
      </c>
      <c r="B30" s="9">
        <f>IF($B$5="Gewerblich",$F$10,$G$10)</f>
        <v>0.02</v>
      </c>
      <c r="C30" s="5" t="s">
        <v>63</v>
      </c>
    </row>
    <row r="31" spans="1:8" x14ac:dyDescent="0.25">
      <c r="A31" s="1" t="s">
        <v>31</v>
      </c>
      <c r="B31" s="9">
        <f>IF($B$5="Gewerblich",$F$11,$G$11)</f>
        <v>8.0000000000000002E-3</v>
      </c>
      <c r="C31" s="5" t="s">
        <v>64</v>
      </c>
    </row>
    <row r="32" spans="1:8" x14ac:dyDescent="0.25">
      <c r="A32" s="1" t="s">
        <v>34</v>
      </c>
      <c r="B32" s="9">
        <f>IF($B$5="Gewerblich",$F$12,$G$12)</f>
        <v>2.2000000000000001E-3</v>
      </c>
      <c r="C32" s="5" t="s">
        <v>65</v>
      </c>
    </row>
    <row r="33" spans="1:3" x14ac:dyDescent="0.25">
      <c r="A33" s="1" t="s">
        <v>37</v>
      </c>
      <c r="B33" s="9">
        <f>IF($B$5="Gewerblich",$F$13,$G$13)</f>
        <v>1.5E-3</v>
      </c>
      <c r="C33" s="5" t="s">
        <v>66</v>
      </c>
    </row>
    <row r="34" spans="1:3" ht="30" x14ac:dyDescent="0.25">
      <c r="A34" s="1" t="s">
        <v>40</v>
      </c>
      <c r="B34" s="9">
        <f>IF($B$5="Gewerblich",$F$14,$G$14)</f>
        <v>1.2999999999999999E-2</v>
      </c>
      <c r="C34" s="5" t="s">
        <v>67</v>
      </c>
    </row>
    <row r="35" spans="1:3" x14ac:dyDescent="0.25">
      <c r="A35" s="1" t="s">
        <v>41</v>
      </c>
      <c r="B35" s="9">
        <f>IF($B$5="Gewerblich",$F$15,$G$15)</f>
        <v>0.186</v>
      </c>
      <c r="C35" s="5" t="s">
        <v>68</v>
      </c>
    </row>
    <row r="36" spans="1:3" ht="30" x14ac:dyDescent="0.25">
      <c r="A36" s="1" t="s">
        <v>44</v>
      </c>
      <c r="B36" s="8">
        <f>IF($B$5="Gewerblich",$F$16,$G$16)</f>
        <v>175</v>
      </c>
      <c r="C36" s="5" t="s">
        <v>69</v>
      </c>
    </row>
    <row r="37" spans="1:3" x14ac:dyDescent="0.25">
      <c r="A37" s="1" t="s">
        <v>70</v>
      </c>
      <c r="B37" s="10">
        <f>$B$26/$B$25</f>
        <v>43.381294964028775</v>
      </c>
      <c r="C37" s="5" t="s">
        <v>71</v>
      </c>
    </row>
    <row r="38" spans="1:3" x14ac:dyDescent="0.25">
      <c r="A38" s="1" t="s">
        <v>72</v>
      </c>
      <c r="B38" s="9">
        <f>SUM($B$27:$B$28)+SUM($B$30:$B$33)</f>
        <v>0.31170000000000003</v>
      </c>
      <c r="C38" s="5" t="s">
        <v>73</v>
      </c>
    </row>
    <row r="39" spans="1:3" x14ac:dyDescent="0.25">
      <c r="A39" s="1" t="s">
        <v>74</v>
      </c>
      <c r="B39" s="11">
        <f>SUM($B$27:$B$28)+SUM($B$30:$B$34)</f>
        <v>0.32470000000000004</v>
      </c>
      <c r="C39" s="5" t="s">
        <v>75</v>
      </c>
    </row>
  </sheetData>
  <mergeCells count="7">
    <mergeCell ref="A1:H1"/>
    <mergeCell ref="A3:C3"/>
    <mergeCell ref="A9:C9"/>
    <mergeCell ref="A16:C16"/>
    <mergeCell ref="A24:C24"/>
    <mergeCell ref="E3:H3"/>
    <mergeCell ref="E18:H22"/>
  </mergeCells>
  <dataValidations count="1">
    <dataValidation type="list" sqref="B5" xr:uid="{00000000-0002-0000-0000-000000000000}">
      <formula1>"Gewerblich,Privathaushalt"</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xr:uid="{00000000-0002-0000-0000-000001000000}">
          <x14:formula1>
            <xm:f>Jahresuebersicht!$A$5:$A$16</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8"/>
  <sheetViews>
    <sheetView workbookViewId="0"/>
  </sheetViews>
  <sheetFormatPr baseColWidth="10" defaultColWidth="9" defaultRowHeight="15" x14ac:dyDescent="0.25"/>
  <cols>
    <col min="1" max="1" width="13" customWidth="1"/>
    <col min="2" max="3" width="12" customWidth="1"/>
    <col min="4" max="4" width="10" customWidth="1"/>
    <col min="5" max="5" width="12" customWidth="1"/>
    <col min="6" max="8" width="13" customWidth="1"/>
    <col min="9" max="9" width="18" customWidth="1"/>
    <col min="10" max="21" width="13" customWidth="1"/>
    <col min="22" max="24" width="17" customWidth="1"/>
    <col min="25" max="25" width="15" customWidth="1"/>
    <col min="26" max="26" width="28" customWidth="1"/>
  </cols>
  <sheetData>
    <row r="1" spans="1:26" ht="27.95" customHeight="1" x14ac:dyDescent="0.25">
      <c r="A1" s="101" t="s">
        <v>76</v>
      </c>
      <c r="B1" s="101"/>
      <c r="C1" s="101"/>
      <c r="D1" s="101"/>
      <c r="E1" s="101"/>
      <c r="F1" s="101"/>
      <c r="G1" s="101"/>
      <c r="H1" s="101"/>
      <c r="I1" s="101"/>
      <c r="J1" s="101"/>
      <c r="K1" s="101"/>
      <c r="L1" s="101"/>
      <c r="M1" s="101"/>
      <c r="N1" s="101"/>
      <c r="O1" s="101"/>
      <c r="P1" s="101"/>
      <c r="Q1" s="101"/>
      <c r="R1" s="101"/>
      <c r="S1" s="101"/>
      <c r="T1" s="101"/>
      <c r="U1" s="101"/>
      <c r="V1" s="101"/>
      <c r="W1" s="101"/>
      <c r="X1" s="101"/>
      <c r="Y1" s="101"/>
      <c r="Z1" s="101"/>
    </row>
    <row r="2" spans="1:26" x14ac:dyDescent="0.25">
      <c r="A2" s="103" t="s">
        <v>77</v>
      </c>
      <c r="B2" s="103"/>
      <c r="C2" s="103"/>
      <c r="D2" s="103"/>
      <c r="E2" s="103"/>
      <c r="F2" s="103"/>
      <c r="G2" s="103"/>
      <c r="H2" s="103"/>
      <c r="I2" s="103"/>
      <c r="J2" s="103"/>
      <c r="K2" s="103"/>
      <c r="L2" s="103"/>
      <c r="M2" s="103"/>
      <c r="N2" s="103"/>
      <c r="O2" s="103"/>
      <c r="P2" s="103"/>
      <c r="Q2" s="103"/>
      <c r="R2" s="103"/>
      <c r="S2" s="103"/>
      <c r="T2" s="103"/>
      <c r="U2" s="103"/>
      <c r="V2" s="103"/>
      <c r="W2" s="103"/>
      <c r="X2" s="103"/>
      <c r="Y2" s="103"/>
      <c r="Z2" s="103"/>
    </row>
    <row r="4" spans="1:26" ht="30" x14ac:dyDescent="0.25">
      <c r="A4" s="12" t="s">
        <v>78</v>
      </c>
      <c r="B4" s="12" t="s">
        <v>79</v>
      </c>
      <c r="C4" s="12" t="s">
        <v>80</v>
      </c>
      <c r="D4" s="12" t="s">
        <v>81</v>
      </c>
      <c r="E4" s="12" t="s">
        <v>82</v>
      </c>
      <c r="F4" s="12" t="s">
        <v>83</v>
      </c>
      <c r="G4" s="12" t="s">
        <v>84</v>
      </c>
      <c r="H4" s="12" t="s">
        <v>85</v>
      </c>
      <c r="I4" s="12" t="s">
        <v>86</v>
      </c>
      <c r="J4" s="12" t="s">
        <v>87</v>
      </c>
      <c r="K4" s="12" t="s">
        <v>88</v>
      </c>
      <c r="L4" s="12" t="s">
        <v>89</v>
      </c>
      <c r="M4" s="12" t="s">
        <v>90</v>
      </c>
      <c r="N4" s="12" t="s">
        <v>91</v>
      </c>
      <c r="O4" s="12" t="s">
        <v>28</v>
      </c>
      <c r="P4" s="12" t="s">
        <v>92</v>
      </c>
      <c r="Q4" s="12" t="s">
        <v>93</v>
      </c>
      <c r="R4" s="12" t="s">
        <v>94</v>
      </c>
      <c r="S4" s="12" t="s">
        <v>95</v>
      </c>
      <c r="T4" s="12" t="s">
        <v>40</v>
      </c>
      <c r="U4" s="12" t="s">
        <v>96</v>
      </c>
      <c r="V4" s="12" t="s">
        <v>16</v>
      </c>
      <c r="W4" s="12" t="s">
        <v>11</v>
      </c>
      <c r="X4" s="12" t="s">
        <v>97</v>
      </c>
      <c r="Y4" s="12" t="s">
        <v>98</v>
      </c>
      <c r="Z4" s="12" t="s">
        <v>99</v>
      </c>
    </row>
    <row r="5" spans="1:26" x14ac:dyDescent="0.25">
      <c r="A5" s="27" t="s">
        <v>100</v>
      </c>
      <c r="B5" s="28" t="s">
        <v>101</v>
      </c>
      <c r="C5" s="28" t="s">
        <v>102</v>
      </c>
      <c r="D5" s="29">
        <v>28</v>
      </c>
      <c r="E5" s="30">
        <v>14.5</v>
      </c>
      <c r="F5" s="42">
        <f t="shared" ref="F5:F16" si="0">ROUND(D5*E5,2)</f>
        <v>406</v>
      </c>
      <c r="G5" s="35">
        <v>0</v>
      </c>
      <c r="H5" s="42">
        <f t="shared" ref="H5:H16" si="1">ROUND(F5+G5,2)</f>
        <v>406</v>
      </c>
      <c r="I5" s="39" t="s">
        <v>103</v>
      </c>
      <c r="J5" s="42">
        <f>IF(H5=0,0,IF(I5="RV-pflichtig",ROUND(IF(H5&lt;Stammdaten!$B$36,MAX(0,Stammdaten!$B$36*Stammdaten!$B$35-H5*Stammdaten!$B$28),H5*Stammdaten!$B$29),2),0))</f>
        <v>0</v>
      </c>
      <c r="K5" s="35">
        <v>0</v>
      </c>
      <c r="L5" s="45">
        <f t="shared" ref="L5:L16" si="2">ROUND(H5-J5-K5,2)</f>
        <v>406</v>
      </c>
      <c r="M5" s="46">
        <f>ROUND(H5*Stammdaten!$B$27,2)</f>
        <v>52.78</v>
      </c>
      <c r="N5" s="46">
        <f>ROUND(H5*Stammdaten!$B$28,2)</f>
        <v>60.9</v>
      </c>
      <c r="O5" s="46">
        <f>ROUND(H5*Stammdaten!$B$30,2)</f>
        <v>8.1199999999999992</v>
      </c>
      <c r="P5" s="46">
        <f>ROUND(H5*Stammdaten!$B$31,2)</f>
        <v>3.25</v>
      </c>
      <c r="Q5" s="46">
        <f>ROUND(H5*Stammdaten!$B$32,2)</f>
        <v>0.89</v>
      </c>
      <c r="R5" s="46">
        <f>ROUND(H5*Stammdaten!$B$33,2)</f>
        <v>0.61</v>
      </c>
      <c r="S5" s="46">
        <f t="shared" ref="S5:S16" si="3">ROUND(SUM(M5:R5)+J5,2)</f>
        <v>126.55</v>
      </c>
      <c r="T5" s="46">
        <f>ROUND(H5*Stammdaten!$B$34,2)</f>
        <v>5.28</v>
      </c>
      <c r="U5" s="47">
        <f t="shared" ref="U5:U16" si="4">ROUND(H5+SUM(M5:R5)+T5,2)</f>
        <v>537.83000000000004</v>
      </c>
      <c r="V5" s="54" t="str">
        <f>IF(H5&lt;=Stammdaten!$B$26,"OK","Grenze prüfen")</f>
        <v>OK</v>
      </c>
      <c r="W5" s="55" t="str">
        <f>IF(E5&gt;=Stammdaten!$B$25,"OK","Mindestlohn prüfen")</f>
        <v>OK</v>
      </c>
      <c r="X5" s="56" t="str">
        <f t="shared" ref="X5:X16" si="5">IF(H5=0,"Keine Abrechnung",IF(OR(V5&lt;&gt;"OK",W5&lt;&gt;"OK"),"Prüfen","OK"))</f>
        <v>OK</v>
      </c>
      <c r="Y5" s="63" t="s">
        <v>104</v>
      </c>
      <c r="Z5" s="39" t="s">
        <v>105</v>
      </c>
    </row>
    <row r="6" spans="1:26" x14ac:dyDescent="0.25">
      <c r="A6" s="27" t="s">
        <v>106</v>
      </c>
      <c r="B6" s="28" t="s">
        <v>107</v>
      </c>
      <c r="C6" s="28" t="s">
        <v>108</v>
      </c>
      <c r="D6" s="31">
        <v>30</v>
      </c>
      <c r="E6" s="32">
        <v>14.5</v>
      </c>
      <c r="F6" s="43">
        <f t="shared" si="0"/>
        <v>435</v>
      </c>
      <c r="G6" s="36">
        <v>0</v>
      </c>
      <c r="H6" s="43">
        <f t="shared" si="1"/>
        <v>435</v>
      </c>
      <c r="I6" s="40" t="s">
        <v>103</v>
      </c>
      <c r="J6" s="43">
        <f>IF(H6=0,0,IF(I6="RV-pflichtig",ROUND(IF(H6&lt;Stammdaten!$B$36,MAX(0,Stammdaten!$B$36*Stammdaten!$B$35-H6*Stammdaten!$B$28),H6*Stammdaten!$B$29),2),0))</f>
        <v>0</v>
      </c>
      <c r="K6" s="36">
        <v>0</v>
      </c>
      <c r="L6" s="48">
        <f t="shared" si="2"/>
        <v>435</v>
      </c>
      <c r="M6" s="49">
        <f>ROUND(H6*Stammdaten!$B$27,2)</f>
        <v>56.55</v>
      </c>
      <c r="N6" s="49">
        <f>ROUND(H6*Stammdaten!$B$28,2)</f>
        <v>65.25</v>
      </c>
      <c r="O6" s="49">
        <f>ROUND(H6*Stammdaten!$B$30,2)</f>
        <v>8.6999999999999993</v>
      </c>
      <c r="P6" s="49">
        <f>ROUND(H6*Stammdaten!$B$31,2)</f>
        <v>3.48</v>
      </c>
      <c r="Q6" s="49">
        <f>ROUND(H6*Stammdaten!$B$32,2)</f>
        <v>0.96</v>
      </c>
      <c r="R6" s="49">
        <f>ROUND(H6*Stammdaten!$B$33,2)</f>
        <v>0.65</v>
      </c>
      <c r="S6" s="49">
        <f t="shared" si="3"/>
        <v>135.59</v>
      </c>
      <c r="T6" s="49">
        <f>ROUND(H6*Stammdaten!$B$34,2)</f>
        <v>5.66</v>
      </c>
      <c r="U6" s="50">
        <f t="shared" si="4"/>
        <v>576.25</v>
      </c>
      <c r="V6" s="57" t="str">
        <f>IF(H6&lt;=Stammdaten!$B$26,"OK","Grenze prüfen")</f>
        <v>OK</v>
      </c>
      <c r="W6" s="58" t="str">
        <f>IF(E6&gt;=Stammdaten!$B$25,"OK","Mindestlohn prüfen")</f>
        <v>OK</v>
      </c>
      <c r="X6" s="59" t="str">
        <f t="shared" si="5"/>
        <v>OK</v>
      </c>
      <c r="Y6" s="64" t="s">
        <v>109</v>
      </c>
      <c r="Z6" s="40" t="s">
        <v>110</v>
      </c>
    </row>
    <row r="7" spans="1:26" x14ac:dyDescent="0.25">
      <c r="A7" s="27" t="s">
        <v>14</v>
      </c>
      <c r="B7" s="28" t="s">
        <v>111</v>
      </c>
      <c r="C7" s="28" t="s">
        <v>112</v>
      </c>
      <c r="D7" s="31">
        <v>32</v>
      </c>
      <c r="E7" s="32">
        <v>15</v>
      </c>
      <c r="F7" s="43">
        <f t="shared" si="0"/>
        <v>480</v>
      </c>
      <c r="G7" s="36">
        <v>0</v>
      </c>
      <c r="H7" s="43">
        <f t="shared" si="1"/>
        <v>480</v>
      </c>
      <c r="I7" s="40" t="s">
        <v>113</v>
      </c>
      <c r="J7" s="43">
        <f>IF(H7=0,0,IF(I7="RV-pflichtig",ROUND(IF(H7&lt;Stammdaten!$B$36,MAX(0,Stammdaten!$B$36*Stammdaten!$B$35-H7*Stammdaten!$B$28),H7*Stammdaten!$B$29),2),0))</f>
        <v>17.28</v>
      </c>
      <c r="K7" s="36">
        <v>0</v>
      </c>
      <c r="L7" s="48">
        <f t="shared" si="2"/>
        <v>462.72</v>
      </c>
      <c r="M7" s="49">
        <f>ROUND(H7*Stammdaten!$B$27,2)</f>
        <v>62.4</v>
      </c>
      <c r="N7" s="49">
        <f>ROUND(H7*Stammdaten!$B$28,2)</f>
        <v>72</v>
      </c>
      <c r="O7" s="49">
        <f>ROUND(H7*Stammdaten!$B$30,2)</f>
        <v>9.6</v>
      </c>
      <c r="P7" s="49">
        <f>ROUND(H7*Stammdaten!$B$31,2)</f>
        <v>3.84</v>
      </c>
      <c r="Q7" s="49">
        <f>ROUND(H7*Stammdaten!$B$32,2)</f>
        <v>1.06</v>
      </c>
      <c r="R7" s="49">
        <f>ROUND(H7*Stammdaten!$B$33,2)</f>
        <v>0.72</v>
      </c>
      <c r="S7" s="49">
        <f t="shared" si="3"/>
        <v>166.9</v>
      </c>
      <c r="T7" s="49">
        <f>ROUND(H7*Stammdaten!$B$34,2)</f>
        <v>6.24</v>
      </c>
      <c r="U7" s="50">
        <f t="shared" si="4"/>
        <v>635.86</v>
      </c>
      <c r="V7" s="57" t="str">
        <f>IF(H7&lt;=Stammdaten!$B$26,"OK","Grenze prüfen")</f>
        <v>OK</v>
      </c>
      <c r="W7" s="58" t="str">
        <f>IF(E7&gt;=Stammdaten!$B$25,"OK","Mindestlohn prüfen")</f>
        <v>OK</v>
      </c>
      <c r="X7" s="59" t="str">
        <f t="shared" si="5"/>
        <v>OK</v>
      </c>
      <c r="Y7" s="64" t="s">
        <v>114</v>
      </c>
      <c r="Z7" s="40" t="s">
        <v>115</v>
      </c>
    </row>
    <row r="8" spans="1:26" x14ac:dyDescent="0.25">
      <c r="A8" s="27" t="s">
        <v>116</v>
      </c>
      <c r="B8" s="28" t="s">
        <v>117</v>
      </c>
      <c r="C8" s="28" t="s">
        <v>118</v>
      </c>
      <c r="D8" s="31">
        <v>41</v>
      </c>
      <c r="E8" s="32">
        <v>14</v>
      </c>
      <c r="F8" s="43">
        <f t="shared" si="0"/>
        <v>574</v>
      </c>
      <c r="G8" s="36">
        <v>0</v>
      </c>
      <c r="H8" s="43">
        <f t="shared" si="1"/>
        <v>574</v>
      </c>
      <c r="I8" s="40" t="s">
        <v>103</v>
      </c>
      <c r="J8" s="43">
        <f>IF(H8=0,0,IF(I8="RV-pflichtig",ROUND(IF(H8&lt;Stammdaten!$B$36,MAX(0,Stammdaten!$B$36*Stammdaten!$B$35-H8*Stammdaten!$B$28),H8*Stammdaten!$B$29),2),0))</f>
        <v>0</v>
      </c>
      <c r="K8" s="36">
        <v>0</v>
      </c>
      <c r="L8" s="48">
        <f t="shared" si="2"/>
        <v>574</v>
      </c>
      <c r="M8" s="49">
        <f>ROUND(H8*Stammdaten!$B$27,2)</f>
        <v>74.62</v>
      </c>
      <c r="N8" s="49">
        <f>ROUND(H8*Stammdaten!$B$28,2)</f>
        <v>86.1</v>
      </c>
      <c r="O8" s="49">
        <f>ROUND(H8*Stammdaten!$B$30,2)</f>
        <v>11.48</v>
      </c>
      <c r="P8" s="49">
        <f>ROUND(H8*Stammdaten!$B$31,2)</f>
        <v>4.59</v>
      </c>
      <c r="Q8" s="49">
        <f>ROUND(H8*Stammdaten!$B$32,2)</f>
        <v>1.26</v>
      </c>
      <c r="R8" s="49">
        <f>ROUND(H8*Stammdaten!$B$33,2)</f>
        <v>0.86</v>
      </c>
      <c r="S8" s="49">
        <f t="shared" si="3"/>
        <v>178.91</v>
      </c>
      <c r="T8" s="49">
        <f>ROUND(H8*Stammdaten!$B$34,2)</f>
        <v>7.46</v>
      </c>
      <c r="U8" s="50">
        <f t="shared" si="4"/>
        <v>760.37</v>
      </c>
      <c r="V8" s="57" t="str">
        <f>IF(H8&lt;=Stammdaten!$B$26,"OK","Grenze prüfen")</f>
        <v>OK</v>
      </c>
      <c r="W8" s="58" t="str">
        <f>IF(E8&gt;=Stammdaten!$B$25,"OK","Mindestlohn prüfen")</f>
        <v>OK</v>
      </c>
      <c r="X8" s="59" t="str">
        <f t="shared" si="5"/>
        <v>OK</v>
      </c>
      <c r="Y8" s="64" t="s">
        <v>119</v>
      </c>
      <c r="Z8" s="40" t="s">
        <v>120</v>
      </c>
    </row>
    <row r="9" spans="1:26" x14ac:dyDescent="0.25">
      <c r="A9" s="27" t="s">
        <v>121</v>
      </c>
      <c r="B9" s="28" t="s">
        <v>122</v>
      </c>
      <c r="C9" s="28" t="s">
        <v>123</v>
      </c>
      <c r="D9" s="31">
        <v>43</v>
      </c>
      <c r="E9" s="32">
        <v>13.9</v>
      </c>
      <c r="F9" s="43">
        <f t="shared" si="0"/>
        <v>597.70000000000005</v>
      </c>
      <c r="G9" s="36">
        <v>0</v>
      </c>
      <c r="H9" s="43">
        <f t="shared" si="1"/>
        <v>597.70000000000005</v>
      </c>
      <c r="I9" s="40" t="s">
        <v>103</v>
      </c>
      <c r="J9" s="43">
        <f>IF(H9=0,0,IF(I9="RV-pflichtig",ROUND(IF(H9&lt;Stammdaten!$B$36,MAX(0,Stammdaten!$B$36*Stammdaten!$B$35-H9*Stammdaten!$B$28),H9*Stammdaten!$B$29),2),0))</f>
        <v>0</v>
      </c>
      <c r="K9" s="36">
        <v>0</v>
      </c>
      <c r="L9" s="48">
        <f t="shared" si="2"/>
        <v>597.70000000000005</v>
      </c>
      <c r="M9" s="49">
        <f>ROUND(H9*Stammdaten!$B$27,2)</f>
        <v>77.7</v>
      </c>
      <c r="N9" s="49">
        <f>ROUND(H9*Stammdaten!$B$28,2)</f>
        <v>89.66</v>
      </c>
      <c r="O9" s="49">
        <f>ROUND(H9*Stammdaten!$B$30,2)</f>
        <v>11.95</v>
      </c>
      <c r="P9" s="49">
        <f>ROUND(H9*Stammdaten!$B$31,2)</f>
        <v>4.78</v>
      </c>
      <c r="Q9" s="49">
        <f>ROUND(H9*Stammdaten!$B$32,2)</f>
        <v>1.31</v>
      </c>
      <c r="R9" s="49">
        <f>ROUND(H9*Stammdaten!$B$33,2)</f>
        <v>0.9</v>
      </c>
      <c r="S9" s="49">
        <f t="shared" si="3"/>
        <v>186.3</v>
      </c>
      <c r="T9" s="49">
        <f>ROUND(H9*Stammdaten!$B$34,2)</f>
        <v>7.77</v>
      </c>
      <c r="U9" s="50">
        <f t="shared" si="4"/>
        <v>791.77</v>
      </c>
      <c r="V9" s="57" t="str">
        <f>IF(H9&lt;=Stammdaten!$B$26,"OK","Grenze prüfen")</f>
        <v>OK</v>
      </c>
      <c r="W9" s="58" t="str">
        <f>IF(E9&gt;=Stammdaten!$B$25,"OK","Mindestlohn prüfen")</f>
        <v>OK</v>
      </c>
      <c r="X9" s="59" t="str">
        <f t="shared" si="5"/>
        <v>OK</v>
      </c>
      <c r="Y9" s="64" t="s">
        <v>124</v>
      </c>
      <c r="Z9" s="40" t="s">
        <v>125</v>
      </c>
    </row>
    <row r="10" spans="1:26" x14ac:dyDescent="0.25">
      <c r="A10" s="27" t="s">
        <v>126</v>
      </c>
      <c r="B10" s="28" t="s">
        <v>127</v>
      </c>
      <c r="C10" s="28" t="s">
        <v>128</v>
      </c>
      <c r="D10" s="31">
        <v>20</v>
      </c>
      <c r="E10" s="32">
        <v>16</v>
      </c>
      <c r="F10" s="43">
        <f t="shared" si="0"/>
        <v>320</v>
      </c>
      <c r="G10" s="36">
        <v>0</v>
      </c>
      <c r="H10" s="43">
        <f t="shared" si="1"/>
        <v>320</v>
      </c>
      <c r="I10" s="40" t="s">
        <v>113</v>
      </c>
      <c r="J10" s="43">
        <f>IF(H10=0,0,IF(I10="RV-pflichtig",ROUND(IF(H10&lt;Stammdaten!$B$36,MAX(0,Stammdaten!$B$36*Stammdaten!$B$35-H10*Stammdaten!$B$28),H10*Stammdaten!$B$29),2),0))</f>
        <v>11.52</v>
      </c>
      <c r="K10" s="36">
        <v>0</v>
      </c>
      <c r="L10" s="48">
        <f t="shared" si="2"/>
        <v>308.48</v>
      </c>
      <c r="M10" s="49">
        <f>ROUND(H10*Stammdaten!$B$27,2)</f>
        <v>41.6</v>
      </c>
      <c r="N10" s="49">
        <f>ROUND(H10*Stammdaten!$B$28,2)</f>
        <v>48</v>
      </c>
      <c r="O10" s="49">
        <f>ROUND(H10*Stammdaten!$B$30,2)</f>
        <v>6.4</v>
      </c>
      <c r="P10" s="49">
        <f>ROUND(H10*Stammdaten!$B$31,2)</f>
        <v>2.56</v>
      </c>
      <c r="Q10" s="49">
        <f>ROUND(H10*Stammdaten!$B$32,2)</f>
        <v>0.7</v>
      </c>
      <c r="R10" s="49">
        <f>ROUND(H10*Stammdaten!$B$33,2)</f>
        <v>0.48</v>
      </c>
      <c r="S10" s="49">
        <f t="shared" si="3"/>
        <v>111.26</v>
      </c>
      <c r="T10" s="49">
        <f>ROUND(H10*Stammdaten!$B$34,2)</f>
        <v>4.16</v>
      </c>
      <c r="U10" s="50">
        <f t="shared" si="4"/>
        <v>423.9</v>
      </c>
      <c r="V10" s="57" t="str">
        <f>IF(H10&lt;=Stammdaten!$B$26,"OK","Grenze prüfen")</f>
        <v>OK</v>
      </c>
      <c r="W10" s="58" t="str">
        <f>IF(E10&gt;=Stammdaten!$B$25,"OK","Mindestlohn prüfen")</f>
        <v>OK</v>
      </c>
      <c r="X10" s="59" t="str">
        <f t="shared" si="5"/>
        <v>OK</v>
      </c>
      <c r="Y10" s="64" t="s">
        <v>129</v>
      </c>
      <c r="Z10" s="40" t="s">
        <v>130</v>
      </c>
    </row>
    <row r="11" spans="1:26" x14ac:dyDescent="0.25">
      <c r="A11" s="27" t="s">
        <v>131</v>
      </c>
      <c r="B11" s="28" t="s">
        <v>132</v>
      </c>
      <c r="C11" s="28" t="s">
        <v>133</v>
      </c>
      <c r="D11" s="31">
        <v>38</v>
      </c>
      <c r="E11" s="32">
        <v>14.2</v>
      </c>
      <c r="F11" s="43">
        <f t="shared" si="0"/>
        <v>539.6</v>
      </c>
      <c r="G11" s="36">
        <v>50</v>
      </c>
      <c r="H11" s="43">
        <f t="shared" si="1"/>
        <v>589.6</v>
      </c>
      <c r="I11" s="40" t="s">
        <v>113</v>
      </c>
      <c r="J11" s="43">
        <f>IF(H11=0,0,IF(I11="RV-pflichtig",ROUND(IF(H11&lt;Stammdaten!$B$36,MAX(0,Stammdaten!$B$36*Stammdaten!$B$35-H11*Stammdaten!$B$28),H11*Stammdaten!$B$29),2),0))</f>
        <v>21.23</v>
      </c>
      <c r="K11" s="36">
        <v>0</v>
      </c>
      <c r="L11" s="48">
        <f t="shared" si="2"/>
        <v>568.37</v>
      </c>
      <c r="M11" s="49">
        <f>ROUND(H11*Stammdaten!$B$27,2)</f>
        <v>76.650000000000006</v>
      </c>
      <c r="N11" s="49">
        <f>ROUND(H11*Stammdaten!$B$28,2)</f>
        <v>88.44</v>
      </c>
      <c r="O11" s="49">
        <f>ROUND(H11*Stammdaten!$B$30,2)</f>
        <v>11.79</v>
      </c>
      <c r="P11" s="49">
        <f>ROUND(H11*Stammdaten!$B$31,2)</f>
        <v>4.72</v>
      </c>
      <c r="Q11" s="49">
        <f>ROUND(H11*Stammdaten!$B$32,2)</f>
        <v>1.3</v>
      </c>
      <c r="R11" s="49">
        <f>ROUND(H11*Stammdaten!$B$33,2)</f>
        <v>0.88</v>
      </c>
      <c r="S11" s="49">
        <f t="shared" si="3"/>
        <v>205.01</v>
      </c>
      <c r="T11" s="49">
        <f>ROUND(H11*Stammdaten!$B$34,2)</f>
        <v>7.66</v>
      </c>
      <c r="U11" s="50">
        <f t="shared" si="4"/>
        <v>781.04</v>
      </c>
      <c r="V11" s="57" t="str">
        <f>IF(H11&lt;=Stammdaten!$B$26,"OK","Grenze prüfen")</f>
        <v>OK</v>
      </c>
      <c r="W11" s="58" t="str">
        <f>IF(E11&gt;=Stammdaten!$B$25,"OK","Mindestlohn prüfen")</f>
        <v>OK</v>
      </c>
      <c r="X11" s="59" t="str">
        <f t="shared" si="5"/>
        <v>OK</v>
      </c>
      <c r="Y11" s="64" t="s">
        <v>134</v>
      </c>
      <c r="Z11" s="40" t="s">
        <v>135</v>
      </c>
    </row>
    <row r="12" spans="1:26" x14ac:dyDescent="0.25">
      <c r="A12" s="27" t="s">
        <v>136</v>
      </c>
      <c r="B12" s="28" t="s">
        <v>137</v>
      </c>
      <c r="C12" s="28" t="s">
        <v>138</v>
      </c>
      <c r="D12" s="31">
        <v>0</v>
      </c>
      <c r="E12" s="32">
        <v>14.5</v>
      </c>
      <c r="F12" s="43">
        <f t="shared" si="0"/>
        <v>0</v>
      </c>
      <c r="G12" s="36">
        <v>0</v>
      </c>
      <c r="H12" s="43">
        <f t="shared" si="1"/>
        <v>0</v>
      </c>
      <c r="I12" s="40" t="s">
        <v>103</v>
      </c>
      <c r="J12" s="43">
        <f>IF(H12=0,0,IF(I12="RV-pflichtig",ROUND(IF(H12&lt;Stammdaten!$B$36,MAX(0,Stammdaten!$B$36*Stammdaten!$B$35-H12*Stammdaten!$B$28),H12*Stammdaten!$B$29),2),0))</f>
        <v>0</v>
      </c>
      <c r="K12" s="36">
        <v>0</v>
      </c>
      <c r="L12" s="48">
        <f t="shared" si="2"/>
        <v>0</v>
      </c>
      <c r="M12" s="49">
        <f>ROUND(H12*Stammdaten!$B$27,2)</f>
        <v>0</v>
      </c>
      <c r="N12" s="49">
        <f>ROUND(H12*Stammdaten!$B$28,2)</f>
        <v>0</v>
      </c>
      <c r="O12" s="49">
        <f>ROUND(H12*Stammdaten!$B$30,2)</f>
        <v>0</v>
      </c>
      <c r="P12" s="49">
        <f>ROUND(H12*Stammdaten!$B$31,2)</f>
        <v>0</v>
      </c>
      <c r="Q12" s="49">
        <f>ROUND(H12*Stammdaten!$B$32,2)</f>
        <v>0</v>
      </c>
      <c r="R12" s="49">
        <f>ROUND(H12*Stammdaten!$B$33,2)</f>
        <v>0</v>
      </c>
      <c r="S12" s="49">
        <f t="shared" si="3"/>
        <v>0</v>
      </c>
      <c r="T12" s="49">
        <f>ROUND(H12*Stammdaten!$B$34,2)</f>
        <v>0</v>
      </c>
      <c r="U12" s="50">
        <f t="shared" si="4"/>
        <v>0</v>
      </c>
      <c r="V12" s="57" t="str">
        <f>IF(H12&lt;=Stammdaten!$B$26,"OK","Grenze prüfen")</f>
        <v>OK</v>
      </c>
      <c r="W12" s="58" t="str">
        <f>IF(E12&gt;=Stammdaten!$B$25,"OK","Mindestlohn prüfen")</f>
        <v>OK</v>
      </c>
      <c r="X12" s="59" t="str">
        <f t="shared" si="5"/>
        <v>Keine Abrechnung</v>
      </c>
      <c r="Y12" s="64"/>
      <c r="Z12" s="40" t="s">
        <v>139</v>
      </c>
    </row>
    <row r="13" spans="1:26" x14ac:dyDescent="0.25">
      <c r="A13" s="27" t="s">
        <v>140</v>
      </c>
      <c r="B13" s="28" t="s">
        <v>141</v>
      </c>
      <c r="C13" s="28" t="s">
        <v>142</v>
      </c>
      <c r="D13" s="31">
        <v>34</v>
      </c>
      <c r="E13" s="32">
        <v>15.5</v>
      </c>
      <c r="F13" s="43">
        <f t="shared" si="0"/>
        <v>527</v>
      </c>
      <c r="G13" s="36">
        <v>0</v>
      </c>
      <c r="H13" s="43">
        <f t="shared" si="1"/>
        <v>527</v>
      </c>
      <c r="I13" s="40" t="s">
        <v>103</v>
      </c>
      <c r="J13" s="43">
        <f>IF(H13=0,0,IF(I13="RV-pflichtig",ROUND(IF(H13&lt;Stammdaten!$B$36,MAX(0,Stammdaten!$B$36*Stammdaten!$B$35-H13*Stammdaten!$B$28),H13*Stammdaten!$B$29),2),0))</f>
        <v>0</v>
      </c>
      <c r="K13" s="36">
        <v>0</v>
      </c>
      <c r="L13" s="48">
        <f t="shared" si="2"/>
        <v>527</v>
      </c>
      <c r="M13" s="49">
        <f>ROUND(H13*Stammdaten!$B$27,2)</f>
        <v>68.510000000000005</v>
      </c>
      <c r="N13" s="49">
        <f>ROUND(H13*Stammdaten!$B$28,2)</f>
        <v>79.05</v>
      </c>
      <c r="O13" s="49">
        <f>ROUND(H13*Stammdaten!$B$30,2)</f>
        <v>10.54</v>
      </c>
      <c r="P13" s="49">
        <f>ROUND(H13*Stammdaten!$B$31,2)</f>
        <v>4.22</v>
      </c>
      <c r="Q13" s="49">
        <f>ROUND(H13*Stammdaten!$B$32,2)</f>
        <v>1.1599999999999999</v>
      </c>
      <c r="R13" s="49">
        <f>ROUND(H13*Stammdaten!$B$33,2)</f>
        <v>0.79</v>
      </c>
      <c r="S13" s="49">
        <f t="shared" si="3"/>
        <v>164.27</v>
      </c>
      <c r="T13" s="49">
        <f>ROUND(H13*Stammdaten!$B$34,2)</f>
        <v>6.85</v>
      </c>
      <c r="U13" s="50">
        <f t="shared" si="4"/>
        <v>698.12</v>
      </c>
      <c r="V13" s="57" t="str">
        <f>IF(H13&lt;=Stammdaten!$B$26,"OK","Grenze prüfen")</f>
        <v>OK</v>
      </c>
      <c r="W13" s="58" t="str">
        <f>IF(E13&gt;=Stammdaten!$B$25,"OK","Mindestlohn prüfen")</f>
        <v>OK</v>
      </c>
      <c r="X13" s="59" t="str">
        <f t="shared" si="5"/>
        <v>OK</v>
      </c>
      <c r="Y13" s="64" t="s">
        <v>143</v>
      </c>
      <c r="Z13" s="40" t="s">
        <v>144</v>
      </c>
    </row>
    <row r="14" spans="1:26" ht="30" x14ac:dyDescent="0.25">
      <c r="A14" s="27" t="s">
        <v>145</v>
      </c>
      <c r="B14" s="28" t="s">
        <v>146</v>
      </c>
      <c r="C14" s="28" t="s">
        <v>147</v>
      </c>
      <c r="D14" s="31">
        <v>44</v>
      </c>
      <c r="E14" s="32">
        <v>14</v>
      </c>
      <c r="F14" s="43">
        <f t="shared" si="0"/>
        <v>616</v>
      </c>
      <c r="G14" s="36">
        <v>0</v>
      </c>
      <c r="H14" s="43">
        <f t="shared" si="1"/>
        <v>616</v>
      </c>
      <c r="I14" s="40" t="s">
        <v>103</v>
      </c>
      <c r="J14" s="43">
        <f>IF(H14=0,0,IF(I14="RV-pflichtig",ROUND(IF(H14&lt;Stammdaten!$B$36,MAX(0,Stammdaten!$B$36*Stammdaten!$B$35-H14*Stammdaten!$B$28),H14*Stammdaten!$B$29),2),0))</f>
        <v>0</v>
      </c>
      <c r="K14" s="36">
        <v>0</v>
      </c>
      <c r="L14" s="48">
        <f t="shared" si="2"/>
        <v>616</v>
      </c>
      <c r="M14" s="49">
        <f>ROUND(H14*Stammdaten!$B$27,2)</f>
        <v>80.08</v>
      </c>
      <c r="N14" s="49">
        <f>ROUND(H14*Stammdaten!$B$28,2)</f>
        <v>92.4</v>
      </c>
      <c r="O14" s="49">
        <f>ROUND(H14*Stammdaten!$B$30,2)</f>
        <v>12.32</v>
      </c>
      <c r="P14" s="49">
        <f>ROUND(H14*Stammdaten!$B$31,2)</f>
        <v>4.93</v>
      </c>
      <c r="Q14" s="49">
        <f>ROUND(H14*Stammdaten!$B$32,2)</f>
        <v>1.36</v>
      </c>
      <c r="R14" s="49">
        <f>ROUND(H14*Stammdaten!$B$33,2)</f>
        <v>0.92</v>
      </c>
      <c r="S14" s="49">
        <f t="shared" si="3"/>
        <v>192.01</v>
      </c>
      <c r="T14" s="49">
        <f>ROUND(H14*Stammdaten!$B$34,2)</f>
        <v>8.01</v>
      </c>
      <c r="U14" s="50">
        <f t="shared" si="4"/>
        <v>816.02</v>
      </c>
      <c r="V14" s="57" t="str">
        <f>IF(H14&lt;=Stammdaten!$B$26,"OK","Grenze prüfen")</f>
        <v>Grenze prüfen</v>
      </c>
      <c r="W14" s="58" t="str">
        <f>IF(E14&gt;=Stammdaten!$B$25,"OK","Mindestlohn prüfen")</f>
        <v>OK</v>
      </c>
      <c r="X14" s="59" t="str">
        <f t="shared" si="5"/>
        <v>Prüfen</v>
      </c>
      <c r="Y14" s="64" t="s">
        <v>148</v>
      </c>
      <c r="Z14" s="40" t="s">
        <v>149</v>
      </c>
    </row>
    <row r="15" spans="1:26" x14ac:dyDescent="0.25">
      <c r="A15" s="27" t="s">
        <v>150</v>
      </c>
      <c r="B15" s="28" t="s">
        <v>151</v>
      </c>
      <c r="C15" s="28" t="s">
        <v>152</v>
      </c>
      <c r="D15" s="31">
        <v>36</v>
      </c>
      <c r="E15" s="32">
        <v>15</v>
      </c>
      <c r="F15" s="43">
        <f t="shared" si="0"/>
        <v>540</v>
      </c>
      <c r="G15" s="36">
        <v>0</v>
      </c>
      <c r="H15" s="43">
        <f t="shared" si="1"/>
        <v>540</v>
      </c>
      <c r="I15" s="40" t="s">
        <v>103</v>
      </c>
      <c r="J15" s="43">
        <f>IF(H15=0,0,IF(I15="RV-pflichtig",ROUND(IF(H15&lt;Stammdaten!$B$36,MAX(0,Stammdaten!$B$36*Stammdaten!$B$35-H15*Stammdaten!$B$28),H15*Stammdaten!$B$29),2),0))</f>
        <v>0</v>
      </c>
      <c r="K15" s="36">
        <v>0</v>
      </c>
      <c r="L15" s="48">
        <f t="shared" si="2"/>
        <v>540</v>
      </c>
      <c r="M15" s="49">
        <f>ROUND(H15*Stammdaten!$B$27,2)</f>
        <v>70.2</v>
      </c>
      <c r="N15" s="49">
        <f>ROUND(H15*Stammdaten!$B$28,2)</f>
        <v>81</v>
      </c>
      <c r="O15" s="49">
        <f>ROUND(H15*Stammdaten!$B$30,2)</f>
        <v>10.8</v>
      </c>
      <c r="P15" s="49">
        <f>ROUND(H15*Stammdaten!$B$31,2)</f>
        <v>4.32</v>
      </c>
      <c r="Q15" s="49">
        <f>ROUND(H15*Stammdaten!$B$32,2)</f>
        <v>1.19</v>
      </c>
      <c r="R15" s="49">
        <f>ROUND(H15*Stammdaten!$B$33,2)</f>
        <v>0.81</v>
      </c>
      <c r="S15" s="49">
        <f t="shared" si="3"/>
        <v>168.32</v>
      </c>
      <c r="T15" s="49">
        <f>ROUND(H15*Stammdaten!$B$34,2)</f>
        <v>7.02</v>
      </c>
      <c r="U15" s="50">
        <f t="shared" si="4"/>
        <v>715.34</v>
      </c>
      <c r="V15" s="57" t="str">
        <f>IF(H15&lt;=Stammdaten!$B$26,"OK","Grenze prüfen")</f>
        <v>OK</v>
      </c>
      <c r="W15" s="58" t="str">
        <f>IF(E15&gt;=Stammdaten!$B$25,"OK","Mindestlohn prüfen")</f>
        <v>OK</v>
      </c>
      <c r="X15" s="59" t="str">
        <f t="shared" si="5"/>
        <v>OK</v>
      </c>
      <c r="Y15" s="64" t="s">
        <v>153</v>
      </c>
      <c r="Z15" s="40" t="s">
        <v>144</v>
      </c>
    </row>
    <row r="16" spans="1:26" x14ac:dyDescent="0.25">
      <c r="A16" s="27" t="s">
        <v>154</v>
      </c>
      <c r="B16" s="28" t="s">
        <v>155</v>
      </c>
      <c r="C16" s="28" t="s">
        <v>156</v>
      </c>
      <c r="D16" s="33">
        <v>30</v>
      </c>
      <c r="E16" s="34">
        <v>14.5</v>
      </c>
      <c r="F16" s="44">
        <f t="shared" si="0"/>
        <v>435</v>
      </c>
      <c r="G16" s="37">
        <v>100</v>
      </c>
      <c r="H16" s="44">
        <f t="shared" si="1"/>
        <v>535</v>
      </c>
      <c r="I16" s="41" t="s">
        <v>103</v>
      </c>
      <c r="J16" s="44">
        <f>IF(H16=0,0,IF(I16="RV-pflichtig",ROUND(IF(H16&lt;Stammdaten!$B$36,MAX(0,Stammdaten!$B$36*Stammdaten!$B$35-H16*Stammdaten!$B$28),H16*Stammdaten!$B$29),2),0))</f>
        <v>0</v>
      </c>
      <c r="K16" s="37">
        <v>0</v>
      </c>
      <c r="L16" s="51">
        <f t="shared" si="2"/>
        <v>535</v>
      </c>
      <c r="M16" s="52">
        <f>ROUND(H16*Stammdaten!$B$27,2)</f>
        <v>69.55</v>
      </c>
      <c r="N16" s="52">
        <f>ROUND(H16*Stammdaten!$B$28,2)</f>
        <v>80.25</v>
      </c>
      <c r="O16" s="52">
        <f>ROUND(H16*Stammdaten!$B$30,2)</f>
        <v>10.7</v>
      </c>
      <c r="P16" s="52">
        <f>ROUND(H16*Stammdaten!$B$31,2)</f>
        <v>4.28</v>
      </c>
      <c r="Q16" s="52">
        <f>ROUND(H16*Stammdaten!$B$32,2)</f>
        <v>1.18</v>
      </c>
      <c r="R16" s="52">
        <f>ROUND(H16*Stammdaten!$B$33,2)</f>
        <v>0.8</v>
      </c>
      <c r="S16" s="52">
        <f t="shared" si="3"/>
        <v>166.76</v>
      </c>
      <c r="T16" s="52">
        <f>ROUND(H16*Stammdaten!$B$34,2)</f>
        <v>6.96</v>
      </c>
      <c r="U16" s="53">
        <f t="shared" si="4"/>
        <v>708.72</v>
      </c>
      <c r="V16" s="60" t="str">
        <f>IF(H16&lt;=Stammdaten!$B$26,"OK","Grenze prüfen")</f>
        <v>OK</v>
      </c>
      <c r="W16" s="61" t="str">
        <f>IF(E16&gt;=Stammdaten!$B$25,"OK","Mindestlohn prüfen")</f>
        <v>OK</v>
      </c>
      <c r="X16" s="62" t="str">
        <f t="shared" si="5"/>
        <v>OK</v>
      </c>
      <c r="Y16" s="65" t="s">
        <v>157</v>
      </c>
      <c r="Z16" s="41" t="s">
        <v>158</v>
      </c>
    </row>
    <row r="17" spans="1:26" x14ac:dyDescent="0.25">
      <c r="D17" s="25"/>
      <c r="E17" s="14"/>
      <c r="F17" s="14"/>
      <c r="G17" s="14"/>
      <c r="H17" s="14"/>
      <c r="J17" s="14"/>
      <c r="K17" s="14"/>
      <c r="L17" s="14"/>
      <c r="M17" s="14"/>
      <c r="N17" s="14"/>
      <c r="O17" s="14"/>
      <c r="P17" s="14"/>
      <c r="Q17" s="14"/>
      <c r="R17" s="14"/>
      <c r="S17" s="14"/>
      <c r="T17" s="14"/>
      <c r="U17" s="14"/>
    </row>
    <row r="18" spans="1:26" x14ac:dyDescent="0.25">
      <c r="A18" s="23" t="s">
        <v>159</v>
      </c>
      <c r="B18" s="23"/>
      <c r="C18" s="23"/>
      <c r="D18" s="26">
        <f>SUM(D5:D16)</f>
        <v>376</v>
      </c>
      <c r="E18" s="24"/>
      <c r="F18" s="24">
        <f>SUM(F5:F16)</f>
        <v>5470.2999999999993</v>
      </c>
      <c r="G18" s="24">
        <f>SUM(G5:G16)</f>
        <v>150</v>
      </c>
      <c r="H18" s="24">
        <f>SUM(H5:H16)</f>
        <v>5620.2999999999993</v>
      </c>
      <c r="I18" s="23"/>
      <c r="J18" s="24">
        <f t="shared" ref="J18:U18" si="6">SUM(J5:J16)</f>
        <v>50.03</v>
      </c>
      <c r="K18" s="24">
        <f t="shared" si="6"/>
        <v>0</v>
      </c>
      <c r="L18" s="24">
        <f t="shared" si="6"/>
        <v>5570.27</v>
      </c>
      <c r="M18" s="24">
        <f t="shared" si="6"/>
        <v>730.6400000000001</v>
      </c>
      <c r="N18" s="24">
        <f t="shared" si="6"/>
        <v>843.05</v>
      </c>
      <c r="O18" s="24">
        <f t="shared" si="6"/>
        <v>112.4</v>
      </c>
      <c r="P18" s="24">
        <f t="shared" si="6"/>
        <v>44.97</v>
      </c>
      <c r="Q18" s="24">
        <f t="shared" si="6"/>
        <v>12.37</v>
      </c>
      <c r="R18" s="24">
        <f t="shared" si="6"/>
        <v>8.42</v>
      </c>
      <c r="S18" s="24">
        <f t="shared" si="6"/>
        <v>1801.8799999999999</v>
      </c>
      <c r="T18" s="24">
        <f t="shared" si="6"/>
        <v>73.069999999999979</v>
      </c>
      <c r="U18" s="24">
        <f t="shared" si="6"/>
        <v>7445.22</v>
      </c>
      <c r="V18" s="23"/>
      <c r="W18" s="23"/>
      <c r="X18" s="23" t="str">
        <f>COUNTIF(X5:X16,"Prüfen")&amp;" Prüfhinweis(e)"</f>
        <v>1 Prüfhinweis(e)</v>
      </c>
      <c r="Y18" s="23"/>
      <c r="Z18" s="23"/>
    </row>
  </sheetData>
  <mergeCells count="2">
    <mergeCell ref="A1:Z1"/>
    <mergeCell ref="A2:Z2"/>
  </mergeCells>
  <conditionalFormatting sqref="V5:W16">
    <cfRule type="expression" dxfId="9" priority="4">
      <formula>V5&lt;&gt;"OK"</formula>
    </cfRule>
  </conditionalFormatting>
  <conditionalFormatting sqref="W5:W16">
    <cfRule type="expression" dxfId="8" priority="5">
      <formula>W5&lt;&gt;"OK"</formula>
    </cfRule>
  </conditionalFormatting>
  <conditionalFormatting sqref="X5:X16">
    <cfRule type="expression" dxfId="7" priority="1">
      <formula>X5="Prüfen"</formula>
    </cfRule>
    <cfRule type="expression" dxfId="6" priority="2">
      <formula>X5="OK"</formula>
    </cfRule>
    <cfRule type="expression" dxfId="5" priority="3">
      <formula>X5="Keine Abrechnung"</formula>
    </cfRule>
  </conditionalFormatting>
  <dataValidations count="1">
    <dataValidation type="list" sqref="I5:I16" xr:uid="{00000000-0002-0000-0100-000000000000}">
      <formula1>"RV-pflichtig,RV-befreit,rentenversicherungsfrei"</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8"/>
  <sheetViews>
    <sheetView workbookViewId="0"/>
  </sheetViews>
  <sheetFormatPr baseColWidth="10" defaultColWidth="9" defaultRowHeight="15" x14ac:dyDescent="0.25"/>
  <cols>
    <col min="1" max="1" width="16" customWidth="1"/>
    <col min="2" max="6" width="18" customWidth="1"/>
    <col min="8" max="14" width="14" customWidth="1"/>
  </cols>
  <sheetData>
    <row r="1" spans="1:8" ht="27.95" customHeight="1" x14ac:dyDescent="0.25">
      <c r="A1" s="101" t="s">
        <v>190</v>
      </c>
      <c r="B1" s="101"/>
      <c r="C1" s="101"/>
      <c r="D1" s="101"/>
      <c r="E1" s="101"/>
      <c r="F1" s="101"/>
      <c r="G1" s="101"/>
      <c r="H1" s="101"/>
    </row>
    <row r="3" spans="1:8" x14ac:dyDescent="0.25">
      <c r="A3" s="102" t="s">
        <v>191</v>
      </c>
      <c r="B3" s="102"/>
      <c r="C3" s="102"/>
      <c r="D3" s="102"/>
      <c r="E3" s="102"/>
      <c r="F3" s="102"/>
      <c r="G3" s="102"/>
      <c r="H3" s="102"/>
    </row>
    <row r="4" spans="1:8" x14ac:dyDescent="0.25">
      <c r="A4" s="1" t="s">
        <v>192</v>
      </c>
      <c r="B4" s="96">
        <f>SUM(Jahresuebersicht!$H$5:$H$16)</f>
        <v>5620.2999999999993</v>
      </c>
      <c r="C4" s="97" t="s">
        <v>193</v>
      </c>
      <c r="D4" s="96">
        <f>SUM(Jahresuebersicht!$L$5:$L$16)</f>
        <v>5570.27</v>
      </c>
    </row>
    <row r="5" spans="1:8" x14ac:dyDescent="0.25">
      <c r="A5" s="1" t="s">
        <v>194</v>
      </c>
      <c r="B5" s="98">
        <f>SUM(Jahresuebersicht!$U$5:$U$16)</f>
        <v>7445.22</v>
      </c>
      <c r="C5" s="97" t="s">
        <v>95</v>
      </c>
      <c r="D5" s="98">
        <f>SUM(Jahresuebersicht!$S$5:$S$16)</f>
        <v>1801.8799999999999</v>
      </c>
    </row>
    <row r="6" spans="1:8" x14ac:dyDescent="0.25">
      <c r="A6" s="1" t="s">
        <v>195</v>
      </c>
      <c r="B6" s="99">
        <f>AVERAGE(Jahresuebersicht!$D$5:$D$16)</f>
        <v>31.333333333333332</v>
      </c>
      <c r="C6" s="1" t="s">
        <v>196</v>
      </c>
      <c r="D6" s="100">
        <f>COUNTIF(Jahresuebersicht!$X$5:$X$16,"Prüfen")</f>
        <v>1</v>
      </c>
    </row>
    <row r="9" spans="1:8" x14ac:dyDescent="0.25">
      <c r="A9" s="102" t="s">
        <v>197</v>
      </c>
      <c r="B9" s="102"/>
      <c r="C9" s="102"/>
      <c r="D9" s="102"/>
      <c r="E9" s="102"/>
      <c r="F9" s="102"/>
    </row>
    <row r="10" spans="1:8" x14ac:dyDescent="0.25">
      <c r="A10" s="12" t="s">
        <v>78</v>
      </c>
      <c r="B10" s="12" t="s">
        <v>85</v>
      </c>
      <c r="C10" s="12" t="s">
        <v>89</v>
      </c>
      <c r="D10" s="12" t="s">
        <v>96</v>
      </c>
      <c r="E10" s="12" t="s">
        <v>97</v>
      </c>
      <c r="F10" s="12" t="s">
        <v>198</v>
      </c>
    </row>
    <row r="11" spans="1:8" x14ac:dyDescent="0.25">
      <c r="A11" s="66" t="str">
        <f>Jahresuebersicht!A5</f>
        <v>Januar</v>
      </c>
      <c r="B11" s="72">
        <f>Jahresuebersicht!H5</f>
        <v>406</v>
      </c>
      <c r="C11" s="72">
        <f>Jahresuebersicht!L5</f>
        <v>406</v>
      </c>
      <c r="D11" s="72">
        <f>Jahresuebersicht!U5</f>
        <v>537.83000000000004</v>
      </c>
      <c r="E11" s="69" t="str">
        <f>Jahresuebersicht!X5</f>
        <v>OK</v>
      </c>
      <c r="F11" s="73">
        <f>Stammdaten!$B$26-Jahresuebersicht!H5</f>
        <v>197</v>
      </c>
    </row>
    <row r="12" spans="1:8" x14ac:dyDescent="0.25">
      <c r="A12" s="67" t="str">
        <f>Jahresuebersicht!A6</f>
        <v>Februar</v>
      </c>
      <c r="B12" s="74">
        <f>Jahresuebersicht!H6</f>
        <v>435</v>
      </c>
      <c r="C12" s="74">
        <f>Jahresuebersicht!L6</f>
        <v>435</v>
      </c>
      <c r="D12" s="74">
        <f>Jahresuebersicht!U6</f>
        <v>576.25</v>
      </c>
      <c r="E12" s="70" t="str">
        <f>Jahresuebersicht!X6</f>
        <v>OK</v>
      </c>
      <c r="F12" s="75">
        <f>Stammdaten!$B$26-Jahresuebersicht!H6</f>
        <v>168</v>
      </c>
    </row>
    <row r="13" spans="1:8" x14ac:dyDescent="0.25">
      <c r="A13" s="67" t="str">
        <f>Jahresuebersicht!A7</f>
        <v>März</v>
      </c>
      <c r="B13" s="74">
        <f>Jahresuebersicht!H7</f>
        <v>480</v>
      </c>
      <c r="C13" s="74">
        <f>Jahresuebersicht!L7</f>
        <v>462.72</v>
      </c>
      <c r="D13" s="74">
        <f>Jahresuebersicht!U7</f>
        <v>635.86</v>
      </c>
      <c r="E13" s="70" t="str">
        <f>Jahresuebersicht!X7</f>
        <v>OK</v>
      </c>
      <c r="F13" s="75">
        <f>Stammdaten!$B$26-Jahresuebersicht!H7</f>
        <v>123</v>
      </c>
    </row>
    <row r="14" spans="1:8" x14ac:dyDescent="0.25">
      <c r="A14" s="67" t="str">
        <f>Jahresuebersicht!A8</f>
        <v>April</v>
      </c>
      <c r="B14" s="74">
        <f>Jahresuebersicht!H8</f>
        <v>574</v>
      </c>
      <c r="C14" s="74">
        <f>Jahresuebersicht!L8</f>
        <v>574</v>
      </c>
      <c r="D14" s="74">
        <f>Jahresuebersicht!U8</f>
        <v>760.37</v>
      </c>
      <c r="E14" s="70" t="str">
        <f>Jahresuebersicht!X8</f>
        <v>OK</v>
      </c>
      <c r="F14" s="75">
        <f>Stammdaten!$B$26-Jahresuebersicht!H8</f>
        <v>29</v>
      </c>
    </row>
    <row r="15" spans="1:8" x14ac:dyDescent="0.25">
      <c r="A15" s="67" t="str">
        <f>Jahresuebersicht!A9</f>
        <v>Mai</v>
      </c>
      <c r="B15" s="74">
        <f>Jahresuebersicht!H9</f>
        <v>597.70000000000005</v>
      </c>
      <c r="C15" s="74">
        <f>Jahresuebersicht!L9</f>
        <v>597.70000000000005</v>
      </c>
      <c r="D15" s="74">
        <f>Jahresuebersicht!U9</f>
        <v>791.77</v>
      </c>
      <c r="E15" s="70" t="str">
        <f>Jahresuebersicht!X9</f>
        <v>OK</v>
      </c>
      <c r="F15" s="75">
        <f>Stammdaten!$B$26-Jahresuebersicht!H9</f>
        <v>5.2999999999999545</v>
      </c>
    </row>
    <row r="16" spans="1:8" x14ac:dyDescent="0.25">
      <c r="A16" s="67" t="str">
        <f>Jahresuebersicht!A10</f>
        <v>Juni</v>
      </c>
      <c r="B16" s="74">
        <f>Jahresuebersicht!H10</f>
        <v>320</v>
      </c>
      <c r="C16" s="74">
        <f>Jahresuebersicht!L10</f>
        <v>308.48</v>
      </c>
      <c r="D16" s="74">
        <f>Jahresuebersicht!U10</f>
        <v>423.9</v>
      </c>
      <c r="E16" s="70" t="str">
        <f>Jahresuebersicht!X10</f>
        <v>OK</v>
      </c>
      <c r="F16" s="75">
        <f>Stammdaten!$B$26-Jahresuebersicht!H10</f>
        <v>283</v>
      </c>
    </row>
    <row r="17" spans="1:8" x14ac:dyDescent="0.25">
      <c r="A17" s="67" t="str">
        <f>Jahresuebersicht!A11</f>
        <v>Juli</v>
      </c>
      <c r="B17" s="74">
        <f>Jahresuebersicht!H11</f>
        <v>589.6</v>
      </c>
      <c r="C17" s="74">
        <f>Jahresuebersicht!L11</f>
        <v>568.37</v>
      </c>
      <c r="D17" s="74">
        <f>Jahresuebersicht!U11</f>
        <v>781.04</v>
      </c>
      <c r="E17" s="70" t="str">
        <f>Jahresuebersicht!X11</f>
        <v>OK</v>
      </c>
      <c r="F17" s="75">
        <f>Stammdaten!$B$26-Jahresuebersicht!H11</f>
        <v>13.399999999999977</v>
      </c>
    </row>
    <row r="18" spans="1:8" x14ac:dyDescent="0.25">
      <c r="A18" s="67" t="str">
        <f>Jahresuebersicht!A12</f>
        <v>August</v>
      </c>
      <c r="B18" s="74">
        <f>Jahresuebersicht!H12</f>
        <v>0</v>
      </c>
      <c r="C18" s="74">
        <f>Jahresuebersicht!L12</f>
        <v>0</v>
      </c>
      <c r="D18" s="74">
        <f>Jahresuebersicht!U12</f>
        <v>0</v>
      </c>
      <c r="E18" s="70" t="str">
        <f>Jahresuebersicht!X12</f>
        <v>Keine Abrechnung</v>
      </c>
      <c r="F18" s="75">
        <f>Stammdaten!$B$26-Jahresuebersicht!H12</f>
        <v>603</v>
      </c>
    </row>
    <row r="19" spans="1:8" x14ac:dyDescent="0.25">
      <c r="A19" s="67" t="str">
        <f>Jahresuebersicht!A13</f>
        <v>September</v>
      </c>
      <c r="B19" s="74">
        <f>Jahresuebersicht!H13</f>
        <v>527</v>
      </c>
      <c r="C19" s="74">
        <f>Jahresuebersicht!L13</f>
        <v>527</v>
      </c>
      <c r="D19" s="74">
        <f>Jahresuebersicht!U13</f>
        <v>698.12</v>
      </c>
      <c r="E19" s="70" t="str">
        <f>Jahresuebersicht!X13</f>
        <v>OK</v>
      </c>
      <c r="F19" s="75">
        <f>Stammdaten!$B$26-Jahresuebersicht!H13</f>
        <v>76</v>
      </c>
    </row>
    <row r="20" spans="1:8" x14ac:dyDescent="0.25">
      <c r="A20" s="67" t="str">
        <f>Jahresuebersicht!A14</f>
        <v>Oktober</v>
      </c>
      <c r="B20" s="74">
        <f>Jahresuebersicht!H14</f>
        <v>616</v>
      </c>
      <c r="C20" s="74">
        <f>Jahresuebersicht!L14</f>
        <v>616</v>
      </c>
      <c r="D20" s="74">
        <f>Jahresuebersicht!U14</f>
        <v>816.02</v>
      </c>
      <c r="E20" s="70" t="str">
        <f>Jahresuebersicht!X14</f>
        <v>Prüfen</v>
      </c>
      <c r="F20" s="75">
        <f>Stammdaten!$B$26-Jahresuebersicht!H14</f>
        <v>-13</v>
      </c>
    </row>
    <row r="21" spans="1:8" x14ac:dyDescent="0.25">
      <c r="A21" s="67" t="str">
        <f>Jahresuebersicht!A15</f>
        <v>November</v>
      </c>
      <c r="B21" s="74">
        <f>Jahresuebersicht!H15</f>
        <v>540</v>
      </c>
      <c r="C21" s="74">
        <f>Jahresuebersicht!L15</f>
        <v>540</v>
      </c>
      <c r="D21" s="74">
        <f>Jahresuebersicht!U15</f>
        <v>715.34</v>
      </c>
      <c r="E21" s="70" t="str">
        <f>Jahresuebersicht!X15</f>
        <v>OK</v>
      </c>
      <c r="F21" s="75">
        <f>Stammdaten!$B$26-Jahresuebersicht!H15</f>
        <v>63</v>
      </c>
    </row>
    <row r="22" spans="1:8" x14ac:dyDescent="0.25">
      <c r="A22" s="68" t="str">
        <f>Jahresuebersicht!A16</f>
        <v>Dezember</v>
      </c>
      <c r="B22" s="76">
        <f>Jahresuebersicht!H16</f>
        <v>535</v>
      </c>
      <c r="C22" s="76">
        <f>Jahresuebersicht!L16</f>
        <v>535</v>
      </c>
      <c r="D22" s="76">
        <f>Jahresuebersicht!U16</f>
        <v>708.72</v>
      </c>
      <c r="E22" s="71" t="str">
        <f>Jahresuebersicht!X16</f>
        <v>OK</v>
      </c>
      <c r="F22" s="77">
        <f>Stammdaten!$B$26-Jahresuebersicht!H16</f>
        <v>68</v>
      </c>
    </row>
    <row r="25" spans="1:8" x14ac:dyDescent="0.25">
      <c r="A25" s="103" t="s">
        <v>199</v>
      </c>
      <c r="B25" s="103"/>
      <c r="C25" s="103"/>
      <c r="D25" s="103"/>
      <c r="E25" s="103"/>
      <c r="F25" s="103"/>
      <c r="G25" s="103"/>
      <c r="H25" s="103"/>
    </row>
    <row r="26" spans="1:8" x14ac:dyDescent="0.25">
      <c r="A26" s="103"/>
      <c r="B26" s="103"/>
      <c r="C26" s="103"/>
      <c r="D26" s="103"/>
      <c r="E26" s="103"/>
      <c r="F26" s="103"/>
      <c r="G26" s="103"/>
      <c r="H26" s="103"/>
    </row>
    <row r="27" spans="1:8" x14ac:dyDescent="0.25">
      <c r="A27" s="103"/>
      <c r="B27" s="103"/>
      <c r="C27" s="103"/>
      <c r="D27" s="103"/>
      <c r="E27" s="103"/>
      <c r="F27" s="103"/>
      <c r="G27" s="103"/>
      <c r="H27" s="103"/>
    </row>
    <row r="28" spans="1:8" x14ac:dyDescent="0.25">
      <c r="A28" s="103"/>
      <c r="B28" s="103"/>
      <c r="C28" s="103"/>
      <c r="D28" s="103"/>
      <c r="E28" s="103"/>
      <c r="F28" s="103"/>
      <c r="G28" s="103"/>
      <c r="H28" s="103"/>
    </row>
  </sheetData>
  <mergeCells count="4">
    <mergeCell ref="A1:H1"/>
    <mergeCell ref="A3:H3"/>
    <mergeCell ref="A9:F9"/>
    <mergeCell ref="A25:H28"/>
  </mergeCells>
  <conditionalFormatting sqref="E11:E22">
    <cfRule type="expression" dxfId="2" priority="1">
      <formula>E11="Prüfen"</formula>
    </cfRule>
    <cfRule type="expression" dxfId="1" priority="2">
      <formula>E11="OK"</formula>
    </cfRule>
  </conditionalFormatting>
  <conditionalFormatting sqref="F11:F22">
    <cfRule type="expression" dxfId="0" priority="3">
      <formula>F11&lt;0</formula>
    </cfRule>
  </conditionalFormatting>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Abrechnung</vt:lpstr>
      <vt:lpstr>Stammdaten</vt:lpstr>
      <vt:lpstr>Jahresuebersicht</vt:lpstr>
      <vt:lpstr>Auswertung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Sergio Jiménez Canales</cp:lastModifiedBy>
  <dcterms:modified xsi:type="dcterms:W3CDTF">2026-06-02T05:59:42Z</dcterms:modified>
</cp:coreProperties>
</file>