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8F75A69-A258-4566-A021-62EDE069C04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icht" sheetId="1" r:id="rId1"/>
    <sheet name="Kontobuch" sheetId="2" r:id="rId2"/>
    <sheet name="Listen" sheetId="3" r:id="rId3"/>
  </sheets>
  <definedNames>
    <definedName name="_xlnm._FilterDatabase" localSheetId="1" hidden="1">Kontobuch!$A$5:$H$65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6" i="2" l="1"/>
  <c r="G66" i="2"/>
  <c r="F66" i="2"/>
  <c r="H65" i="2"/>
  <c r="A65" i="2"/>
  <c r="H64" i="2"/>
  <c r="A64" i="2"/>
  <c r="H63" i="2"/>
  <c r="A63" i="2"/>
  <c r="H62" i="2"/>
  <c r="A62" i="2"/>
  <c r="H61" i="2"/>
  <c r="A61" i="2"/>
  <c r="H60" i="2"/>
  <c r="A60" i="2"/>
  <c r="H59" i="2"/>
  <c r="A59" i="2"/>
  <c r="H58" i="2"/>
  <c r="A58" i="2"/>
  <c r="H57" i="2"/>
  <c r="A57" i="2"/>
  <c r="H56" i="2"/>
  <c r="A56" i="2"/>
  <c r="H55" i="2"/>
  <c r="A55" i="2"/>
  <c r="H54" i="2"/>
  <c r="A54" i="2"/>
  <c r="H53" i="2"/>
  <c r="A53" i="2"/>
  <c r="H52" i="2"/>
  <c r="A52" i="2"/>
  <c r="H51" i="2"/>
  <c r="A51" i="2"/>
  <c r="H50" i="2"/>
  <c r="A50" i="2"/>
  <c r="H49" i="2"/>
  <c r="A49" i="2"/>
  <c r="H48" i="2"/>
  <c r="A48" i="2"/>
  <c r="H47" i="2"/>
  <c r="A47" i="2"/>
  <c r="H46" i="2"/>
  <c r="A46" i="2"/>
  <c r="H45" i="2"/>
  <c r="A45" i="2"/>
  <c r="H44" i="2"/>
  <c r="A44" i="2"/>
  <c r="H43" i="2"/>
  <c r="A43" i="2"/>
  <c r="H42" i="2"/>
  <c r="A42" i="2"/>
  <c r="H41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H8" i="2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A8" i="2"/>
  <c r="H7" i="2"/>
  <c r="A7" i="2"/>
  <c r="H6" i="2"/>
  <c r="A6" i="2"/>
  <c r="G25" i="1"/>
  <c r="H25" i="1" s="1"/>
  <c r="F25" i="1"/>
  <c r="G24" i="1"/>
  <c r="F24" i="1"/>
  <c r="H24" i="1" s="1"/>
  <c r="G23" i="1"/>
  <c r="F23" i="1"/>
  <c r="H23" i="1" s="1"/>
  <c r="B23" i="1"/>
  <c r="G22" i="1"/>
  <c r="F22" i="1"/>
  <c r="H22" i="1" s="1"/>
  <c r="B22" i="1"/>
  <c r="H21" i="1"/>
  <c r="G21" i="1"/>
  <c r="F21" i="1"/>
  <c r="B21" i="1"/>
  <c r="G20" i="1"/>
  <c r="F20" i="1"/>
  <c r="H20" i="1" s="1"/>
  <c r="B20" i="1"/>
  <c r="G19" i="1"/>
  <c r="F19" i="1"/>
  <c r="H19" i="1" s="1"/>
  <c r="B19" i="1"/>
  <c r="G18" i="1"/>
  <c r="F18" i="1"/>
  <c r="H18" i="1" s="1"/>
  <c r="B18" i="1"/>
  <c r="H17" i="1"/>
  <c r="G17" i="1"/>
  <c r="F17" i="1"/>
  <c r="B17" i="1"/>
  <c r="G16" i="1"/>
  <c r="F16" i="1"/>
  <c r="H16" i="1" s="1"/>
  <c r="B16" i="1"/>
  <c r="G15" i="1"/>
  <c r="F15" i="1"/>
  <c r="H15" i="1" s="1"/>
  <c r="B15" i="1"/>
  <c r="G14" i="1"/>
  <c r="G26" i="1" s="1"/>
  <c r="F14" i="1"/>
  <c r="F26" i="1" s="1"/>
  <c r="B14" i="1"/>
  <c r="C9" i="1"/>
  <c r="C8" i="1"/>
  <c r="C7" i="1"/>
  <c r="C6" i="1"/>
  <c r="C5" i="1"/>
  <c r="H36" i="2" l="1"/>
  <c r="H37" i="2" s="1"/>
  <c r="H38" i="2" s="1"/>
  <c r="H39" i="2" s="1"/>
  <c r="H40" i="2" s="1"/>
  <c r="B24" i="1"/>
  <c r="H14" i="1"/>
  <c r="G3" i="2" l="1"/>
  <c r="H26" i="1"/>
  <c r="J14" i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C19" i="1"/>
  <c r="C21" i="1"/>
  <c r="C22" i="1"/>
  <c r="C24" i="1"/>
  <c r="C16" i="1"/>
  <c r="C20" i="1"/>
  <c r="C18" i="1"/>
  <c r="C23" i="1"/>
  <c r="C17" i="1"/>
  <c r="C15" i="1"/>
  <c r="C14" i="1"/>
</calcChain>
</file>

<file path=xl/sharedStrings.xml><?xml version="1.0" encoding="utf-8"?>
<sst xmlns="http://schemas.openxmlformats.org/spreadsheetml/2006/main" count="204" uniqueCount="90">
  <si>
    <t>Automatisch aus dem Blatt »Kontobuch« berechnet – keine manuelle Eingabe nötig.</t>
  </si>
  <si>
    <t>Kennzahlen</t>
  </si>
  <si>
    <t>Anfangsbestand</t>
  </si>
  <si>
    <t>Summe Einnahmen</t>
  </si>
  <si>
    <t>Summe Ausgaben</t>
  </si>
  <si>
    <t>Saldo (Veränderung)</t>
  </si>
  <si>
    <t>Aktueller Kontostand</t>
  </si>
  <si>
    <t>Ausgaben nach Kategorie</t>
  </si>
  <si>
    <t>Monatsübersicht</t>
  </si>
  <si>
    <t>Kategorie</t>
  </si>
  <si>
    <t>Betrag</t>
  </si>
  <si>
    <t>Anteil</t>
  </si>
  <si>
    <t>Monat</t>
  </si>
  <si>
    <t>Einnahmen</t>
  </si>
  <si>
    <t>Ausgaben</t>
  </si>
  <si>
    <t>Saldo</t>
  </si>
  <si>
    <t>kumuliert</t>
  </si>
  <si>
    <t>Miete / Wohnen</t>
  </si>
  <si>
    <t>Januar</t>
  </si>
  <si>
    <t>Lebensmittel</t>
  </si>
  <si>
    <t>Februar</t>
  </si>
  <si>
    <t>Versicherungen</t>
  </si>
  <si>
    <t>März</t>
  </si>
  <si>
    <t>Mobilität / Auto</t>
  </si>
  <si>
    <t>April</t>
  </si>
  <si>
    <t>Energie / Nebenkosten</t>
  </si>
  <si>
    <t>Mai</t>
  </si>
  <si>
    <t>Telekommunikation</t>
  </si>
  <si>
    <t>Juni</t>
  </si>
  <si>
    <t>Freizeit / Hobby</t>
  </si>
  <si>
    <t>Juli</t>
  </si>
  <si>
    <t>Gesundheit</t>
  </si>
  <si>
    <t>August</t>
  </si>
  <si>
    <t>Sparen / Anlage</t>
  </si>
  <si>
    <t>September</t>
  </si>
  <si>
    <t>Sonstige Ausgaben</t>
  </si>
  <si>
    <t>Oktober</t>
  </si>
  <si>
    <t>Gesamt</t>
  </si>
  <si>
    <t>November</t>
  </si>
  <si>
    <t>Dezember</t>
  </si>
  <si>
    <t>Hinweise zur Nutzung</t>
  </si>
  <si>
    <t>• Neue Buchung: im Blatt »Kontobuch« eine Zeile ausfüllen (Datum, Beschreibung, Kategorie, Betrag).</t>
  </si>
  <si>
    <t>• Beträge in »Einnahme« ODER »Ausgabe« eintragen – der laufende Saldo rechnet sich automatisch.</t>
  </si>
  <si>
    <t>• Den »Anfangsbestand« (gelbe Zelle, oben im Kontobuch) auf den realen Startwert setzen.</t>
  </si>
  <si>
    <t>• Kategorien und Zahlungsarten lassen sich im Blatt »Listen« anpassen und erweitern.</t>
  </si>
  <si>
    <t>• Negative Salden werden rot hervorgehoben; alle Auswertungen aktualisieren sich von selbst.</t>
  </si>
  <si>
    <t>Kontoführung 2026</t>
  </si>
  <si>
    <t>Anfangsbestand 01.01.</t>
  </si>
  <si>
    <t>Aktueller Saldo</t>
  </si>
  <si>
    <t>Nr.</t>
  </si>
  <si>
    <t>Datum</t>
  </si>
  <si>
    <t>Beschreibung</t>
  </si>
  <si>
    <t>Zahlungsart</t>
  </si>
  <si>
    <t>Einnahme</t>
  </si>
  <si>
    <t>Ausgabe</t>
  </si>
  <si>
    <t>Gehaltseingang Januar</t>
  </si>
  <si>
    <t>Gehalt / Lohn</t>
  </si>
  <si>
    <t>Überweisung</t>
  </si>
  <si>
    <t>Miete Januar</t>
  </si>
  <si>
    <t>Dauerauftrag</t>
  </si>
  <si>
    <t>Abschlag Strom &amp; Gas</t>
  </si>
  <si>
    <t>Lastschrift</t>
  </si>
  <si>
    <t>Wocheneinkauf Supermarkt</t>
  </si>
  <si>
    <t>Karte</t>
  </si>
  <si>
    <t>Mobilfunk &amp; Internet</t>
  </si>
  <si>
    <t>Tanken</t>
  </si>
  <si>
    <t>Kfz-Versicherung Rate</t>
  </si>
  <si>
    <t>Wocheneinkauf</t>
  </si>
  <si>
    <t>Kinobesuch</t>
  </si>
  <si>
    <t>Übertrag Sparkonto</t>
  </si>
  <si>
    <t>Erstattung Krankenkasse</t>
  </si>
  <si>
    <t>Erstattung</t>
  </si>
  <si>
    <t>Gehaltseingang Februar</t>
  </si>
  <si>
    <t>Miete Februar</t>
  </si>
  <si>
    <t>Restaurantbesuch</t>
  </si>
  <si>
    <t>Apotheke</t>
  </si>
  <si>
    <t>Verkauf gebrauchter Artikel</t>
  </si>
  <si>
    <t>Sonstige Einnahmen</t>
  </si>
  <si>
    <t>Gehaltseingang März</t>
  </si>
  <si>
    <t>Miete März</t>
  </si>
  <si>
    <t>Hausratversicherung Jahresbeitrag</t>
  </si>
  <si>
    <t>Sportverein Quartalsbeitrag</t>
  </si>
  <si>
    <t>Bonuszahlung Arbeitgeber</t>
  </si>
  <si>
    <t>Drogerie &amp; Haushalt</t>
  </si>
  <si>
    <t>Summe</t>
  </si>
  <si>
    <t>Auswahllisten &amp; Parameter</t>
  </si>
  <si>
    <t>Steuert die Dropdowns und die Auswertung. Kategorien hier anpassen/erweitern.</t>
  </si>
  <si>
    <t>Typ</t>
  </si>
  <si>
    <t>Bargeld</t>
  </si>
  <si>
    <t>Kontoführung Vorlage –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</si>
</sst>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;\–"/>
    <numFmt numFmtId="165" formatCode="0.0%"/>
    <numFmt numFmtId="167" formatCode="dd\.mm\.yyyy"/>
  </numFmts>
  <fonts count="21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9"/>
      <color rgb="FF808080"/>
      <name val="Arial"/>
      <charset val="1"/>
    </font>
    <font>
      <b/>
      <sz val="12"/>
      <color rgb="FF1F3864"/>
      <name val="Arial"/>
      <charset val="1"/>
    </font>
    <font>
      <sz val="11"/>
      <name val="Arial"/>
      <charset val="1"/>
    </font>
    <font>
      <sz val="11"/>
      <color rgb="FF008000"/>
      <name val="Arial"/>
      <charset val="1"/>
    </font>
    <font>
      <b/>
      <sz val="11"/>
      <name val="Arial"/>
      <charset val="1"/>
    </font>
    <font>
      <b/>
      <sz val="11"/>
      <color rgb="FF008000"/>
      <name val="Arial"/>
      <charset val="1"/>
    </font>
    <font>
      <b/>
      <sz val="10"/>
      <color rgb="FFFFFFFF"/>
      <name val="Arial"/>
      <charset val="1"/>
    </font>
    <font>
      <sz val="9"/>
      <color rgb="FF808080"/>
      <name val="Arial"/>
      <charset val="1"/>
    </font>
    <font>
      <sz val="10"/>
      <name val="Arial"/>
      <charset val="1"/>
    </font>
    <font>
      <sz val="10"/>
      <color rgb="FF008000"/>
      <name val="Arial"/>
      <charset val="1"/>
    </font>
    <font>
      <sz val="10"/>
      <color rgb="FF000000"/>
      <name val="Arial"/>
      <charset val="1"/>
    </font>
    <font>
      <b/>
      <sz val="11"/>
      <color rgb="FF1F3864"/>
      <name val="Arial"/>
      <charset val="1"/>
    </font>
    <font>
      <b/>
      <sz val="10"/>
      <name val="Arial"/>
      <charset val="1"/>
    </font>
    <font>
      <b/>
      <sz val="11"/>
      <color rgb="FF0000FF"/>
      <name val="Arial"/>
      <charset val="1"/>
    </font>
    <font>
      <sz val="10"/>
      <color rgb="FF808080"/>
      <name val="Arial"/>
      <charset val="1"/>
    </font>
    <font>
      <sz val="10"/>
      <color rgb="FF0000FF"/>
      <name val="Arial"/>
      <charset val="1"/>
    </font>
    <font>
      <b/>
      <sz val="10"/>
      <color rgb="FF000000"/>
      <name val="Arial"/>
      <charset val="1"/>
    </font>
    <font>
      <b/>
      <sz val="13"/>
      <color rgb="FF1F3864"/>
      <name val="Arial"/>
      <charset val="1"/>
    </font>
    <font>
      <b/>
      <sz val="11"/>
      <color rgb="FFFFFFFF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D9D9D9"/>
      </patternFill>
    </fill>
    <fill>
      <patternFill patternType="solid">
        <fgColor rgb="FF2E6E6A"/>
        <bgColor rgb="FF1E7B34"/>
      </patternFill>
    </fill>
    <fill>
      <patternFill patternType="solid">
        <fgColor rgb="FFFFF2CC"/>
        <bgColor rgb="FFF2F2F2"/>
      </patternFill>
    </fill>
    <fill>
      <patternFill patternType="solid">
        <fgColor theme="8" tint="-0.499984740745262"/>
        <bgColor rgb="FF333333"/>
      </patternFill>
    </fill>
    <fill>
      <patternFill patternType="solid">
        <fgColor theme="3" tint="-0.499984740745262"/>
        <bgColor rgb="FF333333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4" fillId="0" borderId="0" xfId="0" applyFont="1"/>
    <xf numFmtId="0" fontId="10" fillId="0" borderId="0" xfId="0" applyFont="1"/>
    <xf numFmtId="0" fontId="6" fillId="4" borderId="1" xfId="0" applyFont="1" applyFill="1" applyBorder="1"/>
    <xf numFmtId="0" fontId="4" fillId="3" borderId="1" xfId="0" applyFont="1" applyFill="1" applyBorder="1"/>
    <xf numFmtId="0" fontId="3" fillId="0" borderId="0" xfId="0" applyFont="1"/>
    <xf numFmtId="0" fontId="2" fillId="0" borderId="0" xfId="0" applyFont="1"/>
    <xf numFmtId="0" fontId="1" fillId="2" borderId="0" xfId="0" applyFont="1" applyFill="1" applyAlignment="1">
      <alignment horizontal="left" vertical="center" indent="1"/>
    </xf>
    <xf numFmtId="0" fontId="2" fillId="0" borderId="0" xfId="0" applyFont="1"/>
    <xf numFmtId="164" fontId="5" fillId="3" borderId="1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/>
    <xf numFmtId="164" fontId="11" fillId="0" borderId="1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10" fillId="3" borderId="1" xfId="0" applyFont="1" applyFill="1" applyBorder="1"/>
    <xf numFmtId="164" fontId="11" fillId="3" borderId="1" xfId="0" applyNumberFormat="1" applyFont="1" applyFill="1" applyBorder="1" applyAlignment="1">
      <alignment horizontal="right" vertical="center"/>
    </xf>
    <xf numFmtId="165" fontId="10" fillId="3" borderId="1" xfId="0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/>
    <xf numFmtId="164" fontId="8" fillId="2" borderId="1" xfId="0" applyNumberFormat="1" applyFont="1" applyFill="1" applyBorder="1" applyAlignment="1">
      <alignment horizontal="right" vertical="center"/>
    </xf>
    <xf numFmtId="0" fontId="13" fillId="0" borderId="0" xfId="0" applyFont="1"/>
    <xf numFmtId="164" fontId="15" fillId="6" borderId="1" xfId="0" applyNumberFormat="1" applyFont="1" applyFill="1" applyBorder="1" applyAlignment="1">
      <alignment horizontal="right" vertical="center"/>
    </xf>
    <xf numFmtId="164" fontId="13" fillId="4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64" fontId="17" fillId="0" borderId="1" xfId="0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/>
    </xf>
    <xf numFmtId="167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164" fontId="17" fillId="3" borderId="1" xfId="0" applyNumberFormat="1" applyFont="1" applyFill="1" applyBorder="1" applyAlignment="1">
      <alignment horizontal="right" vertical="center"/>
    </xf>
    <xf numFmtId="164" fontId="18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indent="1"/>
    </xf>
    <xf numFmtId="0" fontId="19" fillId="0" borderId="0" xfId="0" applyFont="1"/>
    <xf numFmtId="0" fontId="20" fillId="5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" fillId="7" borderId="0" xfId="0" applyFont="1" applyFill="1" applyAlignment="1">
      <alignment horizontal="left" vertical="center" indent="1"/>
    </xf>
    <xf numFmtId="0" fontId="8" fillId="8" borderId="1" xfId="0" applyFont="1" applyFill="1" applyBorder="1"/>
    <xf numFmtId="164" fontId="8" fillId="8" borderId="1" xfId="0" applyNumberFormat="1" applyFont="1" applyFill="1" applyBorder="1" applyAlignment="1">
      <alignment horizontal="right" vertical="center"/>
    </xf>
    <xf numFmtId="165" fontId="8" fillId="8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4">
    <dxf>
      <font>
        <b/>
        <sz val="10"/>
        <color rgb="FFC00000"/>
        <name val="Arial"/>
        <charset val="1"/>
      </font>
    </dxf>
    <dxf>
      <font>
        <sz val="10"/>
        <color rgb="FFC00000"/>
        <name val="Arial"/>
        <charset val="1"/>
      </font>
    </dxf>
    <dxf>
      <font>
        <sz val="10"/>
        <color rgb="FF1E7B34"/>
        <name val="Arial"/>
        <charset val="1"/>
      </font>
    </dxf>
    <dxf>
      <font>
        <b/>
        <sz val="10"/>
        <color rgb="FFC00000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6E6A"/>
      <rgbColor rgb="FFBFBFBF"/>
      <rgbColor rgb="FF808080"/>
      <rgbColor rgb="FF9999FF"/>
      <rgbColor rgb="FFC0504D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1E7B34"/>
      <rgbColor rgb="FF0000FF"/>
      <rgbColor rgb="FF00CCFF"/>
      <rgbColor rgb="FFD9E1F2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4A7EBB"/>
      <rgbColor rgb="FF878787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Einnahmen &amp; Ausgaben je Monat (2026)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Übersicht!$F$13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Übersicht!$E$14:$E$25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Übersicht!$F$14:$F$25</c:f>
              <c:numCache>
                <c:formatCode>General</c:formatCode>
                <c:ptCount val="12"/>
                <c:pt idx="0">
                  <c:v>29480</c:v>
                </c:pt>
                <c:pt idx="1">
                  <c:v>32160</c:v>
                </c:pt>
                <c:pt idx="2">
                  <c:v>32160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4-4BF4-A20E-17B72FB96DF2}"/>
            </c:ext>
          </c:extLst>
        </c:ser>
        <c:ser>
          <c:idx val="1"/>
          <c:order val="1"/>
          <c:tx>
            <c:strRef>
              <c:f>Übersicht!$G$13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Übersicht!$E$14:$E$25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Übersicht!$G$14:$G$25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4-4BF4-A20E-17B72FB96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4209"/>
        <c:axId val="22289241"/>
      </c:barChart>
      <c:catAx>
        <c:axId val="3970420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2289241"/>
        <c:crosses val="autoZero"/>
        <c:auto val="1"/>
        <c:lblAlgn val="ctr"/>
        <c:lblOffset val="100"/>
        <c:noMultiLvlLbl val="0"/>
      </c:catAx>
      <c:valAx>
        <c:axId val="222892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970420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Kontostand-Entwicklung (kumuliert)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Übersicht!$E$14:$E$25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Übersicht!$J$14:$J$25</c:f>
              <c:numCache>
                <c:formatCode>General</c:formatCode>
                <c:ptCount val="12"/>
                <c:pt idx="0">
                  <c:v>32730</c:v>
                </c:pt>
                <c:pt idx="1">
                  <c:v>64890</c:v>
                </c:pt>
                <c:pt idx="2">
                  <c:v>97050</c:v>
                </c:pt>
                <c:pt idx="3">
                  <c:v>97050</c:v>
                </c:pt>
                <c:pt idx="4">
                  <c:v>97050</c:v>
                </c:pt>
                <c:pt idx="5">
                  <c:v>97050</c:v>
                </c:pt>
                <c:pt idx="6">
                  <c:v>97050</c:v>
                </c:pt>
                <c:pt idx="7">
                  <c:v>97050</c:v>
                </c:pt>
                <c:pt idx="8">
                  <c:v>97050</c:v>
                </c:pt>
                <c:pt idx="9">
                  <c:v>97050</c:v>
                </c:pt>
                <c:pt idx="10">
                  <c:v>97050</c:v>
                </c:pt>
                <c:pt idx="11">
                  <c:v>97050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E-4D41-A029-594F93717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287594"/>
        <c:axId val="74338959"/>
      </c:lineChart>
      <c:catAx>
        <c:axId val="128759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4338959"/>
        <c:crosses val="autoZero"/>
        <c:auto val="1"/>
        <c:lblAlgn val="ctr"/>
        <c:lblOffset val="100"/>
        <c:noMultiLvlLbl val="0"/>
      </c:catAx>
      <c:valAx>
        <c:axId val="7433895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28759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26</xdr:row>
      <xdr:rowOff>171450</xdr:rowOff>
    </xdr:from>
    <xdr:to>
      <xdr:col>10</xdr:col>
      <xdr:colOff>28575</xdr:colOff>
      <xdr:row>41</xdr:row>
      <xdr:rowOff>13350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10</xdr:col>
      <xdr:colOff>19050</xdr:colOff>
      <xdr:row>55</xdr:row>
      <xdr:rowOff>32760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showGridLines="0" tabSelected="1" zoomScaleNormal="100" workbookViewId="0">
      <selection activeCell="A2" sqref="A2:H2"/>
    </sheetView>
  </sheetViews>
  <sheetFormatPr baseColWidth="10" defaultColWidth="8.7109375" defaultRowHeight="15" x14ac:dyDescent="0.25"/>
  <cols>
    <col min="1" max="1" width="24" customWidth="1"/>
    <col min="2" max="2" width="14" customWidth="1"/>
    <col min="3" max="3" width="12" customWidth="1"/>
    <col min="4" max="4" width="3" customWidth="1"/>
    <col min="5" max="5" width="14" customWidth="1"/>
    <col min="6" max="8" width="13" customWidth="1"/>
    <col min="9" max="9" width="3" customWidth="1"/>
    <col min="10" max="10" width="13" customWidth="1"/>
  </cols>
  <sheetData>
    <row r="1" spans="1:10" ht="30" customHeight="1" x14ac:dyDescent="0.25">
      <c r="A1" s="42" t="s">
        <v>89</v>
      </c>
      <c r="B1" s="42"/>
      <c r="C1" s="42"/>
      <c r="D1" s="42"/>
      <c r="E1" s="42"/>
      <c r="F1" s="42"/>
      <c r="G1" s="42"/>
      <c r="H1" s="42"/>
    </row>
    <row r="2" spans="1:10" x14ac:dyDescent="0.25">
      <c r="A2" s="6" t="s">
        <v>0</v>
      </c>
      <c r="B2" s="6"/>
      <c r="C2" s="6"/>
      <c r="D2" s="6"/>
      <c r="E2" s="6"/>
      <c r="F2" s="6"/>
      <c r="G2" s="6"/>
      <c r="H2" s="6"/>
    </row>
    <row r="4" spans="1:10" ht="15.75" x14ac:dyDescent="0.25">
      <c r="A4" s="5" t="s">
        <v>1</v>
      </c>
      <c r="B4" s="5"/>
      <c r="C4" s="5"/>
    </row>
    <row r="5" spans="1:10" x14ac:dyDescent="0.25">
      <c r="A5" s="4" t="s">
        <v>2</v>
      </c>
      <c r="B5" s="4"/>
      <c r="C5" s="9">
        <f>Kontobuch!C3</f>
        <v>3250</v>
      </c>
    </row>
    <row r="6" spans="1:10" x14ac:dyDescent="0.25">
      <c r="A6" s="4" t="s">
        <v>3</v>
      </c>
      <c r="B6" s="4"/>
      <c r="C6" s="9">
        <f>SUM(Kontobuch!$F$6:$F$65)</f>
        <v>8489.2000000000007</v>
      </c>
    </row>
    <row r="7" spans="1:10" x14ac:dyDescent="0.25">
      <c r="A7" s="4" t="s">
        <v>4</v>
      </c>
      <c r="B7" s="4"/>
      <c r="C7" s="9">
        <f>SUM(Kontobuch!$G$6:$G$65)</f>
        <v>5269.12</v>
      </c>
    </row>
    <row r="8" spans="1:10" x14ac:dyDescent="0.25">
      <c r="A8" s="4" t="s">
        <v>5</v>
      </c>
      <c r="B8" s="4"/>
      <c r="C8" s="9">
        <f>SUM(Kontobuch!$F$6:$F$65)-SUM(Kontobuch!$G$6:$G$65)</f>
        <v>3220.0800000000008</v>
      </c>
    </row>
    <row r="9" spans="1:10" x14ac:dyDescent="0.25">
      <c r="A9" s="3" t="s">
        <v>6</v>
      </c>
      <c r="B9" s="3"/>
      <c r="C9" s="10">
        <f>Kontobuch!C3+SUM(Kontobuch!$F$6:$F$65)-SUM(Kontobuch!$G$6:$G$65)</f>
        <v>6470.0800000000008</v>
      </c>
    </row>
    <row r="12" spans="1:10" ht="15.75" x14ac:dyDescent="0.25">
      <c r="A12" s="5" t="s">
        <v>7</v>
      </c>
      <c r="B12" s="5"/>
      <c r="C12" s="5"/>
      <c r="E12" s="5" t="s">
        <v>8</v>
      </c>
      <c r="F12" s="5"/>
      <c r="G12" s="5"/>
      <c r="H12" s="5"/>
    </row>
    <row r="13" spans="1:10" x14ac:dyDescent="0.25">
      <c r="A13" s="11" t="s">
        <v>9</v>
      </c>
      <c r="B13" s="11" t="s">
        <v>10</v>
      </c>
      <c r="C13" s="11" t="s">
        <v>11</v>
      </c>
      <c r="E13" s="11" t="s">
        <v>12</v>
      </c>
      <c r="F13" s="11" t="s">
        <v>13</v>
      </c>
      <c r="G13" s="11" t="s">
        <v>14</v>
      </c>
      <c r="H13" s="11" t="s">
        <v>15</v>
      </c>
      <c r="J13" s="12" t="s">
        <v>16</v>
      </c>
    </row>
    <row r="14" spans="1:10" x14ac:dyDescent="0.25">
      <c r="A14" s="13" t="s">
        <v>17</v>
      </c>
      <c r="B14" s="14">
        <f>SUMIF(Kontobuch!$D$6:$D$65,A14,Kontobuch!$G$6:$G$65)</f>
        <v>2820</v>
      </c>
      <c r="C14" s="15">
        <f t="shared" ref="C14:C23" si="0">IFERROR(B14/$B$24,0)</f>
        <v>0.53519373253977887</v>
      </c>
      <c r="E14" s="13" t="s">
        <v>18</v>
      </c>
      <c r="F14" s="14">
        <f>SUMPRODUCT((MONTH(Kontobuch!$B$6:$B$65)=1)*(Kontobuch!$B$6:$B$65&lt;&gt;"")*N(Kontobuch!$F$6:$F$65))</f>
        <v>29480</v>
      </c>
      <c r="G14" s="14">
        <f>SUMPRODUCT((MONTH(Kontobuch!$B$6:$B$65)=1)*(Kontobuch!$B$6:$B$65&lt;&gt;"")*N(Kontobuch!$G$6:$G$65))</f>
        <v>0</v>
      </c>
      <c r="H14" s="16">
        <f t="shared" ref="H14:H25" si="1">F14-G14</f>
        <v>29480</v>
      </c>
      <c r="J14" s="17">
        <f>Kontobuch!C3+H14</f>
        <v>32730</v>
      </c>
    </row>
    <row r="15" spans="1:10" x14ac:dyDescent="0.25">
      <c r="A15" s="18" t="s">
        <v>19</v>
      </c>
      <c r="B15" s="19">
        <f>SUMIF(Kontobuch!$D$6:$D$65,A15,Kontobuch!$G$6:$G$65)</f>
        <v>542.4</v>
      </c>
      <c r="C15" s="20">
        <f t="shared" si="0"/>
        <v>0.1029393902587149</v>
      </c>
      <c r="E15" s="18" t="s">
        <v>20</v>
      </c>
      <c r="F15" s="19">
        <f>SUMPRODUCT((MONTH(Kontobuch!$B$6:$B$65)=2)*(Kontobuch!$B$6:$B$65&lt;&gt;"")*N(Kontobuch!$F$6:$F$65))</f>
        <v>32160</v>
      </c>
      <c r="G15" s="19">
        <f>SUMPRODUCT((MONTH(Kontobuch!$B$6:$B$65)=2)*(Kontobuch!$B$6:$B$65&lt;&gt;"")*N(Kontobuch!$G$6:$G$65))</f>
        <v>0</v>
      </c>
      <c r="H15" s="21">
        <f t="shared" si="1"/>
        <v>32160</v>
      </c>
      <c r="J15" s="17">
        <f t="shared" ref="J15:J25" si="2">J14+H15</f>
        <v>64890</v>
      </c>
    </row>
    <row r="16" spans="1:10" x14ac:dyDescent="0.25">
      <c r="A16" s="13" t="s">
        <v>21</v>
      </c>
      <c r="B16" s="14">
        <f>SUMIF(Kontobuch!$D$6:$D$65,A16,Kontobuch!$G$6:$G$65)</f>
        <v>221</v>
      </c>
      <c r="C16" s="15">
        <f t="shared" si="0"/>
        <v>4.1942487550103234E-2</v>
      </c>
      <c r="E16" s="13" t="s">
        <v>22</v>
      </c>
      <c r="F16" s="14">
        <f>SUMPRODUCT((MONTH(Kontobuch!$B$6:$B$65)=3)*(Kontobuch!$B$6:$B$65&lt;&gt;"")*N(Kontobuch!$F$6:$F$65))</f>
        <v>32160</v>
      </c>
      <c r="G16" s="14">
        <f>SUMPRODUCT((MONTH(Kontobuch!$B$6:$B$65)=3)*(Kontobuch!$B$6:$B$65&lt;&gt;"")*N(Kontobuch!$G$6:$G$65))</f>
        <v>0</v>
      </c>
      <c r="H16" s="16">
        <f t="shared" si="1"/>
        <v>32160</v>
      </c>
      <c r="J16" s="17">
        <f t="shared" si="2"/>
        <v>97050</v>
      </c>
    </row>
    <row r="17" spans="1:10" x14ac:dyDescent="0.25">
      <c r="A17" s="18" t="s">
        <v>23</v>
      </c>
      <c r="B17" s="19">
        <f>SUMIF(Kontobuch!$D$6:$D$65,A17,Kontobuch!$G$6:$G$65)</f>
        <v>213.29999999999998</v>
      </c>
      <c r="C17" s="20">
        <f t="shared" si="0"/>
        <v>4.0481142961253484E-2</v>
      </c>
      <c r="E17" s="18" t="s">
        <v>24</v>
      </c>
      <c r="F17" s="19">
        <f>SUMPRODUCT((MONTH(Kontobuch!$B$6:$B$65)=4)*(Kontobuch!$B$6:$B$65&lt;&gt;"")*N(Kontobuch!$F$6:$F$65))</f>
        <v>0</v>
      </c>
      <c r="G17" s="19">
        <f>SUMPRODUCT((MONTH(Kontobuch!$B$6:$B$65)=4)*(Kontobuch!$B$6:$B$65&lt;&gt;"")*N(Kontobuch!$G$6:$G$65))</f>
        <v>0</v>
      </c>
      <c r="H17" s="21">
        <f t="shared" si="1"/>
        <v>0</v>
      </c>
      <c r="J17" s="17">
        <f t="shared" si="2"/>
        <v>97050</v>
      </c>
    </row>
    <row r="18" spans="1:10" x14ac:dyDescent="0.25">
      <c r="A18" s="13" t="s">
        <v>25</v>
      </c>
      <c r="B18" s="14">
        <f>SUMIF(Kontobuch!$D$6:$D$65,A18,Kontobuch!$G$6:$G$65)</f>
        <v>384</v>
      </c>
      <c r="C18" s="15">
        <f t="shared" si="0"/>
        <v>7.287744443094861E-2</v>
      </c>
      <c r="E18" s="13" t="s">
        <v>26</v>
      </c>
      <c r="F18" s="14">
        <f>SUMPRODUCT((MONTH(Kontobuch!$B$6:$B$65)=5)*(Kontobuch!$B$6:$B$65&lt;&gt;"")*N(Kontobuch!$F$6:$F$65))</f>
        <v>0</v>
      </c>
      <c r="G18" s="14">
        <f>SUMPRODUCT((MONTH(Kontobuch!$B$6:$B$65)=5)*(Kontobuch!$B$6:$B$65&lt;&gt;"")*N(Kontobuch!$G$6:$G$65))</f>
        <v>0</v>
      </c>
      <c r="H18" s="16">
        <f t="shared" si="1"/>
        <v>0</v>
      </c>
      <c r="J18" s="17">
        <f t="shared" si="2"/>
        <v>97050</v>
      </c>
    </row>
    <row r="19" spans="1:10" x14ac:dyDescent="0.25">
      <c r="A19" s="18" t="s">
        <v>27</v>
      </c>
      <c r="B19" s="19">
        <f>SUMIF(Kontobuch!$D$6:$D$65,A19,Kontobuch!$G$6:$G$65)</f>
        <v>149.97</v>
      </c>
      <c r="C19" s="20">
        <f t="shared" si="0"/>
        <v>2.8462058180493133E-2</v>
      </c>
      <c r="E19" s="18" t="s">
        <v>28</v>
      </c>
      <c r="F19" s="19">
        <f>SUMPRODUCT((MONTH(Kontobuch!$B$6:$B$65)=6)*(Kontobuch!$B$6:$B$65&lt;&gt;"")*N(Kontobuch!$F$6:$F$65))</f>
        <v>0</v>
      </c>
      <c r="G19" s="19">
        <f>SUMPRODUCT((MONTH(Kontobuch!$B$6:$B$65)=6)*(Kontobuch!$B$6:$B$65&lt;&gt;"")*N(Kontobuch!$G$6:$G$65))</f>
        <v>0</v>
      </c>
      <c r="H19" s="21">
        <f t="shared" si="1"/>
        <v>0</v>
      </c>
      <c r="J19" s="17">
        <f t="shared" si="2"/>
        <v>97050</v>
      </c>
    </row>
    <row r="20" spans="1:10" x14ac:dyDescent="0.25">
      <c r="A20" s="13" t="s">
        <v>29</v>
      </c>
      <c r="B20" s="14">
        <f>SUMIF(Kontobuch!$D$6:$D$65,A20,Kontobuch!$G$6:$G$65)</f>
        <v>130.19999999999999</v>
      </c>
      <c r="C20" s="15">
        <f t="shared" si="0"/>
        <v>2.471000850236851E-2</v>
      </c>
      <c r="E20" s="13" t="s">
        <v>30</v>
      </c>
      <c r="F20" s="14">
        <f>SUMPRODUCT((MONTH(Kontobuch!$B$6:$B$65)=7)*(Kontobuch!$B$6:$B$65&lt;&gt;"")*N(Kontobuch!$F$6:$F$65))</f>
        <v>0</v>
      </c>
      <c r="G20" s="14">
        <f>SUMPRODUCT((MONTH(Kontobuch!$B$6:$B$65)=7)*(Kontobuch!$B$6:$B$65&lt;&gt;"")*N(Kontobuch!$G$6:$G$65))</f>
        <v>0</v>
      </c>
      <c r="H20" s="16">
        <f t="shared" si="1"/>
        <v>0</v>
      </c>
      <c r="J20" s="17">
        <f t="shared" si="2"/>
        <v>97050</v>
      </c>
    </row>
    <row r="21" spans="1:10" x14ac:dyDescent="0.25">
      <c r="A21" s="18" t="s">
        <v>31</v>
      </c>
      <c r="B21" s="19">
        <f>SUMIF(Kontobuch!$D$6:$D$65,A21,Kontobuch!$G$6:$G$65)</f>
        <v>23.45</v>
      </c>
      <c r="C21" s="20">
        <f t="shared" si="0"/>
        <v>4.4504585205878775E-3</v>
      </c>
      <c r="E21" s="18" t="s">
        <v>32</v>
      </c>
      <c r="F21" s="19">
        <f>SUMPRODUCT((MONTH(Kontobuch!$B$6:$B$65)=8)*(Kontobuch!$B$6:$B$65&lt;&gt;"")*N(Kontobuch!$F$6:$F$65))</f>
        <v>0</v>
      </c>
      <c r="G21" s="19">
        <f>SUMPRODUCT((MONTH(Kontobuch!$B$6:$B$65)=8)*(Kontobuch!$B$6:$B$65&lt;&gt;"")*N(Kontobuch!$G$6:$G$65))</f>
        <v>0</v>
      </c>
      <c r="H21" s="21">
        <f t="shared" si="1"/>
        <v>0</v>
      </c>
      <c r="J21" s="17">
        <f t="shared" si="2"/>
        <v>97050</v>
      </c>
    </row>
    <row r="22" spans="1:10" x14ac:dyDescent="0.25">
      <c r="A22" s="13" t="s">
        <v>33</v>
      </c>
      <c r="B22" s="14">
        <f>SUMIF(Kontobuch!$D$6:$D$65,A22,Kontobuch!$G$6:$G$65)</f>
        <v>750</v>
      </c>
      <c r="C22" s="15">
        <f t="shared" si="0"/>
        <v>0.14233875865419651</v>
      </c>
      <c r="E22" s="13" t="s">
        <v>34</v>
      </c>
      <c r="F22" s="14">
        <f>SUMPRODUCT((MONTH(Kontobuch!$B$6:$B$65)=9)*(Kontobuch!$B$6:$B$65&lt;&gt;"")*N(Kontobuch!$F$6:$F$65))</f>
        <v>0</v>
      </c>
      <c r="G22" s="14">
        <f>SUMPRODUCT((MONTH(Kontobuch!$B$6:$B$65)=9)*(Kontobuch!$B$6:$B$65&lt;&gt;"")*N(Kontobuch!$G$6:$G$65))</f>
        <v>0</v>
      </c>
      <c r="H22" s="16">
        <f t="shared" si="1"/>
        <v>0</v>
      </c>
      <c r="J22" s="17">
        <f t="shared" si="2"/>
        <v>97050</v>
      </c>
    </row>
    <row r="23" spans="1:10" x14ac:dyDescent="0.25">
      <c r="A23" s="18" t="s">
        <v>35</v>
      </c>
      <c r="B23" s="19">
        <f>SUMIF(Kontobuch!$D$6:$D$65,A23,Kontobuch!$G$6:$G$65)</f>
        <v>34.799999999999997</v>
      </c>
      <c r="C23" s="20">
        <f t="shared" si="0"/>
        <v>6.6045184015547176E-3</v>
      </c>
      <c r="E23" s="18" t="s">
        <v>36</v>
      </c>
      <c r="F23" s="19">
        <f>SUMPRODUCT((MONTH(Kontobuch!$B$6:$B$65)=10)*(Kontobuch!$B$6:$B$65&lt;&gt;"")*N(Kontobuch!$F$6:$F$65))</f>
        <v>0</v>
      </c>
      <c r="G23" s="19">
        <f>SUMPRODUCT((MONTH(Kontobuch!$B$6:$B$65)=10)*(Kontobuch!$B$6:$B$65&lt;&gt;"")*N(Kontobuch!$G$6:$G$65))</f>
        <v>0</v>
      </c>
      <c r="H23" s="21">
        <f t="shared" si="1"/>
        <v>0</v>
      </c>
      <c r="J23" s="17">
        <f t="shared" si="2"/>
        <v>97050</v>
      </c>
    </row>
    <row r="24" spans="1:10" x14ac:dyDescent="0.25">
      <c r="A24" s="43" t="s">
        <v>37</v>
      </c>
      <c r="B24" s="44">
        <f>SUM(B14:B23)</f>
        <v>5269.1200000000008</v>
      </c>
      <c r="C24" s="45">
        <f>IFERROR(B24/B24,0)</f>
        <v>1</v>
      </c>
      <c r="E24" s="13" t="s">
        <v>38</v>
      </c>
      <c r="F24" s="14">
        <f>SUMPRODUCT((MONTH(Kontobuch!$B$6:$B$65)=11)*(Kontobuch!$B$6:$B$65&lt;&gt;"")*N(Kontobuch!$F$6:$F$65))</f>
        <v>0</v>
      </c>
      <c r="G24" s="14">
        <f>SUMPRODUCT((MONTH(Kontobuch!$B$6:$B$65)=11)*(Kontobuch!$B$6:$B$65&lt;&gt;"")*N(Kontobuch!$G$6:$G$65))</f>
        <v>0</v>
      </c>
      <c r="H24" s="16">
        <f t="shared" si="1"/>
        <v>0</v>
      </c>
      <c r="J24" s="17">
        <f t="shared" si="2"/>
        <v>97050</v>
      </c>
    </row>
    <row r="25" spans="1:10" x14ac:dyDescent="0.25">
      <c r="E25" s="18" t="s">
        <v>39</v>
      </c>
      <c r="F25" s="19">
        <f>SUMPRODUCT((MONTH(Kontobuch!$B$6:$B$65)=12)*(Kontobuch!$B$6:$B$65&lt;&gt;"")*N(Kontobuch!$F$6:$F$65))</f>
        <v>0</v>
      </c>
      <c r="G25" s="19">
        <f>SUMPRODUCT((MONTH(Kontobuch!$B$6:$B$65)=12)*(Kontobuch!$B$6:$B$65&lt;&gt;"")*N(Kontobuch!$G$6:$G$65))</f>
        <v>0</v>
      </c>
      <c r="H25" s="21">
        <f t="shared" si="1"/>
        <v>0</v>
      </c>
      <c r="J25" s="17">
        <f t="shared" si="2"/>
        <v>97050</v>
      </c>
    </row>
    <row r="26" spans="1:10" x14ac:dyDescent="0.25">
      <c r="E26" s="43" t="s">
        <v>37</v>
      </c>
      <c r="F26" s="44">
        <f>SUM(F14:F25)</f>
        <v>93800</v>
      </c>
      <c r="G26" s="44">
        <f>SUM(G14:G25)</f>
        <v>0</v>
      </c>
      <c r="H26" s="44">
        <f>SUM(H14:H25)</f>
        <v>93800</v>
      </c>
    </row>
    <row r="58" spans="1:8" x14ac:dyDescent="0.25">
      <c r="A58" s="24" t="s">
        <v>40</v>
      </c>
    </row>
    <row r="59" spans="1:8" x14ac:dyDescent="0.25">
      <c r="A59" s="2" t="s">
        <v>41</v>
      </c>
      <c r="B59" s="2"/>
      <c r="C59" s="2"/>
      <c r="D59" s="2"/>
      <c r="E59" s="2"/>
      <c r="F59" s="2"/>
      <c r="G59" s="2"/>
      <c r="H59" s="2"/>
    </row>
    <row r="60" spans="1:8" x14ac:dyDescent="0.25">
      <c r="A60" s="2" t="s">
        <v>42</v>
      </c>
      <c r="B60" s="2"/>
      <c r="C60" s="2"/>
      <c r="D60" s="2"/>
      <c r="E60" s="2"/>
      <c r="F60" s="2"/>
      <c r="G60" s="2"/>
      <c r="H60" s="2"/>
    </row>
    <row r="61" spans="1:8" x14ac:dyDescent="0.25">
      <c r="A61" s="2" t="s">
        <v>43</v>
      </c>
      <c r="B61" s="2"/>
      <c r="C61" s="2"/>
      <c r="D61" s="2"/>
      <c r="E61" s="2"/>
      <c r="F61" s="2"/>
      <c r="G61" s="2"/>
      <c r="H61" s="2"/>
    </row>
    <row r="62" spans="1:8" x14ac:dyDescent="0.25">
      <c r="A62" s="2" t="s">
        <v>44</v>
      </c>
      <c r="B62" s="2"/>
      <c r="C62" s="2"/>
      <c r="D62" s="2"/>
      <c r="E62" s="2"/>
      <c r="F62" s="2"/>
      <c r="G62" s="2"/>
      <c r="H62" s="2"/>
    </row>
    <row r="63" spans="1:8" x14ac:dyDescent="0.25">
      <c r="A63" s="2" t="s">
        <v>45</v>
      </c>
      <c r="B63" s="2"/>
      <c r="C63" s="2"/>
      <c r="D63" s="2"/>
      <c r="E63" s="2"/>
      <c r="F63" s="2"/>
      <c r="G63" s="2"/>
      <c r="H63" s="2"/>
    </row>
  </sheetData>
  <mergeCells count="15">
    <mergeCell ref="A59:H59"/>
    <mergeCell ref="A60:H60"/>
    <mergeCell ref="A61:H61"/>
    <mergeCell ref="A62:H62"/>
    <mergeCell ref="A63:H63"/>
    <mergeCell ref="A7:B7"/>
    <mergeCell ref="A8:B8"/>
    <mergeCell ref="A9:B9"/>
    <mergeCell ref="A12:C12"/>
    <mergeCell ref="E12:H12"/>
    <mergeCell ref="A1:H1"/>
    <mergeCell ref="A2:H2"/>
    <mergeCell ref="A4:C4"/>
    <mergeCell ref="A5:B5"/>
    <mergeCell ref="A6:B6"/>
  </mergeCells>
  <conditionalFormatting sqref="H14:H25">
    <cfRule type="cellIs" dxfId="3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7109375" defaultRowHeight="15" x14ac:dyDescent="0.25"/>
  <cols>
    <col min="1" max="1" width="6" customWidth="1"/>
    <col min="2" max="2" width="13" customWidth="1"/>
    <col min="3" max="3" width="38" customWidth="1"/>
    <col min="4" max="4" width="22" customWidth="1"/>
    <col min="5" max="5" width="16" customWidth="1"/>
    <col min="6" max="7" width="14" customWidth="1"/>
    <col min="8" max="8" width="15" customWidth="1"/>
  </cols>
  <sheetData>
    <row r="1" spans="1:8" ht="30" customHeight="1" x14ac:dyDescent="0.25">
      <c r="A1" s="7" t="s">
        <v>46</v>
      </c>
      <c r="B1" s="7"/>
      <c r="C1" s="7"/>
      <c r="D1" s="7"/>
      <c r="E1" s="7"/>
      <c r="F1" s="7"/>
      <c r="G1" s="7"/>
      <c r="H1" s="7"/>
    </row>
    <row r="3" spans="1:8" x14ac:dyDescent="0.25">
      <c r="A3" s="1" t="s">
        <v>47</v>
      </c>
      <c r="B3" s="1"/>
      <c r="C3" s="25">
        <v>3250</v>
      </c>
      <c r="E3" s="1" t="s">
        <v>48</v>
      </c>
      <c r="F3" s="1"/>
      <c r="G3" s="26">
        <f>IFERROR(LOOKUP(2,1/(H6:H65&lt;&gt;""),H6:H65),C3)</f>
        <v>6470.08</v>
      </c>
    </row>
    <row r="5" spans="1:8" ht="21.75" customHeight="1" x14ac:dyDescent="0.25">
      <c r="A5" s="11" t="s">
        <v>49</v>
      </c>
      <c r="B5" s="11" t="s">
        <v>50</v>
      </c>
      <c r="C5" s="11" t="s">
        <v>51</v>
      </c>
      <c r="D5" s="11" t="s">
        <v>9</v>
      </c>
      <c r="E5" s="11" t="s">
        <v>52</v>
      </c>
      <c r="F5" s="11" t="s">
        <v>53</v>
      </c>
      <c r="G5" s="11" t="s">
        <v>54</v>
      </c>
      <c r="H5" s="11" t="s">
        <v>15</v>
      </c>
    </row>
    <row r="6" spans="1:8" x14ac:dyDescent="0.25">
      <c r="A6" s="27">
        <f>IF(B6="","",COUNT($B$6:B6))</f>
        <v>1</v>
      </c>
      <c r="B6" s="28">
        <v>46024</v>
      </c>
      <c r="C6" s="29" t="s">
        <v>55</v>
      </c>
      <c r="D6" s="29" t="s">
        <v>56</v>
      </c>
      <c r="E6" s="29" t="s">
        <v>57</v>
      </c>
      <c r="F6" s="30">
        <v>2680</v>
      </c>
      <c r="G6" s="30"/>
      <c r="H6" s="31">
        <f>IF(B6="","",C3+N(F6)-N(G6))</f>
        <v>5930</v>
      </c>
    </row>
    <row r="7" spans="1:8" x14ac:dyDescent="0.25">
      <c r="A7" s="32">
        <f>IF(B7="","",COUNT($B$6:B7))</f>
        <v>2</v>
      </c>
      <c r="B7" s="33">
        <v>46024</v>
      </c>
      <c r="C7" s="34" t="s">
        <v>58</v>
      </c>
      <c r="D7" s="34" t="s">
        <v>17</v>
      </c>
      <c r="E7" s="34" t="s">
        <v>59</v>
      </c>
      <c r="F7" s="35"/>
      <c r="G7" s="35">
        <v>940</v>
      </c>
      <c r="H7" s="36">
        <f t="shared" ref="H7:H38" si="0">IF(B7="","",H6+N(F7)-N(G7))</f>
        <v>4990</v>
      </c>
    </row>
    <row r="8" spans="1:8" x14ac:dyDescent="0.25">
      <c r="A8" s="27">
        <f>IF(B8="","",COUNT($B$6:B8))</f>
        <v>3</v>
      </c>
      <c r="B8" s="28">
        <v>46025</v>
      </c>
      <c r="C8" s="29" t="s">
        <v>60</v>
      </c>
      <c r="D8" s="29" t="s">
        <v>25</v>
      </c>
      <c r="E8" s="29" t="s">
        <v>61</v>
      </c>
      <c r="F8" s="30"/>
      <c r="G8" s="30">
        <v>128</v>
      </c>
      <c r="H8" s="31">
        <f t="shared" si="0"/>
        <v>4862</v>
      </c>
    </row>
    <row r="9" spans="1:8" x14ac:dyDescent="0.25">
      <c r="A9" s="32">
        <f>IF(B9="","",COUNT($B$6:B9))</f>
        <v>4</v>
      </c>
      <c r="B9" s="33">
        <v>46027</v>
      </c>
      <c r="C9" s="34" t="s">
        <v>62</v>
      </c>
      <c r="D9" s="34" t="s">
        <v>19</v>
      </c>
      <c r="E9" s="34" t="s">
        <v>63</v>
      </c>
      <c r="F9" s="35"/>
      <c r="G9" s="35">
        <v>86.4</v>
      </c>
      <c r="H9" s="36">
        <f t="shared" si="0"/>
        <v>4775.6000000000004</v>
      </c>
    </row>
    <row r="10" spans="1:8" x14ac:dyDescent="0.25">
      <c r="A10" s="27">
        <f>IF(B10="","",COUNT($B$6:B10))</f>
        <v>5</v>
      </c>
      <c r="B10" s="28">
        <v>46031</v>
      </c>
      <c r="C10" s="29" t="s">
        <v>64</v>
      </c>
      <c r="D10" s="29" t="s">
        <v>27</v>
      </c>
      <c r="E10" s="29" t="s">
        <v>61</v>
      </c>
      <c r="F10" s="30"/>
      <c r="G10" s="30">
        <v>49.99</v>
      </c>
      <c r="H10" s="31">
        <f t="shared" si="0"/>
        <v>4725.6100000000006</v>
      </c>
    </row>
    <row r="11" spans="1:8" x14ac:dyDescent="0.25">
      <c r="A11" s="32">
        <f>IF(B11="","",COUNT($B$6:B11))</f>
        <v>6</v>
      </c>
      <c r="B11" s="33">
        <v>46034</v>
      </c>
      <c r="C11" s="34" t="s">
        <v>65</v>
      </c>
      <c r="D11" s="34" t="s">
        <v>23</v>
      </c>
      <c r="E11" s="34" t="s">
        <v>63</v>
      </c>
      <c r="F11" s="35"/>
      <c r="G11" s="35">
        <v>71.3</v>
      </c>
      <c r="H11" s="36">
        <f t="shared" si="0"/>
        <v>4654.3100000000004</v>
      </c>
    </row>
    <row r="12" spans="1:8" x14ac:dyDescent="0.25">
      <c r="A12" s="27">
        <f>IF(B12="","",COUNT($B$6:B12))</f>
        <v>7</v>
      </c>
      <c r="B12" s="28">
        <v>46037</v>
      </c>
      <c r="C12" s="29" t="s">
        <v>66</v>
      </c>
      <c r="D12" s="29" t="s">
        <v>21</v>
      </c>
      <c r="E12" s="29" t="s">
        <v>61</v>
      </c>
      <c r="F12" s="30"/>
      <c r="G12" s="30">
        <v>62.5</v>
      </c>
      <c r="H12" s="31">
        <f t="shared" si="0"/>
        <v>4591.8100000000004</v>
      </c>
    </row>
    <row r="13" spans="1:8" x14ac:dyDescent="0.25">
      <c r="A13" s="32">
        <f>IF(B13="","",COUNT($B$6:B13))</f>
        <v>8</v>
      </c>
      <c r="B13" s="33">
        <v>46040</v>
      </c>
      <c r="C13" s="34" t="s">
        <v>67</v>
      </c>
      <c r="D13" s="34" t="s">
        <v>19</v>
      </c>
      <c r="E13" s="34" t="s">
        <v>63</v>
      </c>
      <c r="F13" s="35"/>
      <c r="G13" s="35">
        <v>94.1</v>
      </c>
      <c r="H13" s="36">
        <f t="shared" si="0"/>
        <v>4497.71</v>
      </c>
    </row>
    <row r="14" spans="1:8" x14ac:dyDescent="0.25">
      <c r="A14" s="27">
        <f>IF(B14="","",COUNT($B$6:B14))</f>
        <v>9</v>
      </c>
      <c r="B14" s="28">
        <v>46044</v>
      </c>
      <c r="C14" s="29" t="s">
        <v>68</v>
      </c>
      <c r="D14" s="29" t="s">
        <v>29</v>
      </c>
      <c r="E14" s="29" t="s">
        <v>63</v>
      </c>
      <c r="F14" s="30"/>
      <c r="G14" s="30">
        <v>27</v>
      </c>
      <c r="H14" s="31">
        <f t="shared" si="0"/>
        <v>4470.71</v>
      </c>
    </row>
    <row r="15" spans="1:8" x14ac:dyDescent="0.25">
      <c r="A15" s="32">
        <f>IF(B15="","",COUNT($B$6:B15))</f>
        <v>10</v>
      </c>
      <c r="B15" s="33">
        <v>46050</v>
      </c>
      <c r="C15" s="34" t="s">
        <v>69</v>
      </c>
      <c r="D15" s="34" t="s">
        <v>33</v>
      </c>
      <c r="E15" s="34" t="s">
        <v>57</v>
      </c>
      <c r="F15" s="35"/>
      <c r="G15" s="35">
        <v>250</v>
      </c>
      <c r="H15" s="36">
        <f t="shared" si="0"/>
        <v>4220.71</v>
      </c>
    </row>
    <row r="16" spans="1:8" x14ac:dyDescent="0.25">
      <c r="A16" s="27">
        <f>IF(B16="","",COUNT($B$6:B16))</f>
        <v>11</v>
      </c>
      <c r="B16" s="28">
        <v>46053</v>
      </c>
      <c r="C16" s="29" t="s">
        <v>70</v>
      </c>
      <c r="D16" s="29" t="s">
        <v>71</v>
      </c>
      <c r="E16" s="29" t="s">
        <v>57</v>
      </c>
      <c r="F16" s="30">
        <v>64.2</v>
      </c>
      <c r="G16" s="30"/>
      <c r="H16" s="31">
        <f t="shared" si="0"/>
        <v>4284.91</v>
      </c>
    </row>
    <row r="17" spans="1:8" x14ac:dyDescent="0.25">
      <c r="A17" s="32">
        <f>IF(B17="","",COUNT($B$6:B17))</f>
        <v>12</v>
      </c>
      <c r="B17" s="33">
        <v>46055</v>
      </c>
      <c r="C17" s="34" t="s">
        <v>72</v>
      </c>
      <c r="D17" s="34" t="s">
        <v>56</v>
      </c>
      <c r="E17" s="34" t="s">
        <v>57</v>
      </c>
      <c r="F17" s="35">
        <v>2680</v>
      </c>
      <c r="G17" s="35"/>
      <c r="H17" s="36">
        <f t="shared" si="0"/>
        <v>6964.91</v>
      </c>
    </row>
    <row r="18" spans="1:8" x14ac:dyDescent="0.25">
      <c r="A18" s="27">
        <f>IF(B18="","",COUNT($B$6:B18))</f>
        <v>13</v>
      </c>
      <c r="B18" s="28">
        <v>46055</v>
      </c>
      <c r="C18" s="29" t="s">
        <v>73</v>
      </c>
      <c r="D18" s="29" t="s">
        <v>17</v>
      </c>
      <c r="E18" s="29" t="s">
        <v>59</v>
      </c>
      <c r="F18" s="30"/>
      <c r="G18" s="30">
        <v>940</v>
      </c>
      <c r="H18" s="31">
        <f t="shared" si="0"/>
        <v>6024.91</v>
      </c>
    </row>
    <row r="19" spans="1:8" x14ac:dyDescent="0.25">
      <c r="A19" s="32">
        <f>IF(B19="","",COUNT($B$6:B19))</f>
        <v>14</v>
      </c>
      <c r="B19" s="33">
        <v>46056</v>
      </c>
      <c r="C19" s="34" t="s">
        <v>60</v>
      </c>
      <c r="D19" s="34" t="s">
        <v>25</v>
      </c>
      <c r="E19" s="34" t="s">
        <v>61</v>
      </c>
      <c r="F19" s="35"/>
      <c r="G19" s="35">
        <v>128</v>
      </c>
      <c r="H19" s="36">
        <f t="shared" si="0"/>
        <v>5896.91</v>
      </c>
    </row>
    <row r="20" spans="1:8" x14ac:dyDescent="0.25">
      <c r="A20" s="27">
        <f>IF(B20="","",COUNT($B$6:B20))</f>
        <v>15</v>
      </c>
      <c r="B20" s="28">
        <v>46059</v>
      </c>
      <c r="C20" s="29" t="s">
        <v>67</v>
      </c>
      <c r="D20" s="29" t="s">
        <v>19</v>
      </c>
      <c r="E20" s="29" t="s">
        <v>63</v>
      </c>
      <c r="F20" s="30"/>
      <c r="G20" s="30">
        <v>102.75</v>
      </c>
      <c r="H20" s="31">
        <f t="shared" si="0"/>
        <v>5794.16</v>
      </c>
    </row>
    <row r="21" spans="1:8" x14ac:dyDescent="0.25">
      <c r="A21" s="32">
        <f>IF(B21="","",COUNT($B$6:B21))</f>
        <v>16</v>
      </c>
      <c r="B21" s="33">
        <v>46062</v>
      </c>
      <c r="C21" s="34" t="s">
        <v>64</v>
      </c>
      <c r="D21" s="34" t="s">
        <v>27</v>
      </c>
      <c r="E21" s="34" t="s">
        <v>61</v>
      </c>
      <c r="F21" s="35"/>
      <c r="G21" s="35">
        <v>49.99</v>
      </c>
      <c r="H21" s="36">
        <f t="shared" si="0"/>
        <v>5744.17</v>
      </c>
    </row>
    <row r="22" spans="1:8" x14ac:dyDescent="0.25">
      <c r="A22" s="27">
        <f>IF(B22="","",COUNT($B$6:B22))</f>
        <v>17</v>
      </c>
      <c r="B22" s="28">
        <v>46067</v>
      </c>
      <c r="C22" s="29" t="s">
        <v>74</v>
      </c>
      <c r="D22" s="29" t="s">
        <v>29</v>
      </c>
      <c r="E22" s="29" t="s">
        <v>63</v>
      </c>
      <c r="F22" s="30"/>
      <c r="G22" s="30">
        <v>58.2</v>
      </c>
      <c r="H22" s="31">
        <f t="shared" si="0"/>
        <v>5685.97</v>
      </c>
    </row>
    <row r="23" spans="1:8" x14ac:dyDescent="0.25">
      <c r="A23" s="32">
        <f>IF(B23="","",COUNT($B$6:B23))</f>
        <v>18</v>
      </c>
      <c r="B23" s="33">
        <v>46068</v>
      </c>
      <c r="C23" s="34" t="s">
        <v>66</v>
      </c>
      <c r="D23" s="34" t="s">
        <v>21</v>
      </c>
      <c r="E23" s="34" t="s">
        <v>61</v>
      </c>
      <c r="F23" s="35"/>
      <c r="G23" s="35">
        <v>62.5</v>
      </c>
      <c r="H23" s="36">
        <f t="shared" si="0"/>
        <v>5623.47</v>
      </c>
    </row>
    <row r="24" spans="1:8" x14ac:dyDescent="0.25">
      <c r="A24" s="27">
        <f>IF(B24="","",COUNT($B$6:B24))</f>
        <v>19</v>
      </c>
      <c r="B24" s="28">
        <v>46070</v>
      </c>
      <c r="C24" s="29" t="s">
        <v>65</v>
      </c>
      <c r="D24" s="29" t="s">
        <v>23</v>
      </c>
      <c r="E24" s="29" t="s">
        <v>63</v>
      </c>
      <c r="F24" s="30"/>
      <c r="G24" s="30">
        <v>68.900000000000006</v>
      </c>
      <c r="H24" s="31">
        <f t="shared" si="0"/>
        <v>5554.5700000000006</v>
      </c>
    </row>
    <row r="25" spans="1:8" x14ac:dyDescent="0.25">
      <c r="A25" s="32">
        <f>IF(B25="","",COUNT($B$6:B25))</f>
        <v>20</v>
      </c>
      <c r="B25" s="33">
        <v>46073</v>
      </c>
      <c r="C25" s="34" t="s">
        <v>67</v>
      </c>
      <c r="D25" s="34" t="s">
        <v>19</v>
      </c>
      <c r="E25" s="34" t="s">
        <v>63</v>
      </c>
      <c r="F25" s="35"/>
      <c r="G25" s="35">
        <v>79.3</v>
      </c>
      <c r="H25" s="36">
        <f t="shared" si="0"/>
        <v>5475.27</v>
      </c>
    </row>
    <row r="26" spans="1:8" x14ac:dyDescent="0.25">
      <c r="A26" s="27">
        <f>IF(B26="","",COUNT($B$6:B26))</f>
        <v>21</v>
      </c>
      <c r="B26" s="28">
        <v>46077</v>
      </c>
      <c r="C26" s="29" t="s">
        <v>75</v>
      </c>
      <c r="D26" s="29" t="s">
        <v>31</v>
      </c>
      <c r="E26" s="29" t="s">
        <v>63</v>
      </c>
      <c r="F26" s="30"/>
      <c r="G26" s="30">
        <v>23.45</v>
      </c>
      <c r="H26" s="31">
        <f t="shared" si="0"/>
        <v>5451.8200000000006</v>
      </c>
    </row>
    <row r="27" spans="1:8" x14ac:dyDescent="0.25">
      <c r="A27" s="32">
        <f>IF(B27="","",COUNT($B$6:B27))</f>
        <v>22</v>
      </c>
      <c r="B27" s="33">
        <v>46079</v>
      </c>
      <c r="C27" s="34" t="s">
        <v>76</v>
      </c>
      <c r="D27" s="34" t="s">
        <v>77</v>
      </c>
      <c r="E27" s="34" t="s">
        <v>57</v>
      </c>
      <c r="F27" s="35">
        <v>85</v>
      </c>
      <c r="G27" s="35"/>
      <c r="H27" s="36">
        <f t="shared" si="0"/>
        <v>5536.8200000000006</v>
      </c>
    </row>
    <row r="28" spans="1:8" x14ac:dyDescent="0.25">
      <c r="A28" s="27">
        <f>IF(B28="","",COUNT($B$6:B28))</f>
        <v>23</v>
      </c>
      <c r="B28" s="28">
        <v>46081</v>
      </c>
      <c r="C28" s="29" t="s">
        <v>69</v>
      </c>
      <c r="D28" s="29" t="s">
        <v>33</v>
      </c>
      <c r="E28" s="29" t="s">
        <v>57</v>
      </c>
      <c r="F28" s="30"/>
      <c r="G28" s="30">
        <v>250</v>
      </c>
      <c r="H28" s="31">
        <f t="shared" si="0"/>
        <v>5286.8200000000006</v>
      </c>
    </row>
    <row r="29" spans="1:8" x14ac:dyDescent="0.25">
      <c r="A29" s="32">
        <f>IF(B29="","",COUNT($B$6:B29))</f>
        <v>24</v>
      </c>
      <c r="B29" s="33">
        <v>46083</v>
      </c>
      <c r="C29" s="34" t="s">
        <v>78</v>
      </c>
      <c r="D29" s="34" t="s">
        <v>56</v>
      </c>
      <c r="E29" s="34" t="s">
        <v>57</v>
      </c>
      <c r="F29" s="35">
        <v>2680</v>
      </c>
      <c r="G29" s="35"/>
      <c r="H29" s="36">
        <f t="shared" si="0"/>
        <v>7966.8200000000006</v>
      </c>
    </row>
    <row r="30" spans="1:8" x14ac:dyDescent="0.25">
      <c r="A30" s="27">
        <f>IF(B30="","",COUNT($B$6:B30))</f>
        <v>25</v>
      </c>
      <c r="B30" s="28">
        <v>46083</v>
      </c>
      <c r="C30" s="29" t="s">
        <v>79</v>
      </c>
      <c r="D30" s="29" t="s">
        <v>17</v>
      </c>
      <c r="E30" s="29" t="s">
        <v>59</v>
      </c>
      <c r="F30" s="30"/>
      <c r="G30" s="30">
        <v>940</v>
      </c>
      <c r="H30" s="31">
        <f t="shared" si="0"/>
        <v>7026.8200000000006</v>
      </c>
    </row>
    <row r="31" spans="1:8" x14ac:dyDescent="0.25">
      <c r="A31" s="32">
        <f>IF(B31="","",COUNT($B$6:B31))</f>
        <v>26</v>
      </c>
      <c r="B31" s="33">
        <v>46084</v>
      </c>
      <c r="C31" s="34" t="s">
        <v>60</v>
      </c>
      <c r="D31" s="34" t="s">
        <v>25</v>
      </c>
      <c r="E31" s="34" t="s">
        <v>61</v>
      </c>
      <c r="F31" s="35"/>
      <c r="G31" s="35">
        <v>128</v>
      </c>
      <c r="H31" s="36">
        <f t="shared" si="0"/>
        <v>6898.8200000000006</v>
      </c>
    </row>
    <row r="32" spans="1:8" x14ac:dyDescent="0.25">
      <c r="A32" s="27">
        <f>IF(B32="","",COUNT($B$6:B32))</f>
        <v>27</v>
      </c>
      <c r="B32" s="28">
        <v>46088</v>
      </c>
      <c r="C32" s="29" t="s">
        <v>67</v>
      </c>
      <c r="D32" s="29" t="s">
        <v>19</v>
      </c>
      <c r="E32" s="29" t="s">
        <v>63</v>
      </c>
      <c r="F32" s="30"/>
      <c r="G32" s="30">
        <v>91.6</v>
      </c>
      <c r="H32" s="31">
        <f t="shared" si="0"/>
        <v>6807.22</v>
      </c>
    </row>
    <row r="33" spans="1:8" x14ac:dyDescent="0.25">
      <c r="A33" s="32">
        <f>IF(B33="","",COUNT($B$6:B33))</f>
        <v>28</v>
      </c>
      <c r="B33" s="33">
        <v>46090</v>
      </c>
      <c r="C33" s="34" t="s">
        <v>64</v>
      </c>
      <c r="D33" s="34" t="s">
        <v>27</v>
      </c>
      <c r="E33" s="34" t="s">
        <v>61</v>
      </c>
      <c r="F33" s="35"/>
      <c r="G33" s="35">
        <v>49.99</v>
      </c>
      <c r="H33" s="36">
        <f t="shared" si="0"/>
        <v>6757.2300000000005</v>
      </c>
    </row>
    <row r="34" spans="1:8" x14ac:dyDescent="0.25">
      <c r="A34" s="27">
        <f>IF(B34="","",COUNT($B$6:B34))</f>
        <v>29</v>
      </c>
      <c r="B34" s="28">
        <v>46092</v>
      </c>
      <c r="C34" s="29" t="s">
        <v>80</v>
      </c>
      <c r="D34" s="29" t="s">
        <v>21</v>
      </c>
      <c r="E34" s="29" t="s">
        <v>61</v>
      </c>
      <c r="F34" s="30"/>
      <c r="G34" s="30">
        <v>96</v>
      </c>
      <c r="H34" s="31">
        <f t="shared" si="0"/>
        <v>6661.2300000000005</v>
      </c>
    </row>
    <row r="35" spans="1:8" x14ac:dyDescent="0.25">
      <c r="A35" s="32">
        <f>IF(B35="","",COUNT($B$6:B35))</f>
        <v>30</v>
      </c>
      <c r="B35" s="33">
        <v>46096</v>
      </c>
      <c r="C35" s="34" t="s">
        <v>65</v>
      </c>
      <c r="D35" s="34" t="s">
        <v>23</v>
      </c>
      <c r="E35" s="34" t="s">
        <v>63</v>
      </c>
      <c r="F35" s="35"/>
      <c r="G35" s="35">
        <v>73.099999999999994</v>
      </c>
      <c r="H35" s="36">
        <f t="shared" si="0"/>
        <v>6588.13</v>
      </c>
    </row>
    <row r="36" spans="1:8" x14ac:dyDescent="0.25">
      <c r="A36" s="27">
        <f>IF(B36="","",COUNT($B$6:B36))</f>
        <v>31</v>
      </c>
      <c r="B36" s="28">
        <v>46099</v>
      </c>
      <c r="C36" s="29" t="s">
        <v>67</v>
      </c>
      <c r="D36" s="29" t="s">
        <v>19</v>
      </c>
      <c r="E36" s="29" t="s">
        <v>63</v>
      </c>
      <c r="F36" s="30"/>
      <c r="G36" s="30">
        <v>88.25</v>
      </c>
      <c r="H36" s="31">
        <f t="shared" si="0"/>
        <v>6499.88</v>
      </c>
    </row>
    <row r="37" spans="1:8" x14ac:dyDescent="0.25">
      <c r="A37" s="32">
        <f>IF(B37="","",COUNT($B$6:B37))</f>
        <v>32</v>
      </c>
      <c r="B37" s="33">
        <v>46102</v>
      </c>
      <c r="C37" s="34" t="s">
        <v>81</v>
      </c>
      <c r="D37" s="34" t="s">
        <v>29</v>
      </c>
      <c r="E37" s="34" t="s">
        <v>61</v>
      </c>
      <c r="F37" s="35"/>
      <c r="G37" s="35">
        <v>45</v>
      </c>
      <c r="H37" s="36">
        <f t="shared" si="0"/>
        <v>6454.88</v>
      </c>
    </row>
    <row r="38" spans="1:8" x14ac:dyDescent="0.25">
      <c r="A38" s="27">
        <f>IF(B38="","",COUNT($B$6:B38))</f>
        <v>33</v>
      </c>
      <c r="B38" s="28">
        <v>46106</v>
      </c>
      <c r="C38" s="29" t="s">
        <v>82</v>
      </c>
      <c r="D38" s="29" t="s">
        <v>77</v>
      </c>
      <c r="E38" s="29" t="s">
        <v>57</v>
      </c>
      <c r="F38" s="30">
        <v>300</v>
      </c>
      <c r="G38" s="30"/>
      <c r="H38" s="31">
        <f t="shared" si="0"/>
        <v>6754.88</v>
      </c>
    </row>
    <row r="39" spans="1:8" x14ac:dyDescent="0.25">
      <c r="A39" s="32">
        <f>IF(B39="","",COUNT($B$6:B39))</f>
        <v>34</v>
      </c>
      <c r="B39" s="33">
        <v>46109</v>
      </c>
      <c r="C39" s="34" t="s">
        <v>69</v>
      </c>
      <c r="D39" s="34" t="s">
        <v>33</v>
      </c>
      <c r="E39" s="34" t="s">
        <v>57</v>
      </c>
      <c r="F39" s="35"/>
      <c r="G39" s="35">
        <v>250</v>
      </c>
      <c r="H39" s="36">
        <f t="shared" ref="H39:H70" si="1">IF(B39="","",H38+N(F39)-N(G39))</f>
        <v>6504.88</v>
      </c>
    </row>
    <row r="40" spans="1:8" x14ac:dyDescent="0.25">
      <c r="A40" s="27">
        <f>IF(B40="","",COUNT($B$6:B40))</f>
        <v>35</v>
      </c>
      <c r="B40" s="28">
        <v>46111</v>
      </c>
      <c r="C40" s="29" t="s">
        <v>83</v>
      </c>
      <c r="D40" s="29" t="s">
        <v>35</v>
      </c>
      <c r="E40" s="29" t="s">
        <v>63</v>
      </c>
      <c r="F40" s="30"/>
      <c r="G40" s="30">
        <v>34.799999999999997</v>
      </c>
      <c r="H40" s="31">
        <f t="shared" si="1"/>
        <v>6470.08</v>
      </c>
    </row>
    <row r="41" spans="1:8" x14ac:dyDescent="0.25">
      <c r="A41" s="32" t="str">
        <f>IF(B41="","",COUNT($B$6:B41))</f>
        <v/>
      </c>
      <c r="B41" s="33"/>
      <c r="C41" s="34"/>
      <c r="D41" s="34"/>
      <c r="E41" s="34"/>
      <c r="F41" s="35"/>
      <c r="G41" s="35"/>
      <c r="H41" s="36" t="str">
        <f t="shared" si="1"/>
        <v/>
      </c>
    </row>
    <row r="42" spans="1:8" x14ac:dyDescent="0.25">
      <c r="A42" s="27" t="str">
        <f>IF(B42="","",COUNT($B$6:B42))</f>
        <v/>
      </c>
      <c r="B42" s="28"/>
      <c r="C42" s="29"/>
      <c r="D42" s="29"/>
      <c r="E42" s="29"/>
      <c r="F42" s="30"/>
      <c r="G42" s="30"/>
      <c r="H42" s="31" t="str">
        <f t="shared" si="1"/>
        <v/>
      </c>
    </row>
    <row r="43" spans="1:8" x14ac:dyDescent="0.25">
      <c r="A43" s="32" t="str">
        <f>IF(B43="","",COUNT($B$6:B43))</f>
        <v/>
      </c>
      <c r="B43" s="33"/>
      <c r="C43" s="34"/>
      <c r="D43" s="34"/>
      <c r="E43" s="34"/>
      <c r="F43" s="35"/>
      <c r="G43" s="35"/>
      <c r="H43" s="36" t="str">
        <f t="shared" si="1"/>
        <v/>
      </c>
    </row>
    <row r="44" spans="1:8" x14ac:dyDescent="0.25">
      <c r="A44" s="27" t="str">
        <f>IF(B44="","",COUNT($B$6:B44))</f>
        <v/>
      </c>
      <c r="B44" s="28"/>
      <c r="C44" s="29"/>
      <c r="D44" s="29"/>
      <c r="E44" s="29"/>
      <c r="F44" s="30"/>
      <c r="G44" s="30"/>
      <c r="H44" s="31" t="str">
        <f t="shared" si="1"/>
        <v/>
      </c>
    </row>
    <row r="45" spans="1:8" x14ac:dyDescent="0.25">
      <c r="A45" s="32" t="str">
        <f>IF(B45="","",COUNT($B$6:B45))</f>
        <v/>
      </c>
      <c r="B45" s="33"/>
      <c r="C45" s="34"/>
      <c r="D45" s="34"/>
      <c r="E45" s="34"/>
      <c r="F45" s="35"/>
      <c r="G45" s="35"/>
      <c r="H45" s="36" t="str">
        <f t="shared" si="1"/>
        <v/>
      </c>
    </row>
    <row r="46" spans="1:8" x14ac:dyDescent="0.25">
      <c r="A46" s="27" t="str">
        <f>IF(B46="","",COUNT($B$6:B46))</f>
        <v/>
      </c>
      <c r="B46" s="28"/>
      <c r="C46" s="29"/>
      <c r="D46" s="29"/>
      <c r="E46" s="29"/>
      <c r="F46" s="30"/>
      <c r="G46" s="30"/>
      <c r="H46" s="31" t="str">
        <f t="shared" si="1"/>
        <v/>
      </c>
    </row>
    <row r="47" spans="1:8" x14ac:dyDescent="0.25">
      <c r="A47" s="32" t="str">
        <f>IF(B47="","",COUNT($B$6:B47))</f>
        <v/>
      </c>
      <c r="B47" s="33"/>
      <c r="C47" s="34"/>
      <c r="D47" s="34"/>
      <c r="E47" s="34"/>
      <c r="F47" s="35"/>
      <c r="G47" s="35"/>
      <c r="H47" s="36" t="str">
        <f t="shared" si="1"/>
        <v/>
      </c>
    </row>
    <row r="48" spans="1:8" x14ac:dyDescent="0.25">
      <c r="A48" s="27" t="str">
        <f>IF(B48="","",COUNT($B$6:B48))</f>
        <v/>
      </c>
      <c r="B48" s="28"/>
      <c r="C48" s="29"/>
      <c r="D48" s="29"/>
      <c r="E48" s="29"/>
      <c r="F48" s="30"/>
      <c r="G48" s="30"/>
      <c r="H48" s="31" t="str">
        <f t="shared" si="1"/>
        <v/>
      </c>
    </row>
    <row r="49" spans="1:8" x14ac:dyDescent="0.25">
      <c r="A49" s="32" t="str">
        <f>IF(B49="","",COUNT($B$6:B49))</f>
        <v/>
      </c>
      <c r="B49" s="33"/>
      <c r="C49" s="34"/>
      <c r="D49" s="34"/>
      <c r="E49" s="34"/>
      <c r="F49" s="35"/>
      <c r="G49" s="35"/>
      <c r="H49" s="36" t="str">
        <f t="shared" si="1"/>
        <v/>
      </c>
    </row>
    <row r="50" spans="1:8" x14ac:dyDescent="0.25">
      <c r="A50" s="27" t="str">
        <f>IF(B50="","",COUNT($B$6:B50))</f>
        <v/>
      </c>
      <c r="B50" s="28"/>
      <c r="C50" s="29"/>
      <c r="D50" s="29"/>
      <c r="E50" s="29"/>
      <c r="F50" s="30"/>
      <c r="G50" s="30"/>
      <c r="H50" s="31" t="str">
        <f t="shared" si="1"/>
        <v/>
      </c>
    </row>
    <row r="51" spans="1:8" x14ac:dyDescent="0.25">
      <c r="A51" s="32" t="str">
        <f>IF(B51="","",COUNT($B$6:B51))</f>
        <v/>
      </c>
      <c r="B51" s="33"/>
      <c r="C51" s="34"/>
      <c r="D51" s="34"/>
      <c r="E51" s="34"/>
      <c r="F51" s="35"/>
      <c r="G51" s="35"/>
      <c r="H51" s="36" t="str">
        <f t="shared" si="1"/>
        <v/>
      </c>
    </row>
    <row r="52" spans="1:8" x14ac:dyDescent="0.25">
      <c r="A52" s="27" t="str">
        <f>IF(B52="","",COUNT($B$6:B52))</f>
        <v/>
      </c>
      <c r="B52" s="28"/>
      <c r="C52" s="29"/>
      <c r="D52" s="29"/>
      <c r="E52" s="29"/>
      <c r="F52" s="30"/>
      <c r="G52" s="30"/>
      <c r="H52" s="31" t="str">
        <f t="shared" si="1"/>
        <v/>
      </c>
    </row>
    <row r="53" spans="1:8" x14ac:dyDescent="0.25">
      <c r="A53" s="32" t="str">
        <f>IF(B53="","",COUNT($B$6:B53))</f>
        <v/>
      </c>
      <c r="B53" s="33"/>
      <c r="C53" s="34"/>
      <c r="D53" s="34"/>
      <c r="E53" s="34"/>
      <c r="F53" s="35"/>
      <c r="G53" s="35"/>
      <c r="H53" s="36" t="str">
        <f t="shared" si="1"/>
        <v/>
      </c>
    </row>
    <row r="54" spans="1:8" x14ac:dyDescent="0.25">
      <c r="A54" s="27" t="str">
        <f>IF(B54="","",COUNT($B$6:B54))</f>
        <v/>
      </c>
      <c r="B54" s="28"/>
      <c r="C54" s="29"/>
      <c r="D54" s="29"/>
      <c r="E54" s="29"/>
      <c r="F54" s="30"/>
      <c r="G54" s="30"/>
      <c r="H54" s="31" t="str">
        <f t="shared" si="1"/>
        <v/>
      </c>
    </row>
    <row r="55" spans="1:8" x14ac:dyDescent="0.25">
      <c r="A55" s="32" t="str">
        <f>IF(B55="","",COUNT($B$6:B55))</f>
        <v/>
      </c>
      <c r="B55" s="33"/>
      <c r="C55" s="34"/>
      <c r="D55" s="34"/>
      <c r="E55" s="34"/>
      <c r="F55" s="35"/>
      <c r="G55" s="35"/>
      <c r="H55" s="36" t="str">
        <f t="shared" si="1"/>
        <v/>
      </c>
    </row>
    <row r="56" spans="1:8" x14ac:dyDescent="0.25">
      <c r="A56" s="27" t="str">
        <f>IF(B56="","",COUNT($B$6:B56))</f>
        <v/>
      </c>
      <c r="B56" s="28"/>
      <c r="C56" s="29"/>
      <c r="D56" s="29"/>
      <c r="E56" s="29"/>
      <c r="F56" s="30"/>
      <c r="G56" s="30"/>
      <c r="H56" s="31" t="str">
        <f t="shared" si="1"/>
        <v/>
      </c>
    </row>
    <row r="57" spans="1:8" x14ac:dyDescent="0.25">
      <c r="A57" s="32" t="str">
        <f>IF(B57="","",COUNT($B$6:B57))</f>
        <v/>
      </c>
      <c r="B57" s="33"/>
      <c r="C57" s="34"/>
      <c r="D57" s="34"/>
      <c r="E57" s="34"/>
      <c r="F57" s="35"/>
      <c r="G57" s="35"/>
      <c r="H57" s="36" t="str">
        <f t="shared" si="1"/>
        <v/>
      </c>
    </row>
    <row r="58" spans="1:8" x14ac:dyDescent="0.25">
      <c r="A58" s="27" t="str">
        <f>IF(B58="","",COUNT($B$6:B58))</f>
        <v/>
      </c>
      <c r="B58" s="28"/>
      <c r="C58" s="29"/>
      <c r="D58" s="29"/>
      <c r="E58" s="29"/>
      <c r="F58" s="30"/>
      <c r="G58" s="30"/>
      <c r="H58" s="31" t="str">
        <f t="shared" si="1"/>
        <v/>
      </c>
    </row>
    <row r="59" spans="1:8" x14ac:dyDescent="0.25">
      <c r="A59" s="32" t="str">
        <f>IF(B59="","",COUNT($B$6:B59))</f>
        <v/>
      </c>
      <c r="B59" s="33"/>
      <c r="C59" s="34"/>
      <c r="D59" s="34"/>
      <c r="E59" s="34"/>
      <c r="F59" s="35"/>
      <c r="G59" s="35"/>
      <c r="H59" s="36" t="str">
        <f t="shared" si="1"/>
        <v/>
      </c>
    </row>
    <row r="60" spans="1:8" x14ac:dyDescent="0.25">
      <c r="A60" s="27" t="str">
        <f>IF(B60="","",COUNT($B$6:B60))</f>
        <v/>
      </c>
      <c r="B60" s="28"/>
      <c r="C60" s="29"/>
      <c r="D60" s="29"/>
      <c r="E60" s="29"/>
      <c r="F60" s="30"/>
      <c r="G60" s="30"/>
      <c r="H60" s="31" t="str">
        <f t="shared" si="1"/>
        <v/>
      </c>
    </row>
    <row r="61" spans="1:8" x14ac:dyDescent="0.25">
      <c r="A61" s="32" t="str">
        <f>IF(B61="","",COUNT($B$6:B61))</f>
        <v/>
      </c>
      <c r="B61" s="33"/>
      <c r="C61" s="34"/>
      <c r="D61" s="34"/>
      <c r="E61" s="34"/>
      <c r="F61" s="35"/>
      <c r="G61" s="35"/>
      <c r="H61" s="36" t="str">
        <f t="shared" si="1"/>
        <v/>
      </c>
    </row>
    <row r="62" spans="1:8" x14ac:dyDescent="0.25">
      <c r="A62" s="27" t="str">
        <f>IF(B62="","",COUNT($B$6:B62))</f>
        <v/>
      </c>
      <c r="B62" s="28"/>
      <c r="C62" s="29"/>
      <c r="D62" s="29"/>
      <c r="E62" s="29"/>
      <c r="F62" s="30"/>
      <c r="G62" s="30"/>
      <c r="H62" s="31" t="str">
        <f t="shared" si="1"/>
        <v/>
      </c>
    </row>
    <row r="63" spans="1:8" x14ac:dyDescent="0.25">
      <c r="A63" s="32" t="str">
        <f>IF(B63="","",COUNT($B$6:B63))</f>
        <v/>
      </c>
      <c r="B63" s="33"/>
      <c r="C63" s="34"/>
      <c r="D63" s="34"/>
      <c r="E63" s="34"/>
      <c r="F63" s="35"/>
      <c r="G63" s="35"/>
      <c r="H63" s="36" t="str">
        <f t="shared" si="1"/>
        <v/>
      </c>
    </row>
    <row r="64" spans="1:8" x14ac:dyDescent="0.25">
      <c r="A64" s="27" t="str">
        <f>IF(B64="","",COUNT($B$6:B64))</f>
        <v/>
      </c>
      <c r="B64" s="28"/>
      <c r="C64" s="29"/>
      <c r="D64" s="29"/>
      <c r="E64" s="29"/>
      <c r="F64" s="30"/>
      <c r="G64" s="30"/>
      <c r="H64" s="31" t="str">
        <f t="shared" si="1"/>
        <v/>
      </c>
    </row>
    <row r="65" spans="1:8" x14ac:dyDescent="0.25">
      <c r="A65" s="32" t="str">
        <f>IF(B65="","",COUNT($B$6:B65))</f>
        <v/>
      </c>
      <c r="B65" s="33"/>
      <c r="C65" s="34"/>
      <c r="D65" s="34"/>
      <c r="E65" s="34"/>
      <c r="F65" s="35"/>
      <c r="G65" s="35"/>
      <c r="H65" s="36" t="str">
        <f t="shared" si="1"/>
        <v/>
      </c>
    </row>
    <row r="66" spans="1:8" x14ac:dyDescent="0.25">
      <c r="A66" s="22"/>
      <c r="B66" s="22"/>
      <c r="C66" s="37" t="s">
        <v>84</v>
      </c>
      <c r="D66" s="22"/>
      <c r="E66" s="22"/>
      <c r="F66" s="23">
        <f>SUM(F6:F65)</f>
        <v>8489.2000000000007</v>
      </c>
      <c r="G66" s="23">
        <f>SUM(G6:G65)</f>
        <v>5269.12</v>
      </c>
      <c r="H66" s="23">
        <f>C3+F66-G66</f>
        <v>6470.0800000000008</v>
      </c>
    </row>
  </sheetData>
  <autoFilter ref="A5:H65" xr:uid="{00000000-0009-0000-0000-000001000000}"/>
  <mergeCells count="3">
    <mergeCell ref="A1:H1"/>
    <mergeCell ref="A3:B3"/>
    <mergeCell ref="E3:F3"/>
  </mergeCells>
  <conditionalFormatting sqref="F6:F65">
    <cfRule type="cellIs" dxfId="2" priority="3" operator="greaterThan">
      <formula>0</formula>
    </cfRule>
  </conditionalFormatting>
  <conditionalFormatting sqref="G6:G65">
    <cfRule type="cellIs" dxfId="1" priority="4" operator="greaterThan">
      <formula>0</formula>
    </cfRule>
  </conditionalFormatting>
  <conditionalFormatting sqref="H6:H65">
    <cfRule type="cellIs" dxfId="0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Listen!$A$5:$A$17</xm:f>
          </x14:formula1>
          <x14:formula2>
            <xm:f>0</xm:f>
          </x14:formula2>
          <xm:sqref>D6:D65</xm:sqref>
        </x14:dataValidation>
        <x14:dataValidation type="list" allowBlank="1" xr:uid="{00000000-0002-0000-0100-000001000000}">
          <x14:formula1>
            <xm:f>Listen!$D$5:$D$9</xm:f>
          </x14:formula1>
          <x14:formula2>
            <xm:f>0</xm:f>
          </x14:formula2>
          <xm:sqref>E6:E65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showGridLines="0" zoomScaleNormal="100" workbookViewId="0"/>
  </sheetViews>
  <sheetFormatPr baseColWidth="10" defaultColWidth="8.7109375" defaultRowHeight="15" x14ac:dyDescent="0.25"/>
  <cols>
    <col min="1" max="1" width="26" customWidth="1"/>
    <col min="2" max="2" width="13" customWidth="1"/>
    <col min="3" max="3" width="3" customWidth="1"/>
    <col min="4" max="4" width="16" customWidth="1"/>
    <col min="5" max="5" width="3" customWidth="1"/>
    <col min="6" max="6" width="13" customWidth="1"/>
  </cols>
  <sheetData>
    <row r="1" spans="1:6" ht="16.5" x14ac:dyDescent="0.25">
      <c r="A1" s="38" t="s">
        <v>85</v>
      </c>
    </row>
    <row r="2" spans="1:6" x14ac:dyDescent="0.25">
      <c r="A2" s="8" t="s">
        <v>86</v>
      </c>
    </row>
    <row r="4" spans="1:6" x14ac:dyDescent="0.25">
      <c r="A4" s="39" t="s">
        <v>9</v>
      </c>
      <c r="B4" s="39" t="s">
        <v>87</v>
      </c>
      <c r="D4" s="39" t="s">
        <v>52</v>
      </c>
      <c r="F4" s="39" t="s">
        <v>87</v>
      </c>
    </row>
    <row r="5" spans="1:6" x14ac:dyDescent="0.25">
      <c r="A5" s="40" t="s">
        <v>56</v>
      </c>
      <c r="B5" s="41" t="s">
        <v>53</v>
      </c>
      <c r="D5" s="40" t="s">
        <v>57</v>
      </c>
      <c r="F5" s="41" t="s">
        <v>53</v>
      </c>
    </row>
    <row r="6" spans="1:6" x14ac:dyDescent="0.25">
      <c r="A6" s="40" t="s">
        <v>77</v>
      </c>
      <c r="B6" s="41" t="s">
        <v>53</v>
      </c>
      <c r="D6" s="40" t="s">
        <v>61</v>
      </c>
      <c r="F6" s="41" t="s">
        <v>54</v>
      </c>
    </row>
    <row r="7" spans="1:6" x14ac:dyDescent="0.25">
      <c r="A7" s="40" t="s">
        <v>71</v>
      </c>
      <c r="B7" s="41" t="s">
        <v>53</v>
      </c>
      <c r="D7" s="40" t="s">
        <v>63</v>
      </c>
    </row>
    <row r="8" spans="1:6" x14ac:dyDescent="0.25">
      <c r="A8" s="40" t="s">
        <v>17</v>
      </c>
      <c r="B8" s="41" t="s">
        <v>54</v>
      </c>
      <c r="D8" s="40" t="s">
        <v>88</v>
      </c>
    </row>
    <row r="9" spans="1:6" x14ac:dyDescent="0.25">
      <c r="A9" s="40" t="s">
        <v>19</v>
      </c>
      <c r="B9" s="41" t="s">
        <v>54</v>
      </c>
      <c r="D9" s="40" t="s">
        <v>59</v>
      </c>
    </row>
    <row r="10" spans="1:6" x14ac:dyDescent="0.25">
      <c r="A10" s="40" t="s">
        <v>21</v>
      </c>
      <c r="B10" s="41" t="s">
        <v>54</v>
      </c>
    </row>
    <row r="11" spans="1:6" x14ac:dyDescent="0.25">
      <c r="A11" s="40" t="s">
        <v>23</v>
      </c>
      <c r="B11" s="41" t="s">
        <v>54</v>
      </c>
    </row>
    <row r="12" spans="1:6" x14ac:dyDescent="0.25">
      <c r="A12" s="40" t="s">
        <v>25</v>
      </c>
      <c r="B12" s="41" t="s">
        <v>54</v>
      </c>
    </row>
    <row r="13" spans="1:6" x14ac:dyDescent="0.25">
      <c r="A13" s="40" t="s">
        <v>27</v>
      </c>
      <c r="B13" s="41" t="s">
        <v>54</v>
      </c>
    </row>
    <row r="14" spans="1:6" x14ac:dyDescent="0.25">
      <c r="A14" s="40" t="s">
        <v>29</v>
      </c>
      <c r="B14" s="41" t="s">
        <v>54</v>
      </c>
    </row>
    <row r="15" spans="1:6" x14ac:dyDescent="0.25">
      <c r="A15" s="40" t="s">
        <v>31</v>
      </c>
      <c r="B15" s="41" t="s">
        <v>54</v>
      </c>
    </row>
    <row r="16" spans="1:6" x14ac:dyDescent="0.25">
      <c r="A16" s="40" t="s">
        <v>33</v>
      </c>
      <c r="B16" s="41" t="s">
        <v>54</v>
      </c>
    </row>
    <row r="17" spans="1:2" x14ac:dyDescent="0.25">
      <c r="A17" s="40" t="s">
        <v>35</v>
      </c>
      <c r="B17" s="41" t="s">
        <v>54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Kontobuch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2026-06-15T11:13:44Z</dcterms:created>
  <dcterms:modified xsi:type="dcterms:W3CDTF">2026-06-17T05:57:36Z</dcterms:modified>
  <dc:language>en-US</dc:language>
</cp:coreProperties>
</file>