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D005E37-88EF-4700-92E5-B44044B9302E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Vergleich" sheetId="1" r:id="rId1"/>
    <sheet name="Listen" sheetId="2" r:id="rId2"/>
  </sheets>
  <definedNames>
    <definedName name="_xlnm.Print_Area" localSheetId="0">Vergleich!$A$1:$H$96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5" i="1" l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G48" i="1"/>
  <c r="H47" i="1"/>
  <c r="G47" i="1"/>
  <c r="H43" i="1"/>
  <c r="G43" i="1"/>
  <c r="H36" i="1"/>
  <c r="G36" i="1"/>
  <c r="H35" i="1"/>
  <c r="G35" i="1"/>
  <c r="H34" i="1"/>
  <c r="G34" i="1"/>
  <c r="E33" i="1"/>
  <c r="G33" i="1" s="1"/>
  <c r="C33" i="1"/>
  <c r="H33" i="1" s="1"/>
  <c r="E32" i="1"/>
  <c r="C32" i="1"/>
  <c r="H32" i="1" s="1"/>
  <c r="E31" i="1"/>
  <c r="G31" i="1" s="1"/>
  <c r="C31" i="1"/>
  <c r="E30" i="1"/>
  <c r="G30" i="1" s="1"/>
  <c r="C30" i="1"/>
  <c r="H30" i="1" s="1"/>
  <c r="E29" i="1"/>
  <c r="G29" i="1" s="1"/>
  <c r="C29" i="1"/>
  <c r="H29" i="1" s="1"/>
  <c r="H28" i="1"/>
  <c r="G28" i="1"/>
  <c r="H24" i="1"/>
  <c r="G24" i="1"/>
  <c r="E24" i="1"/>
  <c r="C24" i="1"/>
  <c r="C37" i="1" l="1"/>
  <c r="E37" i="1"/>
  <c r="H31" i="1"/>
  <c r="G32" i="1"/>
  <c r="E39" i="1" l="1"/>
  <c r="E38" i="1"/>
  <c r="G37" i="1"/>
  <c r="C38" i="1"/>
  <c r="H37" i="1"/>
  <c r="C39" i="1"/>
  <c r="C45" i="1" l="1"/>
  <c r="G90" i="1"/>
  <c r="B8" i="1"/>
  <c r="C90" i="1"/>
  <c r="C44" i="1"/>
  <c r="H39" i="1"/>
  <c r="G38" i="1"/>
  <c r="G39" i="1"/>
  <c r="B9" i="1"/>
  <c r="E44" i="1"/>
  <c r="E90" i="1"/>
  <c r="C8" i="1"/>
  <c r="E45" i="1"/>
  <c r="E93" i="1" l="1"/>
  <c r="G45" i="1"/>
  <c r="E50" i="1"/>
  <c r="F72" i="1"/>
  <c r="E72" i="1"/>
  <c r="E46" i="1"/>
  <c r="G44" i="1"/>
  <c r="C50" i="1"/>
  <c r="C72" i="1"/>
  <c r="D72" i="1"/>
  <c r="C46" i="1"/>
  <c r="H44" i="1"/>
  <c r="G93" i="1"/>
  <c r="C93" i="1"/>
  <c r="H45" i="1"/>
  <c r="H50" i="1" l="1"/>
  <c r="C51" i="1"/>
  <c r="G46" i="1"/>
  <c r="H7" i="1"/>
  <c r="H46" i="1"/>
  <c r="H8" i="1"/>
  <c r="H72" i="1"/>
  <c r="D73" i="1"/>
  <c r="C73" i="1"/>
  <c r="G72" i="1"/>
  <c r="F73" i="1"/>
  <c r="E73" i="1"/>
  <c r="G50" i="1"/>
  <c r="E51" i="1"/>
  <c r="D9" i="1" l="1"/>
  <c r="G51" i="1"/>
  <c r="E8" i="1"/>
  <c r="E55" i="1"/>
  <c r="H73" i="1"/>
  <c r="D74" i="1"/>
  <c r="C74" i="1"/>
  <c r="F74" i="1"/>
  <c r="E74" i="1"/>
  <c r="G73" i="1"/>
  <c r="C55" i="1"/>
  <c r="C66" i="1" s="1"/>
  <c r="D8" i="1"/>
  <c r="H51" i="1"/>
  <c r="C67" i="1" l="1"/>
  <c r="C91" i="1"/>
  <c r="F8" i="1"/>
  <c r="E75" i="1"/>
  <c r="F75" i="1"/>
  <c r="G74" i="1"/>
  <c r="D75" i="1"/>
  <c r="C75" i="1"/>
  <c r="H74" i="1"/>
  <c r="E66" i="1"/>
  <c r="G55" i="1"/>
  <c r="C76" i="1" l="1"/>
  <c r="H75" i="1"/>
  <c r="D76" i="1"/>
  <c r="F9" i="1"/>
  <c r="E67" i="1"/>
  <c r="G8" i="1"/>
  <c r="E91" i="1"/>
  <c r="G66" i="1"/>
  <c r="E76" i="1"/>
  <c r="G75" i="1"/>
  <c r="F76" i="1"/>
  <c r="H66" i="1"/>
  <c r="G91" i="1"/>
  <c r="F77" i="1" l="1"/>
  <c r="E77" i="1"/>
  <c r="G76" i="1"/>
  <c r="H76" i="1"/>
  <c r="D77" i="1"/>
  <c r="C77" i="1"/>
  <c r="D78" i="1" l="1"/>
  <c r="C78" i="1"/>
  <c r="H77" i="1"/>
  <c r="E78" i="1"/>
  <c r="F78" i="1"/>
  <c r="G77" i="1"/>
  <c r="E79" i="1" l="1"/>
  <c r="G78" i="1"/>
  <c r="F79" i="1"/>
  <c r="D79" i="1"/>
  <c r="C79" i="1"/>
  <c r="H78" i="1"/>
  <c r="F80" i="1" l="1"/>
  <c r="G79" i="1"/>
  <c r="E80" i="1"/>
  <c r="C80" i="1"/>
  <c r="H79" i="1"/>
  <c r="D80" i="1"/>
  <c r="H80" i="1" l="1"/>
  <c r="D81" i="1"/>
  <c r="C81" i="1"/>
  <c r="F81" i="1"/>
  <c r="E81" i="1"/>
  <c r="G80" i="1"/>
  <c r="D82" i="1" l="1"/>
  <c r="C82" i="1"/>
  <c r="H81" i="1"/>
  <c r="F82" i="1"/>
  <c r="E82" i="1"/>
  <c r="G81" i="1"/>
  <c r="G82" i="1" l="1"/>
  <c r="E83" i="1"/>
  <c r="F83" i="1"/>
  <c r="C83" i="1"/>
  <c r="H82" i="1"/>
  <c r="D83" i="1"/>
  <c r="H83" i="1" l="1"/>
  <c r="D84" i="1"/>
  <c r="C84" i="1"/>
  <c r="F84" i="1"/>
  <c r="E84" i="1"/>
  <c r="G83" i="1"/>
  <c r="C85" i="1" l="1"/>
  <c r="D85" i="1"/>
  <c r="H84" i="1"/>
  <c r="E85" i="1"/>
  <c r="F85" i="1"/>
  <c r="G84" i="1"/>
  <c r="G85" i="1" l="1"/>
  <c r="E86" i="1"/>
  <c r="E87" i="1" s="1"/>
  <c r="F86" i="1"/>
  <c r="C86" i="1"/>
  <c r="C87" i="1" s="1"/>
  <c r="D86" i="1"/>
  <c r="H85" i="1"/>
  <c r="G92" i="1" l="1"/>
  <c r="C92" i="1"/>
  <c r="D87" i="1"/>
  <c r="H86" i="1"/>
  <c r="E92" i="1"/>
  <c r="G87" i="1"/>
  <c r="F87" i="1"/>
  <c r="G86" i="1"/>
</calcChain>
</file>

<file path=xl/sharedStrings.xml><?xml version="1.0" encoding="utf-8"?>
<sst xmlns="http://schemas.openxmlformats.org/spreadsheetml/2006/main" count="184" uniqueCount="139">
  <si>
    <t>Zwei Kaufobjekte direkt gegenüberstellen — Kosten, Finanzierung, monatliche Belastung und Tilgungsverlauf im Vergleich</t>
  </si>
  <si>
    <t>GESAMTKOSTEN ERWERB</t>
  </si>
  <si>
    <t>MONATLICHE RATE</t>
  </si>
  <si>
    <t>MTL. BELASTUNG GESAMT</t>
  </si>
  <si>
    <t>BELEIHUNGSAUSLAUF</t>
  </si>
  <si>
    <t>Objekt A</t>
  </si>
  <si>
    <t>Objekt B</t>
  </si>
  <si>
    <t>&lt; 80% empfohlen</t>
  </si>
  <si>
    <t>01</t>
  </si>
  <si>
    <t>OBJEKTDATEN</t>
  </si>
  <si>
    <t>Merkmal</t>
  </si>
  <si>
    <t>OBJEKT  A</t>
  </si>
  <si>
    <t>OBJEKT  B</t>
  </si>
  <si>
    <t>Differenz</t>
  </si>
  <si>
    <t>Bewertung</t>
  </si>
  <si>
    <t>Objektbezeichnung</t>
  </si>
  <si>
    <t>Stadtwohnung mit Balkon</t>
  </si>
  <si>
    <t>Freistehendes Haus mit Garten</t>
  </si>
  <si>
    <t>–</t>
  </si>
  <si>
    <t>Adresse</t>
  </si>
  <si>
    <t>Schwachhauser Heerstraße 142</t>
  </si>
  <si>
    <t>Ahornstraße 18</t>
  </si>
  <si>
    <t>PLZ / Ort</t>
  </si>
  <si>
    <t>28209 Bremen</t>
  </si>
  <si>
    <t>27753 Delmenhorst</t>
  </si>
  <si>
    <t>Bundesland</t>
  </si>
  <si>
    <t>Bremen</t>
  </si>
  <si>
    <t>Niedersachsen</t>
  </si>
  <si>
    <t>Objektart</t>
  </si>
  <si>
    <t>Eigentumswohnung</t>
  </si>
  <si>
    <t>Einfamilienhaus</t>
  </si>
  <si>
    <t>Baujahr</t>
  </si>
  <si>
    <t>Wohnfläche</t>
  </si>
  <si>
    <t>auto</t>
  </si>
  <si>
    <t>Grundstücksfläche</t>
  </si>
  <si>
    <t>Zimmer</t>
  </si>
  <si>
    <t>Energieeffizienzklasse</t>
  </si>
  <si>
    <t>B</t>
  </si>
  <si>
    <t>C</t>
  </si>
  <si>
    <t>Zustand</t>
  </si>
  <si>
    <t>Saniert</t>
  </si>
  <si>
    <t>Gepflegt</t>
  </si>
  <si>
    <t>Preis pro m² (kalkulatorisch)</t>
  </si>
  <si>
    <t>02</t>
  </si>
  <si>
    <t>KAUFPREIS &amp; ERWERBSNEBENKOSTEN</t>
  </si>
  <si>
    <t>Position</t>
  </si>
  <si>
    <t>Kaufpreis</t>
  </si>
  <si>
    <t>Grunderwerbsteuer  (autom. nach Bundesland)</t>
  </si>
  <si>
    <t>Notarkosten  (1.50% v. Kaufpreis)</t>
  </si>
  <si>
    <t>Grundbuchkosten  (0.50% v. Kaufpreis)</t>
  </si>
  <si>
    <t>Maklerprovision  (3.57% v. Kaufpreis)</t>
  </si>
  <si>
    <t>Grundschuldbestellung  (0.50% v. Kaufpreis)</t>
  </si>
  <si>
    <t>Renovierung / Modernisierung</t>
  </si>
  <si>
    <t>Umzug &amp; Einrichtung</t>
  </si>
  <si>
    <t>Sonstige Anschaffungen</t>
  </si>
  <si>
    <t>Summe Nebenkosten &amp; Anschaffungen</t>
  </si>
  <si>
    <t>… davon Nebenkostenquote vom Kaufpreis</t>
  </si>
  <si>
    <t>– zur Orientierung –</t>
  </si>
  <si>
    <t>03</t>
  </si>
  <si>
    <t>FINANZIERUNG</t>
  </si>
  <si>
    <t>Parameter</t>
  </si>
  <si>
    <t>Eigenkapital</t>
  </si>
  <si>
    <t>Darlehensbetrag</t>
  </si>
  <si>
    <t>Eigenkapitalquote</t>
  </si>
  <si>
    <t>Beleihungsauslauf  (Darlehen / Kaufpreis)</t>
  </si>
  <si>
    <t>Sollzinssatz p.a.</t>
  </si>
  <si>
    <t>Anfangstilgung p.a.</t>
  </si>
  <si>
    <t>Sollzinsbindung (Jahre)</t>
  </si>
  <si>
    <t>Annuität jährlich</t>
  </si>
  <si>
    <t>04</t>
  </si>
  <si>
    <t>MONATLICHE BELASTUNG NACH KAUF</t>
  </si>
  <si>
    <t>Posten</t>
  </si>
  <si>
    <t>Annuität (Zins + Tilgung)</t>
  </si>
  <si>
    <t>— aus 03 —</t>
  </si>
  <si>
    <t>Grundsteuer</t>
  </si>
  <si>
    <t>Wohngebäudeversicherung</t>
  </si>
  <si>
    <t>Hausratversicherung</t>
  </si>
  <si>
    <t>Strom</t>
  </si>
  <si>
    <t>Heizung / Gas</t>
  </si>
  <si>
    <t>Wasser &amp; Abwasser</t>
  </si>
  <si>
    <t>Müllabfuhr</t>
  </si>
  <si>
    <t>Schornsteinfeger</t>
  </si>
  <si>
    <t>Hausgeld / WEG-Umlage</t>
  </si>
  <si>
    <t>Instandhaltungsrücklage</t>
  </si>
  <si>
    <t>SUMME MONATLICHE BELASTUNG</t>
  </si>
  <si>
    <t>Hochrechnung × 12  /  × 120 (10 Jahre)</t>
  </si>
  <si>
    <t>05</t>
  </si>
  <si>
    <t>TILGUNGSPLAN IM VERGLEICH (JÄHRLICH)</t>
  </si>
  <si>
    <t>Jahr</t>
  </si>
  <si>
    <t>Zinsen</t>
  </si>
  <si>
    <t>Restschuld</t>
  </si>
  <si>
    <t>Δ Restschuld</t>
  </si>
  <si>
    <t>günstiger</t>
  </si>
  <si>
    <t>Σ</t>
  </si>
  <si>
    <t>06</t>
  </si>
  <si>
    <t>AUSWERTUNG &amp; EMPFEHLUNG</t>
  </si>
  <si>
    <t>Gesamtkosten Erwerb</t>
  </si>
  <si>
    <t>Monatliche Belastung</t>
  </si>
  <si>
    <t>Restschuld nach Zinsbindung</t>
  </si>
  <si>
    <t>Hinweis: Die Bewertung basiert ausschließlich auf den oben eingegebenen Werten. Sie ersetzt keine individuelle Finanzierungs-, Steuer- oder Rechtsberatung. Erwerbsnebenkosten und Zinsen variieren je nach Bundesland, Bank und Vertragsgestaltung.</t>
  </si>
  <si>
    <t>Listen &amp; Parameter</t>
  </si>
  <si>
    <t>GrESt-Satz</t>
  </si>
  <si>
    <t>Energieklasse</t>
  </si>
  <si>
    <t>Baden-Württemberg</t>
  </si>
  <si>
    <t>A+</t>
  </si>
  <si>
    <t>Neuwertig</t>
  </si>
  <si>
    <t>Bayern</t>
  </si>
  <si>
    <t>Doppelhaushälfte</t>
  </si>
  <si>
    <t>A</t>
  </si>
  <si>
    <t>Berlin</t>
  </si>
  <si>
    <t>Reihenhaus</t>
  </si>
  <si>
    <t>Brandenburg</t>
  </si>
  <si>
    <t>Renovierungsbedürftig</t>
  </si>
  <si>
    <t>Mehrfamilienhaus</t>
  </si>
  <si>
    <t>D</t>
  </si>
  <si>
    <t>Sanierungsbedürftig</t>
  </si>
  <si>
    <t>Hamburg</t>
  </si>
  <si>
    <t>Bungalow</t>
  </si>
  <si>
    <t>E</t>
  </si>
  <si>
    <t>Erstbezug Neubau</t>
  </si>
  <si>
    <t>Hessen</t>
  </si>
  <si>
    <t>Stadtvilla</t>
  </si>
  <si>
    <t>F</t>
  </si>
  <si>
    <t>Rohbau</t>
  </si>
  <si>
    <t>Mecklenburg-Vorpommern</t>
  </si>
  <si>
    <t>Resthof / Bauernhaus</t>
  </si>
  <si>
    <t>G</t>
  </si>
  <si>
    <t>Ferienhaus</t>
  </si>
  <si>
    <t>H</t>
  </si>
  <si>
    <t>Nordrhein-Westfalen</t>
  </si>
  <si>
    <t>Sonstige</t>
  </si>
  <si>
    <t>Nicht vorhanden</t>
  </si>
  <si>
    <t>Rheinland-Pfalz</t>
  </si>
  <si>
    <t>Saarland</t>
  </si>
  <si>
    <t>Sachsen</t>
  </si>
  <si>
    <t>Sachsen-Anhalt</t>
  </si>
  <si>
    <t>Schleswig-Holstein</t>
  </si>
  <si>
    <t>Thüringen</t>
  </si>
  <si>
    <t xml:space="preserve">HAUSKAUF · OBJEKTVERGLEICH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</si>
</sst>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 €&quot;;[Red]\-#,##0&quot; €&quot;;\-"/>
    <numFmt numFmtId="165" formatCode="\+#,##0&quot; €  (B − A)&quot;;\-#,##0&quot; €  (B − A)&quot;;\–"/>
    <numFmt numFmtId="166" formatCode="#,##0&quot; m²&quot;"/>
    <numFmt numFmtId="167" formatCode="\+#,##0&quot; €&quot;;\-#,##0&quot; €&quot;;\–"/>
    <numFmt numFmtId="168" formatCode="0.0%"/>
    <numFmt numFmtId="169" formatCode="\+0.0&quot; %-Pkt.&quot;;\-0.0&quot; %-Pkt.&quot;;\–"/>
    <numFmt numFmtId="170" formatCode="#,##0.00&quot; €&quot;;[Red]\-#,##0.00&quot; €&quot;;\-"/>
  </numFmts>
  <fonts count="33" x14ac:knownFonts="1">
    <font>
      <sz val="11"/>
      <color theme="1"/>
      <name val="Calibri"/>
      <family val="2"/>
      <charset val="1"/>
    </font>
    <font>
      <b/>
      <sz val="20"/>
      <color rgb="FF0F1419"/>
      <name val="Calibri"/>
      <charset val="1"/>
    </font>
    <font>
      <i/>
      <sz val="10"/>
      <color rgb="FF8A8A8A"/>
      <name val="Calibri"/>
      <charset val="1"/>
    </font>
    <font>
      <sz val="7"/>
      <color rgb="FF888899"/>
      <name val="Calibri"/>
      <charset val="1"/>
    </font>
    <font>
      <b/>
      <sz val="10"/>
      <color rgb="FFFFFFFF"/>
      <name val="Calibri"/>
      <charset val="1"/>
    </font>
    <font>
      <b/>
      <sz val="13"/>
      <color rgb="FFFFFFFF"/>
      <name val="Calibri"/>
      <charset val="1"/>
    </font>
    <font>
      <i/>
      <sz val="9"/>
      <color rgb="FFC9A961"/>
      <name val="Calibri"/>
      <charset val="1"/>
    </font>
    <font>
      <b/>
      <sz val="10"/>
      <color rgb="FFC9A961"/>
      <name val="Calibri"/>
      <charset val="1"/>
    </font>
    <font>
      <i/>
      <sz val="8"/>
      <color rgb="FF888899"/>
      <name val="Calibri"/>
      <charset val="1"/>
    </font>
    <font>
      <b/>
      <sz val="20"/>
      <color rgb="FFC9A961"/>
      <name val="Calibri"/>
      <charset val="1"/>
    </font>
    <font>
      <b/>
      <sz val="11"/>
      <color rgb="FF0F1419"/>
      <name val="Calibri"/>
      <charset val="1"/>
    </font>
    <font>
      <b/>
      <sz val="10"/>
      <color rgb="FF0F1419"/>
      <name val="Calibri"/>
      <charset val="1"/>
    </font>
    <font>
      <sz val="10"/>
      <color rgb="FF0F1419"/>
      <name val="Calibri"/>
      <charset val="1"/>
    </font>
    <font>
      <sz val="10"/>
      <color rgb="FF000000"/>
      <name val="Calibri"/>
      <charset val="1"/>
    </font>
    <font>
      <sz val="10"/>
      <color rgb="FF8A8A8A"/>
      <name val="Calibri"/>
      <charset val="1"/>
    </font>
    <font>
      <i/>
      <sz val="9"/>
      <color rgb="FF8A8A8A"/>
      <name val="Calibri"/>
      <charset val="1"/>
    </font>
    <font>
      <i/>
      <sz val="9"/>
      <color rgb="FF0F1419"/>
      <name val="Calibri"/>
      <charset val="1"/>
    </font>
    <font>
      <b/>
      <sz val="10"/>
      <color rgb="FF000000"/>
      <name val="Calibri"/>
      <charset val="1"/>
    </font>
    <font>
      <i/>
      <sz val="10"/>
      <color rgb="FF0F1419"/>
      <name val="Calibri"/>
      <charset val="1"/>
    </font>
    <font>
      <i/>
      <sz val="10"/>
      <color rgb="FF000000"/>
      <name val="Calibri"/>
      <charset val="1"/>
    </font>
    <font>
      <b/>
      <i/>
      <sz val="10"/>
      <color rgb="FF000000"/>
      <name val="Calibri"/>
      <charset val="1"/>
    </font>
    <font>
      <b/>
      <sz val="11"/>
      <color rgb="FFFFFFFF"/>
      <name val="Calibri"/>
      <charset val="1"/>
    </font>
    <font>
      <b/>
      <sz val="11"/>
      <color rgb="FFC9A961"/>
      <name val="Calibri"/>
      <charset val="1"/>
    </font>
    <font>
      <b/>
      <sz val="9"/>
      <color rgb="FF0F1419"/>
      <name val="Calibri"/>
      <charset val="1"/>
    </font>
    <font>
      <sz val="9"/>
      <color rgb="FF8A8A8A"/>
      <name val="Calibri"/>
      <charset val="1"/>
    </font>
    <font>
      <sz val="9"/>
      <color rgb="FF000000"/>
      <name val="Calibri"/>
      <charset val="1"/>
    </font>
    <font>
      <i/>
      <sz val="9"/>
      <color rgb="FF000000"/>
      <name val="Calibri"/>
      <charset val="1"/>
    </font>
    <font>
      <b/>
      <sz val="9"/>
      <color rgb="FF000000"/>
      <name val="Calibri"/>
      <charset val="1"/>
    </font>
    <font>
      <b/>
      <i/>
      <sz val="10"/>
      <color rgb="FF8A8A8A"/>
      <name val="Calibri"/>
      <charset val="1"/>
    </font>
    <font>
      <b/>
      <i/>
      <sz val="10"/>
      <color rgb="FF0F1419"/>
      <name val="Calibri"/>
      <charset val="1"/>
    </font>
    <font>
      <b/>
      <sz val="12"/>
      <color rgb="FFFFFFFF"/>
      <name val="Calibri"/>
      <charset val="1"/>
    </font>
    <font>
      <b/>
      <sz val="11"/>
      <color rgb="FFC9A961"/>
      <name val="Calibri"/>
      <family val="2"/>
    </font>
    <font>
      <b/>
      <sz val="20"/>
      <color rgb="FF0F141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A961"/>
        <bgColor rgb="FFD4CFC0"/>
      </patternFill>
    </fill>
    <fill>
      <patternFill patternType="solid">
        <fgColor rgb="FF1A1F26"/>
        <bgColor rgb="FF0F1419"/>
      </patternFill>
    </fill>
    <fill>
      <patternFill patternType="solid">
        <fgColor rgb="FFEBE4D2"/>
        <bgColor rgb="FFF0EADC"/>
      </patternFill>
    </fill>
    <fill>
      <patternFill patternType="solid">
        <fgColor rgb="FF0F1419"/>
        <bgColor rgb="FF1A1F26"/>
      </patternFill>
    </fill>
    <fill>
      <patternFill patternType="solid">
        <fgColor rgb="FFFFFFFF"/>
        <bgColor rgb="FFF7F4ED"/>
      </patternFill>
    </fill>
    <fill>
      <patternFill patternType="solid">
        <fgColor rgb="FFF0EADC"/>
        <bgColor rgb="FFEBE4D2"/>
      </patternFill>
    </fill>
    <fill>
      <patternFill patternType="solid">
        <fgColor rgb="FFF7F4ED"/>
        <bgColor rgb="FFF0EADC"/>
      </patternFill>
    </fill>
    <fill>
      <patternFill patternType="solid">
        <fgColor rgb="FFDDD3BB"/>
        <bgColor rgb="FFD4CFC0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F1419"/>
      </bottom>
      <diagonal/>
    </border>
    <border>
      <left/>
      <right/>
      <top/>
      <bottom style="thin">
        <color rgb="FFD4CFC0"/>
      </bottom>
      <diagonal/>
    </border>
    <border>
      <left style="medium">
        <color rgb="FF0F1419"/>
      </left>
      <right style="medium">
        <color rgb="FF0F1419"/>
      </right>
      <top style="medium">
        <color rgb="FF0F1419"/>
      </top>
      <bottom style="medium">
        <color rgb="FF0F1419"/>
      </bottom>
      <diagonal/>
    </border>
    <border>
      <left style="medium">
        <color rgb="FF0F1419"/>
      </left>
      <right/>
      <top style="medium">
        <color rgb="FF0F1419"/>
      </top>
      <bottom style="medium">
        <color rgb="FF0F1419"/>
      </bottom>
      <diagonal/>
    </border>
    <border>
      <left style="thin">
        <color rgb="FFD4CFC0"/>
      </left>
      <right style="thin">
        <color rgb="FFD4CFC0"/>
      </right>
      <top style="thin">
        <color rgb="FFD4CFC0"/>
      </top>
      <bottom style="thin">
        <color rgb="FFD4CFC0"/>
      </bottom>
      <diagonal/>
    </border>
    <border>
      <left style="thin">
        <color rgb="FFD4CFC0"/>
      </left>
      <right/>
      <top style="thin">
        <color rgb="FFD4CFC0"/>
      </top>
      <bottom style="thin">
        <color rgb="FFD4CFC0"/>
      </bottom>
      <diagonal/>
    </border>
  </borders>
  <cellStyleXfs count="1">
    <xf numFmtId="0" fontId="0" fillId="0" borderId="0"/>
  </cellStyleXfs>
  <cellXfs count="82">
    <xf numFmtId="0" fontId="0" fillId="0" borderId="0" xfId="0"/>
    <xf numFmtId="164" fontId="14" fillId="8" borderId="2" xfId="0" applyNumberFormat="1" applyFont="1" applyFill="1" applyBorder="1" applyAlignment="1">
      <alignment horizontal="right" vertical="center"/>
    </xf>
    <xf numFmtId="164" fontId="17" fillId="6" borderId="2" xfId="0" applyNumberFormat="1" applyFont="1" applyFill="1" applyBorder="1" applyAlignment="1">
      <alignment horizontal="right" vertical="center"/>
    </xf>
    <xf numFmtId="164" fontId="2" fillId="8" borderId="2" xfId="0" applyNumberFormat="1" applyFont="1" applyFill="1" applyBorder="1" applyAlignment="1">
      <alignment horizontal="right" vertical="center"/>
    </xf>
    <xf numFmtId="3" fontId="13" fillId="6" borderId="2" xfId="0" applyNumberFormat="1" applyFont="1" applyFill="1" applyBorder="1" applyAlignment="1">
      <alignment horizontal="right" vertical="center"/>
    </xf>
    <xf numFmtId="166" fontId="13" fillId="6" borderId="2" xfId="0" applyNumberFormat="1" applyFont="1" applyFill="1" applyBorder="1" applyAlignment="1">
      <alignment horizontal="right" vertical="center"/>
    </xf>
    <xf numFmtId="1" fontId="13" fillId="6" borderId="2" xfId="0" applyNumberFormat="1" applyFont="1" applyFill="1" applyBorder="1" applyAlignment="1">
      <alignment horizontal="right" vertical="center"/>
    </xf>
    <xf numFmtId="49" fontId="13" fillId="7" borderId="2" xfId="0" applyNumberFormat="1" applyFont="1" applyFill="1" applyBorder="1" applyAlignment="1">
      <alignment horizontal="right" vertical="center"/>
    </xf>
    <xf numFmtId="49" fontId="13" fillId="6" borderId="2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165" fontId="7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7" fontId="2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67" fontId="18" fillId="0" borderId="2" xfId="0" applyNumberFormat="1" applyFont="1" applyBorder="1" applyAlignment="1">
      <alignment horizontal="right" vertical="center"/>
    </xf>
    <xf numFmtId="167" fontId="19" fillId="0" borderId="2" xfId="0" applyNumberFormat="1" applyFont="1" applyBorder="1" applyAlignment="1">
      <alignment horizontal="right" vertical="center"/>
    </xf>
    <xf numFmtId="0" fontId="11" fillId="9" borderId="1" xfId="0" applyFont="1" applyFill="1" applyBorder="1" applyAlignment="1">
      <alignment horizontal="left" vertical="center"/>
    </xf>
    <xf numFmtId="167" fontId="20" fillId="9" borderId="1" xfId="0" applyNumberFormat="1" applyFont="1" applyFill="1" applyBorder="1" applyAlignment="1">
      <alignment horizontal="right" vertical="center"/>
    </xf>
    <xf numFmtId="168" fontId="20" fillId="9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69" fontId="2" fillId="0" borderId="2" xfId="0" applyNumberFormat="1" applyFont="1" applyBorder="1" applyAlignment="1">
      <alignment horizontal="right" vertical="center"/>
    </xf>
    <xf numFmtId="0" fontId="21" fillId="5" borderId="3" xfId="0" applyFont="1" applyFill="1" applyBorder="1" applyAlignment="1">
      <alignment horizontal="left" vertical="center"/>
    </xf>
    <xf numFmtId="167" fontId="22" fillId="5" borderId="3" xfId="0" applyNumberFormat="1" applyFont="1" applyFill="1" applyBorder="1" applyAlignment="1">
      <alignment horizontal="right" vertical="center"/>
    </xf>
    <xf numFmtId="0" fontId="7" fillId="5" borderId="3" xfId="0" applyFont="1" applyFill="1" applyBorder="1" applyAlignment="1">
      <alignment horizontal="center" vertical="center"/>
    </xf>
    <xf numFmtId="169" fontId="19" fillId="0" borderId="2" xfId="0" applyNumberFormat="1" applyFont="1" applyBorder="1" applyAlignment="1">
      <alignment horizontal="right" vertical="center"/>
    </xf>
    <xf numFmtId="169" fontId="18" fillId="0" borderId="2" xfId="0" applyNumberFormat="1" applyFont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/>
    </xf>
    <xf numFmtId="167" fontId="10" fillId="2" borderId="3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23" fillId="4" borderId="5" xfId="0" applyFont="1" applyFill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right" vertical="center"/>
    </xf>
    <xf numFmtId="167" fontId="26" fillId="0" borderId="5" xfId="0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right" vertical="center"/>
    </xf>
    <xf numFmtId="0" fontId="11" fillId="9" borderId="5" xfId="0" applyFont="1" applyFill="1" applyBorder="1" applyAlignment="1">
      <alignment horizontal="center" vertical="center"/>
    </xf>
    <xf numFmtId="164" fontId="17" fillId="9" borderId="5" xfId="0" applyNumberFormat="1" applyFont="1" applyFill="1" applyBorder="1" applyAlignment="1">
      <alignment horizontal="right" vertical="center"/>
    </xf>
    <xf numFmtId="164" fontId="28" fillId="9" borderId="5" xfId="0" applyNumberFormat="1" applyFont="1" applyFill="1" applyBorder="1" applyAlignment="1">
      <alignment horizontal="right" vertical="center"/>
    </xf>
    <xf numFmtId="167" fontId="20" fillId="9" borderId="5" xfId="0" applyNumberFormat="1" applyFont="1" applyFill="1" applyBorder="1" applyAlignment="1">
      <alignment horizontal="right" vertical="center"/>
    </xf>
    <xf numFmtId="0" fontId="13" fillId="9" borderId="5" xfId="0" applyFont="1" applyFill="1" applyBorder="1" applyAlignment="1">
      <alignment horizontal="left" vertical="center"/>
    </xf>
    <xf numFmtId="0" fontId="11" fillId="8" borderId="5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10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3" fillId="6" borderId="2" xfId="0" applyNumberFormat="1" applyFont="1" applyFill="1" applyBorder="1" applyAlignment="1">
      <alignment horizontal="right" vertical="center"/>
    </xf>
    <xf numFmtId="164" fontId="17" fillId="9" borderId="1" xfId="0" applyNumberFormat="1" applyFont="1" applyFill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4" fontId="21" fillId="5" borderId="4" xfId="0" applyNumberFormat="1" applyFont="1" applyFill="1" applyBorder="1" applyAlignment="1">
      <alignment horizontal="right" vertical="center"/>
    </xf>
    <xf numFmtId="164" fontId="17" fillId="7" borderId="2" xfId="0" applyNumberFormat="1" applyFont="1" applyFill="1" applyBorder="1" applyAlignment="1">
      <alignment horizontal="right" vertical="center"/>
    </xf>
    <xf numFmtId="168" fontId="14" fillId="8" borderId="2" xfId="0" applyNumberFormat="1" applyFont="1" applyFill="1" applyBorder="1" applyAlignment="1">
      <alignment horizontal="right" vertical="center"/>
    </xf>
    <xf numFmtId="10" fontId="13" fillId="6" borderId="2" xfId="0" applyNumberFormat="1" applyFont="1" applyFill="1" applyBorder="1" applyAlignment="1">
      <alignment horizontal="right" vertical="center"/>
    </xf>
    <xf numFmtId="164" fontId="10" fillId="2" borderId="4" xfId="0" applyNumberFormat="1" applyFont="1" applyFill="1" applyBorder="1" applyAlignment="1">
      <alignment horizontal="right" vertical="center"/>
    </xf>
    <xf numFmtId="170" fontId="13" fillId="6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4" fontId="14" fillId="8" borderId="6" xfId="0" applyNumberFormat="1" applyFont="1" applyFill="1" applyBorder="1" applyAlignment="1">
      <alignment horizontal="right" vertical="center"/>
    </xf>
    <xf numFmtId="0" fontId="29" fillId="8" borderId="6" xfId="0" applyFont="1" applyFill="1" applyBorder="1" applyAlignment="1">
      <alignment horizontal="center" vertical="center"/>
    </xf>
    <xf numFmtId="168" fontId="14" fillId="8" borderId="6" xfId="0" applyNumberFormat="1" applyFont="1" applyFill="1" applyBorder="1" applyAlignment="1">
      <alignment horizontal="right" vertical="center"/>
    </xf>
    <xf numFmtId="0" fontId="15" fillId="8" borderId="6" xfId="0" applyFont="1" applyFill="1" applyBorder="1" applyAlignment="1">
      <alignment horizontal="left" vertical="center" wrapText="1"/>
    </xf>
    <xf numFmtId="0" fontId="30" fillId="5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2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CFC0"/>
      <rgbColor rgb="FF8A8A8A"/>
      <rgbColor rgb="FF9999FF"/>
      <rgbColor rgb="FF993366"/>
      <rgbColor rgb="FFF7F4ED"/>
      <rgbColor rgb="FFCCFFFF"/>
      <rgbColor rgb="FF660066"/>
      <rgbColor rgb="FFC9A961"/>
      <rgbColor rgb="FF0066CC"/>
      <rgbColor rgb="FFEBE4D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0EADC"/>
      <rgbColor rgb="FFFFFF99"/>
      <rgbColor rgb="FF99CCFF"/>
      <rgbColor rgb="FFFF99CC"/>
      <rgbColor rgb="FFCC99FF"/>
      <rgbColor rgb="FFDDD3BB"/>
      <rgbColor rgb="FF3366FF"/>
      <rgbColor rgb="FF33CCCC"/>
      <rgbColor rgb="FF99CC00"/>
      <rgbColor rgb="FFFFCC00"/>
      <rgbColor rgb="FFFF9900"/>
      <rgbColor rgb="FFFF6600"/>
      <rgbColor rgb="FF666699"/>
      <rgbColor rgb="FF888899"/>
      <rgbColor rgb="FF003366"/>
      <rgbColor rgb="FF339966"/>
      <rgbColor rgb="FF0F1419"/>
      <rgbColor rgb="FF333300"/>
      <rgbColor rgb="FF993300"/>
      <rgbColor rgb="FF993366"/>
      <rgbColor rgb="FF333399"/>
      <rgbColor rgb="FF1A1F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A961"/>
    <pageSetUpPr fitToPage="1"/>
  </sheetPr>
  <dimension ref="B1:H95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K18" sqref="K18"/>
    </sheetView>
  </sheetViews>
  <sheetFormatPr baseColWidth="10" defaultColWidth="8.7109375" defaultRowHeight="15" x14ac:dyDescent="0.25"/>
  <cols>
    <col min="1" max="1" width="2" customWidth="1"/>
    <col min="2" max="2" width="28.85546875" customWidth="1"/>
    <col min="3" max="3" width="20" customWidth="1"/>
    <col min="4" max="4" width="13.7109375" customWidth="1"/>
    <col min="5" max="5" width="20" customWidth="1"/>
    <col min="6" max="6" width="17" customWidth="1"/>
    <col min="7" max="7" width="12.28515625" customWidth="1"/>
    <col min="8" max="8" width="20.5703125" bestFit="1" customWidth="1"/>
  </cols>
  <sheetData>
    <row r="1" spans="2:8" ht="6" customHeight="1" x14ac:dyDescent="0.25"/>
    <row r="2" spans="2:8" ht="31.5" customHeight="1" x14ac:dyDescent="0.25">
      <c r="B2" s="81" t="s">
        <v>138</v>
      </c>
      <c r="C2" s="13"/>
      <c r="D2" s="13"/>
      <c r="E2" s="13"/>
      <c r="F2" s="13"/>
      <c r="G2" s="13"/>
      <c r="H2" s="13"/>
    </row>
    <row r="3" spans="2:8" ht="3.75" customHeight="1" x14ac:dyDescent="0.25">
      <c r="B3" s="14"/>
      <c r="C3" s="14"/>
      <c r="D3" s="14"/>
      <c r="E3" s="14"/>
      <c r="F3" s="14"/>
      <c r="G3" s="14"/>
      <c r="H3" s="14"/>
    </row>
    <row r="4" spans="2:8" ht="18" customHeight="1" x14ac:dyDescent="0.25">
      <c r="B4" s="12" t="s">
        <v>0</v>
      </c>
      <c r="C4" s="12"/>
      <c r="D4" s="12"/>
      <c r="E4" s="12"/>
      <c r="F4" s="12"/>
      <c r="G4" s="12"/>
      <c r="H4" s="12"/>
    </row>
    <row r="5" spans="2:8" ht="7.5" customHeight="1" x14ac:dyDescent="0.25"/>
    <row r="6" spans="2:8" ht="15.75" customHeight="1" x14ac:dyDescent="0.25">
      <c r="B6" s="79" t="s">
        <v>1</v>
      </c>
      <c r="C6" s="79"/>
      <c r="D6" s="79" t="s">
        <v>2</v>
      </c>
      <c r="E6" s="79"/>
      <c r="F6" s="79" t="s">
        <v>3</v>
      </c>
      <c r="G6" s="79"/>
      <c r="H6" s="80" t="s">
        <v>4</v>
      </c>
    </row>
    <row r="7" spans="2:8" ht="12" customHeight="1" x14ac:dyDescent="0.25">
      <c r="B7" s="15" t="s">
        <v>5</v>
      </c>
      <c r="C7" s="15" t="s">
        <v>6</v>
      </c>
      <c r="D7" s="15" t="s">
        <v>5</v>
      </c>
      <c r="E7" s="15" t="s">
        <v>6</v>
      </c>
      <c r="F7" s="15" t="s">
        <v>5</v>
      </c>
      <c r="G7" s="15" t="s">
        <v>6</v>
      </c>
      <c r="H7" s="16" t="str">
        <f>"A " &amp; TEXT(C46,"0.0%") &amp; "  ·  B " &amp; TEXT(E46,"0.0%")</f>
        <v>A 89%  ·  B 94%</v>
      </c>
    </row>
    <row r="8" spans="2:8" ht="25.5" customHeight="1" x14ac:dyDescent="0.25">
      <c r="B8" s="17">
        <f>C39</f>
        <v>485094</v>
      </c>
      <c r="C8" s="17">
        <f>E39</f>
        <v>457619.5</v>
      </c>
      <c r="D8" s="17">
        <f>C51</f>
        <v>1953.6145833333333</v>
      </c>
      <c r="E8" s="17">
        <f>E51</f>
        <v>1918.8615208333333</v>
      </c>
      <c r="F8" s="17">
        <f>C66</f>
        <v>2691.614583333333</v>
      </c>
      <c r="G8" s="17">
        <f>E66</f>
        <v>2537.3615208333331</v>
      </c>
      <c r="H8" s="18" t="str">
        <f>IF(C46&lt;E46,"Niedriger bei A","Niedriger bei B")</f>
        <v>Niedriger bei A</v>
      </c>
    </row>
    <row r="9" spans="2:8" ht="15.75" customHeight="1" x14ac:dyDescent="0.25">
      <c r="B9" s="11">
        <f>E39-C39</f>
        <v>-27474.5</v>
      </c>
      <c r="C9" s="11"/>
      <c r="D9" s="11">
        <f>E51-C51</f>
        <v>-34.753062499999942</v>
      </c>
      <c r="E9" s="11"/>
      <c r="F9" s="11">
        <f>E66-C66</f>
        <v>-154.25306249999994</v>
      </c>
      <c r="G9" s="11"/>
      <c r="H9" s="19" t="s">
        <v>7</v>
      </c>
    </row>
    <row r="10" spans="2:8" ht="9.75" customHeight="1" x14ac:dyDescent="0.25"/>
    <row r="11" spans="2:8" ht="25.5" customHeight="1" x14ac:dyDescent="0.25">
      <c r="B11" s="20" t="s">
        <v>8</v>
      </c>
      <c r="C11" s="10" t="s">
        <v>9</v>
      </c>
      <c r="D11" s="10"/>
      <c r="E11" s="10"/>
      <c r="F11" s="10"/>
      <c r="G11" s="10"/>
      <c r="H11" s="10"/>
    </row>
    <row r="12" spans="2:8" ht="18" customHeight="1" x14ac:dyDescent="0.25">
      <c r="B12" s="21" t="s">
        <v>10</v>
      </c>
      <c r="C12" s="9" t="s">
        <v>11</v>
      </c>
      <c r="D12" s="9"/>
      <c r="E12" s="9" t="s">
        <v>12</v>
      </c>
      <c r="F12" s="9"/>
      <c r="G12" s="22" t="s">
        <v>13</v>
      </c>
      <c r="H12" s="22" t="s">
        <v>14</v>
      </c>
    </row>
    <row r="13" spans="2:8" x14ac:dyDescent="0.25">
      <c r="B13" s="23" t="s">
        <v>15</v>
      </c>
      <c r="C13" s="8" t="s">
        <v>16</v>
      </c>
      <c r="D13" s="8"/>
      <c r="E13" s="8" t="s">
        <v>17</v>
      </c>
      <c r="F13" s="8"/>
      <c r="G13" s="24" t="s">
        <v>18</v>
      </c>
      <c r="H13" s="25"/>
    </row>
    <row r="14" spans="2:8" x14ac:dyDescent="0.25">
      <c r="B14" s="23" t="s">
        <v>19</v>
      </c>
      <c r="C14" s="8" t="s">
        <v>20</v>
      </c>
      <c r="D14" s="8"/>
      <c r="E14" s="8" t="s">
        <v>21</v>
      </c>
      <c r="F14" s="8"/>
      <c r="G14" s="24" t="s">
        <v>18</v>
      </c>
      <c r="H14" s="25"/>
    </row>
    <row r="15" spans="2:8" x14ac:dyDescent="0.25">
      <c r="B15" s="23" t="s">
        <v>22</v>
      </c>
      <c r="C15" s="8" t="s">
        <v>23</v>
      </c>
      <c r="D15" s="8"/>
      <c r="E15" s="8" t="s">
        <v>24</v>
      </c>
      <c r="F15" s="8"/>
      <c r="G15" s="24" t="s">
        <v>18</v>
      </c>
      <c r="H15" s="25"/>
    </row>
    <row r="16" spans="2:8" x14ac:dyDescent="0.25">
      <c r="B16" s="23" t="s">
        <v>25</v>
      </c>
      <c r="C16" s="7" t="s">
        <v>26</v>
      </c>
      <c r="D16" s="7"/>
      <c r="E16" s="7" t="s">
        <v>27</v>
      </c>
      <c r="F16" s="7"/>
      <c r="G16" s="24" t="s">
        <v>18</v>
      </c>
      <c r="H16" s="25"/>
    </row>
    <row r="17" spans="2:8" x14ac:dyDescent="0.25">
      <c r="B17" s="23" t="s">
        <v>28</v>
      </c>
      <c r="C17" s="8" t="s">
        <v>29</v>
      </c>
      <c r="D17" s="8"/>
      <c r="E17" s="8" t="s">
        <v>30</v>
      </c>
      <c r="F17" s="8"/>
      <c r="G17" s="24" t="s">
        <v>18</v>
      </c>
      <c r="H17" s="25"/>
    </row>
    <row r="18" spans="2:8" x14ac:dyDescent="0.25">
      <c r="B18" s="23" t="s">
        <v>31</v>
      </c>
      <c r="C18" s="6">
        <v>2018</v>
      </c>
      <c r="D18" s="6"/>
      <c r="E18" s="6">
        <v>1998</v>
      </c>
      <c r="F18" s="6"/>
      <c r="G18" s="24" t="s">
        <v>18</v>
      </c>
      <c r="H18" s="25"/>
    </row>
    <row r="19" spans="2:8" x14ac:dyDescent="0.25">
      <c r="B19" s="23" t="s">
        <v>32</v>
      </c>
      <c r="C19" s="5">
        <v>95</v>
      </c>
      <c r="D19" s="5"/>
      <c r="E19" s="5">
        <v>142</v>
      </c>
      <c r="F19" s="5"/>
      <c r="G19" s="24" t="s">
        <v>18</v>
      </c>
      <c r="H19" s="25" t="s">
        <v>33</v>
      </c>
    </row>
    <row r="20" spans="2:8" x14ac:dyDescent="0.25">
      <c r="B20" s="23" t="s">
        <v>34</v>
      </c>
      <c r="C20" s="5">
        <v>0</v>
      </c>
      <c r="D20" s="5"/>
      <c r="E20" s="5">
        <v>520</v>
      </c>
      <c r="F20" s="5"/>
      <c r="G20" s="24" t="s">
        <v>18</v>
      </c>
      <c r="H20" s="25"/>
    </row>
    <row r="21" spans="2:8" x14ac:dyDescent="0.25">
      <c r="B21" s="23" t="s">
        <v>35</v>
      </c>
      <c r="C21" s="4">
        <v>3</v>
      </c>
      <c r="D21" s="4"/>
      <c r="E21" s="4">
        <v>5</v>
      </c>
      <c r="F21" s="4"/>
      <c r="G21" s="24" t="s">
        <v>18</v>
      </c>
      <c r="H21" s="25"/>
    </row>
    <row r="22" spans="2:8" x14ac:dyDescent="0.25">
      <c r="B22" s="23" t="s">
        <v>36</v>
      </c>
      <c r="C22" s="8" t="s">
        <v>37</v>
      </c>
      <c r="D22" s="8"/>
      <c r="E22" s="8" t="s">
        <v>38</v>
      </c>
      <c r="F22" s="8"/>
      <c r="G22" s="24" t="s">
        <v>18</v>
      </c>
      <c r="H22" s="25"/>
    </row>
    <row r="23" spans="2:8" x14ac:dyDescent="0.25">
      <c r="B23" s="23" t="s">
        <v>39</v>
      </c>
      <c r="C23" s="8" t="s">
        <v>40</v>
      </c>
      <c r="D23" s="8"/>
      <c r="E23" s="8" t="s">
        <v>41</v>
      </c>
      <c r="F23" s="8"/>
      <c r="G23" s="24" t="s">
        <v>18</v>
      </c>
      <c r="H23" s="25"/>
    </row>
    <row r="24" spans="2:8" x14ac:dyDescent="0.25">
      <c r="B24" s="26" t="s">
        <v>42</v>
      </c>
      <c r="C24" s="3">
        <f>IFERROR(C28/C19,0)</f>
        <v>4421.0526315789475</v>
      </c>
      <c r="D24" s="3"/>
      <c r="E24" s="3">
        <f>IFERROR(E28/E19,0)</f>
        <v>2711.2676056338028</v>
      </c>
      <c r="F24" s="3"/>
      <c r="G24" s="27">
        <f>E24-C24</f>
        <v>-1709.7850259451448</v>
      </c>
      <c r="H24" s="28" t="str">
        <f>IF(C24=E24,"⟷ gleich",IF(C24&lt;E24,"▼ A günstiger","▲ B günstiger"))</f>
        <v>▲ B günstiger</v>
      </c>
    </row>
    <row r="26" spans="2:8" ht="25.5" customHeight="1" x14ac:dyDescent="0.25">
      <c r="B26" s="20" t="s">
        <v>43</v>
      </c>
      <c r="C26" s="10" t="s">
        <v>44</v>
      </c>
      <c r="D26" s="10"/>
      <c r="E26" s="10"/>
      <c r="F26" s="10"/>
      <c r="G26" s="10"/>
      <c r="H26" s="10"/>
    </row>
    <row r="27" spans="2:8" ht="18" customHeight="1" x14ac:dyDescent="0.25">
      <c r="B27" s="21" t="s">
        <v>45</v>
      </c>
      <c r="C27" s="9" t="s">
        <v>11</v>
      </c>
      <c r="D27" s="9"/>
      <c r="E27" s="9" t="s">
        <v>12</v>
      </c>
      <c r="F27" s="9"/>
      <c r="G27" s="22" t="s">
        <v>13</v>
      </c>
      <c r="H27" s="22" t="s">
        <v>14</v>
      </c>
    </row>
    <row r="28" spans="2:8" x14ac:dyDescent="0.25">
      <c r="B28" s="29" t="s">
        <v>46</v>
      </c>
      <c r="C28" s="2">
        <v>420000</v>
      </c>
      <c r="D28" s="2"/>
      <c r="E28" s="2">
        <v>385000</v>
      </c>
      <c r="F28" s="2"/>
      <c r="G28" s="30">
        <f t="shared" ref="G28:G37" si="0">E28-C28</f>
        <v>-35000</v>
      </c>
      <c r="H28" s="28" t="str">
        <f t="shared" ref="H28:H33" si="1">IF(C28=E28,"⟷ gleich",IF(C28&lt;E28,"▼ A günstiger","▲ B günstiger"))</f>
        <v>▲ B günstiger</v>
      </c>
    </row>
    <row r="29" spans="2:8" x14ac:dyDescent="0.25">
      <c r="B29" s="23" t="s">
        <v>47</v>
      </c>
      <c r="C29" s="1">
        <f>IFERROR(VLOOKUP(C16,Listen!$A$4:$B$19,2,FALSE())*C28,0)</f>
        <v>23100</v>
      </c>
      <c r="D29" s="1"/>
      <c r="E29" s="1">
        <f>IFERROR(VLOOKUP(E16,Listen!$A$4:$B$19,2,FALSE())*E28,0)</f>
        <v>19250</v>
      </c>
      <c r="F29" s="1"/>
      <c r="G29" s="31">
        <f t="shared" si="0"/>
        <v>-3850</v>
      </c>
      <c r="H29" s="28" t="str">
        <f t="shared" si="1"/>
        <v>▲ B günstiger</v>
      </c>
    </row>
    <row r="30" spans="2:8" x14ac:dyDescent="0.25">
      <c r="B30" s="23" t="s">
        <v>48</v>
      </c>
      <c r="C30" s="1">
        <f>C28*0.015</f>
        <v>6300</v>
      </c>
      <c r="D30" s="1"/>
      <c r="E30" s="1">
        <f>E28*0.015</f>
        <v>5775</v>
      </c>
      <c r="F30" s="1"/>
      <c r="G30" s="31">
        <f t="shared" si="0"/>
        <v>-525</v>
      </c>
      <c r="H30" s="28" t="str">
        <f t="shared" si="1"/>
        <v>▲ B günstiger</v>
      </c>
    </row>
    <row r="31" spans="2:8" x14ac:dyDescent="0.25">
      <c r="B31" s="23" t="s">
        <v>49</v>
      </c>
      <c r="C31" s="1">
        <f>C28*0.005</f>
        <v>2100</v>
      </c>
      <c r="D31" s="1"/>
      <c r="E31" s="1">
        <f>E28*0.005</f>
        <v>1925</v>
      </c>
      <c r="F31" s="1"/>
      <c r="G31" s="31">
        <f t="shared" si="0"/>
        <v>-175</v>
      </c>
      <c r="H31" s="28" t="str">
        <f t="shared" si="1"/>
        <v>▲ B günstiger</v>
      </c>
    </row>
    <row r="32" spans="2:8" x14ac:dyDescent="0.25">
      <c r="B32" s="23" t="s">
        <v>50</v>
      </c>
      <c r="C32" s="1">
        <f>C28*0.0357</f>
        <v>14994.000000000002</v>
      </c>
      <c r="D32" s="1"/>
      <c r="E32" s="1">
        <f>E28*0.0357</f>
        <v>13744.500000000002</v>
      </c>
      <c r="F32" s="1"/>
      <c r="G32" s="31">
        <f t="shared" si="0"/>
        <v>-1249.5</v>
      </c>
      <c r="H32" s="28" t="str">
        <f t="shared" si="1"/>
        <v>▲ B günstiger</v>
      </c>
    </row>
    <row r="33" spans="2:8" x14ac:dyDescent="0.25">
      <c r="B33" s="23" t="s">
        <v>51</v>
      </c>
      <c r="C33" s="1">
        <f>C28*0.005</f>
        <v>2100</v>
      </c>
      <c r="D33" s="1"/>
      <c r="E33" s="1">
        <f>E28*0.005</f>
        <v>1925</v>
      </c>
      <c r="F33" s="1"/>
      <c r="G33" s="31">
        <f t="shared" si="0"/>
        <v>-175</v>
      </c>
      <c r="H33" s="28" t="str">
        <f t="shared" si="1"/>
        <v>▲ B günstiger</v>
      </c>
    </row>
    <row r="34" spans="2:8" x14ac:dyDescent="0.25">
      <c r="B34" s="23" t="s">
        <v>52</v>
      </c>
      <c r="C34" s="64">
        <v>6000</v>
      </c>
      <c r="D34" s="64"/>
      <c r="E34" s="64">
        <v>18000</v>
      </c>
      <c r="F34" s="64"/>
      <c r="G34" s="30">
        <f t="shared" si="0"/>
        <v>12000</v>
      </c>
      <c r="H34" s="28" t="str">
        <f>IF(C34=E34,"⟷ gleich",IF(C34&lt;E34,"▼ Objekt A günstiger","▲ Objekt B günstiger"))</f>
        <v>▼ Objekt A günstiger</v>
      </c>
    </row>
    <row r="35" spans="2:8" x14ac:dyDescent="0.25">
      <c r="B35" s="23" t="s">
        <v>53</v>
      </c>
      <c r="C35" s="64">
        <v>8500</v>
      </c>
      <c r="D35" s="64"/>
      <c r="E35" s="64">
        <v>9500</v>
      </c>
      <c r="F35" s="64"/>
      <c r="G35" s="30">
        <f t="shared" si="0"/>
        <v>1000</v>
      </c>
      <c r="H35" s="28" t="str">
        <f>IF(C35=E35,"⟷ gleich",IF(C35&lt;E35,"▼ Objekt A günstiger","▲ Objekt B günstiger"))</f>
        <v>▼ Objekt A günstiger</v>
      </c>
    </row>
    <row r="36" spans="2:8" x14ac:dyDescent="0.25">
      <c r="B36" s="23" t="s">
        <v>54</v>
      </c>
      <c r="C36" s="64">
        <v>2000</v>
      </c>
      <c r="D36" s="64"/>
      <c r="E36" s="64">
        <v>2500</v>
      </c>
      <c r="F36" s="64"/>
      <c r="G36" s="30">
        <f t="shared" si="0"/>
        <v>500</v>
      </c>
      <c r="H36" s="28" t="str">
        <f>IF(C36=E36,"⟷ gleich",IF(C36&lt;E36,"▼ Objekt A günstiger","▲ Objekt B günstiger"))</f>
        <v>▼ Objekt A günstiger</v>
      </c>
    </row>
    <row r="37" spans="2:8" x14ac:dyDescent="0.25">
      <c r="B37" s="32" t="s">
        <v>55</v>
      </c>
      <c r="C37" s="65">
        <f>SUM(C29:C36)</f>
        <v>65094</v>
      </c>
      <c r="D37" s="65"/>
      <c r="E37" s="65">
        <f>SUM(E29:E36)</f>
        <v>72619.5</v>
      </c>
      <c r="F37" s="65"/>
      <c r="G37" s="33">
        <f t="shared" si="0"/>
        <v>7525.5</v>
      </c>
      <c r="H37" s="34">
        <f>IFERROR(C37/C28,0)</f>
        <v>0.15498571428571428</v>
      </c>
    </row>
    <row r="38" spans="2:8" x14ac:dyDescent="0.25">
      <c r="B38" s="35" t="s">
        <v>56</v>
      </c>
      <c r="C38" s="66">
        <f>IFERROR(C37/C28,0)</f>
        <v>0.15498571428571428</v>
      </c>
      <c r="D38" s="66"/>
      <c r="E38" s="66">
        <f>IFERROR(E37/E28,0)</f>
        <v>0.18862207792207791</v>
      </c>
      <c r="F38" s="66"/>
      <c r="G38" s="36">
        <f>(E38-C38)*100</f>
        <v>3.3636363636363633</v>
      </c>
      <c r="H38" s="25" t="s">
        <v>57</v>
      </c>
    </row>
    <row r="39" spans="2:8" ht="21.75" customHeight="1" x14ac:dyDescent="0.25">
      <c r="B39" s="37" t="s">
        <v>1</v>
      </c>
      <c r="C39" s="67">
        <f>C28+C37</f>
        <v>485094</v>
      </c>
      <c r="D39" s="67"/>
      <c r="E39" s="67">
        <f>E28+E37</f>
        <v>457619.5</v>
      </c>
      <c r="F39" s="67"/>
      <c r="G39" s="38">
        <f>E39-C39</f>
        <v>-27474.5</v>
      </c>
      <c r="H39" s="39" t="str">
        <f>IF(C39=E39,"⟷ gleich",IF(C39&lt;E39,"▼ A günstiger","▲ B günstiger"))</f>
        <v>▲ B günstiger</v>
      </c>
    </row>
    <row r="41" spans="2:8" ht="25.5" customHeight="1" x14ac:dyDescent="0.25">
      <c r="B41" s="20" t="s">
        <v>58</v>
      </c>
      <c r="C41" s="10" t="s">
        <v>59</v>
      </c>
      <c r="D41" s="10"/>
      <c r="E41" s="10"/>
      <c r="F41" s="10"/>
      <c r="G41" s="10"/>
      <c r="H41" s="10"/>
    </row>
    <row r="42" spans="2:8" ht="18" customHeight="1" x14ac:dyDescent="0.25">
      <c r="B42" s="21" t="s">
        <v>60</v>
      </c>
      <c r="C42" s="9" t="s">
        <v>11</v>
      </c>
      <c r="D42" s="9"/>
      <c r="E42" s="9" t="s">
        <v>12</v>
      </c>
      <c r="F42" s="9"/>
      <c r="G42" s="22" t="s">
        <v>13</v>
      </c>
      <c r="H42" s="22" t="s">
        <v>14</v>
      </c>
    </row>
    <row r="43" spans="2:8" x14ac:dyDescent="0.25">
      <c r="B43" s="23" t="s">
        <v>61</v>
      </c>
      <c r="C43" s="64">
        <v>110000</v>
      </c>
      <c r="D43" s="64"/>
      <c r="E43" s="64">
        <v>95000</v>
      </c>
      <c r="F43" s="64"/>
      <c r="G43" s="30">
        <f>E43-C43</f>
        <v>-15000</v>
      </c>
      <c r="H43" s="28" t="str">
        <f>IF(C43=E43,"⟷ gleich",IF(C43&gt;E43,"▲ Objekt A besser","▼ Objekt B besser"))</f>
        <v>▲ Objekt A besser</v>
      </c>
    </row>
    <row r="44" spans="2:8" x14ac:dyDescent="0.25">
      <c r="B44" s="29" t="s">
        <v>62</v>
      </c>
      <c r="C44" s="68">
        <f>MAX(C39-C43,0)</f>
        <v>375094</v>
      </c>
      <c r="D44" s="68"/>
      <c r="E44" s="68">
        <f>MAX(E39-E43,0)</f>
        <v>362619.5</v>
      </c>
      <c r="F44" s="68"/>
      <c r="G44" s="31">
        <f>E44-C44</f>
        <v>-12474.5</v>
      </c>
      <c r="H44" s="28" t="str">
        <f>IF(C44=E44,"⟷ gleich",IF(C44&lt;E44,"▼ A günstiger","▲ B günstiger"))</f>
        <v>▲ B günstiger</v>
      </c>
    </row>
    <row r="45" spans="2:8" x14ac:dyDescent="0.25">
      <c r="B45" s="23" t="s">
        <v>63</v>
      </c>
      <c r="C45" s="69">
        <f>IFERROR(C43/C39,0)</f>
        <v>0.22676017431673037</v>
      </c>
      <c r="D45" s="69"/>
      <c r="E45" s="69">
        <f>IFERROR(E43/E39,0)</f>
        <v>0.20759604868236603</v>
      </c>
      <c r="F45" s="69"/>
      <c r="G45" s="40">
        <f>(E45-C45)*100</f>
        <v>-1.9164125634364342</v>
      </c>
      <c r="H45" s="28" t="str">
        <f>IF(C45=E45,"⟷ gleich",IF(C45&gt;E45,"▲ A besser","▼ B besser"))</f>
        <v>▲ A besser</v>
      </c>
    </row>
    <row r="46" spans="2:8" x14ac:dyDescent="0.25">
      <c r="B46" s="23" t="s">
        <v>64</v>
      </c>
      <c r="C46" s="69">
        <f>IFERROR(C44/C28,0)</f>
        <v>0.89308095238095242</v>
      </c>
      <c r="D46" s="69"/>
      <c r="E46" s="69">
        <f>IFERROR(E44/E28,0)</f>
        <v>0.94186883116883113</v>
      </c>
      <c r="F46" s="69"/>
      <c r="G46" s="40">
        <f>(E46-C46)*100</f>
        <v>4.8787878787878718</v>
      </c>
      <c r="H46" s="28" t="str">
        <f>IF(C46=E46,"⟷ gleich",IF(C46&lt;E46,"▼ A günstiger","▲ B günstiger"))</f>
        <v>▼ A günstiger</v>
      </c>
    </row>
    <row r="47" spans="2:8" x14ac:dyDescent="0.25">
      <c r="B47" s="23" t="s">
        <v>65</v>
      </c>
      <c r="C47" s="70">
        <v>3.7499999999999999E-2</v>
      </c>
      <c r="D47" s="70"/>
      <c r="E47" s="70">
        <v>3.85E-2</v>
      </c>
      <c r="F47" s="70"/>
      <c r="G47" s="41">
        <f>(E47-C47)*100</f>
        <v>0.10000000000000009</v>
      </c>
      <c r="H47" s="28" t="str">
        <f>IF(C47=E47,"⟷ gleich",IF(C47&lt;E47,"▼ Objekt A günstiger","▲ Objekt B günstiger"))</f>
        <v>▼ Objekt A günstiger</v>
      </c>
    </row>
    <row r="48" spans="2:8" x14ac:dyDescent="0.25">
      <c r="B48" s="23" t="s">
        <v>66</v>
      </c>
      <c r="C48" s="70">
        <v>2.5000000000000001E-2</v>
      </c>
      <c r="D48" s="70"/>
      <c r="E48" s="70">
        <v>2.5000000000000001E-2</v>
      </c>
      <c r="F48" s="70"/>
      <c r="G48" s="41">
        <f>(E48-C48)*100</f>
        <v>0</v>
      </c>
      <c r="H48" s="25"/>
    </row>
    <row r="49" spans="2:8" x14ac:dyDescent="0.25">
      <c r="B49" s="23" t="s">
        <v>67</v>
      </c>
      <c r="C49" s="4">
        <v>15</v>
      </c>
      <c r="D49" s="4"/>
      <c r="E49" s="4">
        <v>15</v>
      </c>
      <c r="F49" s="4"/>
      <c r="G49" s="24" t="s">
        <v>18</v>
      </c>
      <c r="H49" s="25"/>
    </row>
    <row r="50" spans="2:8" x14ac:dyDescent="0.25">
      <c r="B50" s="23" t="s">
        <v>68</v>
      </c>
      <c r="C50" s="1">
        <f>C44*(C47+C48)</f>
        <v>23443.375</v>
      </c>
      <c r="D50" s="1"/>
      <c r="E50" s="1">
        <f>E44*(E47+E48)</f>
        <v>23026.338250000001</v>
      </c>
      <c r="F50" s="1"/>
      <c r="G50" s="31">
        <f>E50-C50</f>
        <v>-417.0367499999993</v>
      </c>
      <c r="H50" s="28" t="str">
        <f>IF(C50=E50,"⟷ gleich",IF(C50&lt;E50,"▼ A günstiger","▲ B günstiger"))</f>
        <v>▲ B günstiger</v>
      </c>
    </row>
    <row r="51" spans="2:8" ht="21.75" customHeight="1" x14ac:dyDescent="0.25">
      <c r="B51" s="42" t="s">
        <v>2</v>
      </c>
      <c r="C51" s="71">
        <f>C50/12</f>
        <v>1953.6145833333333</v>
      </c>
      <c r="D51" s="71"/>
      <c r="E51" s="71">
        <f>E50/12</f>
        <v>1918.8615208333333</v>
      </c>
      <c r="F51" s="71"/>
      <c r="G51" s="43">
        <f>E51-C51</f>
        <v>-34.753062499999942</v>
      </c>
      <c r="H51" s="44" t="str">
        <f>IF(C51=E51,"⟷ gleich",IF(C51&lt;E51,"▼ A günstiger","▲ B günstiger"))</f>
        <v>▲ B günstiger</v>
      </c>
    </row>
    <row r="53" spans="2:8" ht="25.5" customHeight="1" x14ac:dyDescent="0.25">
      <c r="B53" s="20" t="s">
        <v>69</v>
      </c>
      <c r="C53" s="10" t="s">
        <v>70</v>
      </c>
      <c r="D53" s="10"/>
      <c r="E53" s="10"/>
      <c r="F53" s="10"/>
      <c r="G53" s="10"/>
      <c r="H53" s="10"/>
    </row>
    <row r="54" spans="2:8" ht="18" customHeight="1" x14ac:dyDescent="0.25">
      <c r="B54" s="21" t="s">
        <v>71</v>
      </c>
      <c r="C54" s="9" t="s">
        <v>11</v>
      </c>
      <c r="D54" s="9"/>
      <c r="E54" s="9" t="s">
        <v>12</v>
      </c>
      <c r="F54" s="9"/>
      <c r="G54" s="22" t="s">
        <v>13</v>
      </c>
      <c r="H54" s="22" t="s">
        <v>14</v>
      </c>
    </row>
    <row r="55" spans="2:8" x14ac:dyDescent="0.25">
      <c r="B55" s="23" t="s">
        <v>72</v>
      </c>
      <c r="C55" s="1">
        <f>C51</f>
        <v>1953.6145833333333</v>
      </c>
      <c r="D55" s="1"/>
      <c r="E55" s="1">
        <f>E51</f>
        <v>1918.8615208333333</v>
      </c>
      <c r="F55" s="1"/>
      <c r="G55" s="31">
        <f t="shared" ref="G55:G66" si="2">E55-C55</f>
        <v>-34.753062499999942</v>
      </c>
      <c r="H55" s="25" t="s">
        <v>73</v>
      </c>
    </row>
    <row r="56" spans="2:8" x14ac:dyDescent="0.25">
      <c r="B56" s="23" t="s">
        <v>74</v>
      </c>
      <c r="C56" s="72">
        <v>45</v>
      </c>
      <c r="D56" s="72"/>
      <c r="E56" s="72">
        <v>58</v>
      </c>
      <c r="F56" s="72"/>
      <c r="G56" s="30">
        <f t="shared" si="2"/>
        <v>13</v>
      </c>
      <c r="H56" s="28" t="str">
        <f t="shared" ref="H56:H65" si="3">IF(C56=E56,"⟷ gleich",IF(C56&lt;E56,"▼ Objekt A günstiger","▲ Objekt B günstiger"))</f>
        <v>▼ Objekt A günstiger</v>
      </c>
    </row>
    <row r="57" spans="2:8" x14ac:dyDescent="0.25">
      <c r="B57" s="23" t="s">
        <v>75</v>
      </c>
      <c r="C57" s="72">
        <v>38</v>
      </c>
      <c r="D57" s="72"/>
      <c r="E57" s="72">
        <v>42</v>
      </c>
      <c r="F57" s="72"/>
      <c r="G57" s="30">
        <f t="shared" si="2"/>
        <v>4</v>
      </c>
      <c r="H57" s="28" t="str">
        <f t="shared" si="3"/>
        <v>▼ Objekt A günstiger</v>
      </c>
    </row>
    <row r="58" spans="2:8" x14ac:dyDescent="0.25">
      <c r="B58" s="23" t="s">
        <v>76</v>
      </c>
      <c r="C58" s="72">
        <v>16</v>
      </c>
      <c r="D58" s="72"/>
      <c r="E58" s="72">
        <v>18.5</v>
      </c>
      <c r="F58" s="72"/>
      <c r="G58" s="30">
        <f t="shared" si="2"/>
        <v>2.5</v>
      </c>
      <c r="H58" s="28" t="str">
        <f t="shared" si="3"/>
        <v>▼ Objekt A günstiger</v>
      </c>
    </row>
    <row r="59" spans="2:8" x14ac:dyDescent="0.25">
      <c r="B59" s="23" t="s">
        <v>77</v>
      </c>
      <c r="C59" s="72">
        <v>78</v>
      </c>
      <c r="D59" s="72"/>
      <c r="E59" s="72">
        <v>105</v>
      </c>
      <c r="F59" s="72"/>
      <c r="G59" s="30">
        <f t="shared" si="2"/>
        <v>27</v>
      </c>
      <c r="H59" s="28" t="str">
        <f t="shared" si="3"/>
        <v>▼ Objekt A günstiger</v>
      </c>
    </row>
    <row r="60" spans="2:8" x14ac:dyDescent="0.25">
      <c r="B60" s="23" t="s">
        <v>78</v>
      </c>
      <c r="C60" s="72">
        <v>115</v>
      </c>
      <c r="D60" s="72"/>
      <c r="E60" s="72">
        <v>165</v>
      </c>
      <c r="F60" s="72"/>
      <c r="G60" s="30">
        <f t="shared" si="2"/>
        <v>50</v>
      </c>
      <c r="H60" s="28" t="str">
        <f t="shared" si="3"/>
        <v>▼ Objekt A günstiger</v>
      </c>
    </row>
    <row r="61" spans="2:8" x14ac:dyDescent="0.25">
      <c r="B61" s="23" t="s">
        <v>79</v>
      </c>
      <c r="C61" s="72">
        <v>36</v>
      </c>
      <c r="D61" s="72"/>
      <c r="E61" s="72">
        <v>48</v>
      </c>
      <c r="F61" s="72"/>
      <c r="G61" s="30">
        <f t="shared" si="2"/>
        <v>12</v>
      </c>
      <c r="H61" s="28" t="str">
        <f t="shared" si="3"/>
        <v>▼ Objekt A günstiger</v>
      </c>
    </row>
    <row r="62" spans="2:8" x14ac:dyDescent="0.25">
      <c r="B62" s="23" t="s">
        <v>80</v>
      </c>
      <c r="C62" s="72">
        <v>22</v>
      </c>
      <c r="D62" s="72"/>
      <c r="E62" s="72">
        <v>28</v>
      </c>
      <c r="F62" s="72"/>
      <c r="G62" s="30">
        <f t="shared" si="2"/>
        <v>6</v>
      </c>
      <c r="H62" s="28" t="str">
        <f t="shared" si="3"/>
        <v>▼ Objekt A günstiger</v>
      </c>
    </row>
    <row r="63" spans="2:8" x14ac:dyDescent="0.25">
      <c r="B63" s="23" t="s">
        <v>81</v>
      </c>
      <c r="C63" s="72">
        <v>8</v>
      </c>
      <c r="D63" s="72"/>
      <c r="E63" s="72">
        <v>12</v>
      </c>
      <c r="F63" s="72"/>
      <c r="G63" s="30">
        <f t="shared" si="2"/>
        <v>4</v>
      </c>
      <c r="H63" s="28" t="str">
        <f t="shared" si="3"/>
        <v>▼ Objekt A günstiger</v>
      </c>
    </row>
    <row r="64" spans="2:8" x14ac:dyDescent="0.25">
      <c r="B64" s="23" t="s">
        <v>82</v>
      </c>
      <c r="C64" s="72">
        <v>285</v>
      </c>
      <c r="D64" s="72"/>
      <c r="E64" s="72">
        <v>0</v>
      </c>
      <c r="F64" s="72"/>
      <c r="G64" s="30">
        <f t="shared" si="2"/>
        <v>-285</v>
      </c>
      <c r="H64" s="28" t="str">
        <f t="shared" si="3"/>
        <v>▲ Objekt B günstiger</v>
      </c>
    </row>
    <row r="65" spans="2:8" x14ac:dyDescent="0.25">
      <c r="B65" s="23" t="s">
        <v>83</v>
      </c>
      <c r="C65" s="72">
        <v>95</v>
      </c>
      <c r="D65" s="72"/>
      <c r="E65" s="72">
        <v>142</v>
      </c>
      <c r="F65" s="72"/>
      <c r="G65" s="30">
        <f t="shared" si="2"/>
        <v>47</v>
      </c>
      <c r="H65" s="28" t="str">
        <f t="shared" si="3"/>
        <v>▼ Objekt A günstiger</v>
      </c>
    </row>
    <row r="66" spans="2:8" ht="21.75" customHeight="1" x14ac:dyDescent="0.25">
      <c r="B66" s="37" t="s">
        <v>84</v>
      </c>
      <c r="C66" s="67">
        <f>SUM(C55:C65)</f>
        <v>2691.614583333333</v>
      </c>
      <c r="D66" s="67"/>
      <c r="E66" s="67">
        <f>SUM(E55:E65)</f>
        <v>2537.3615208333331</v>
      </c>
      <c r="F66" s="67"/>
      <c r="G66" s="38">
        <f t="shared" si="2"/>
        <v>-154.25306249999994</v>
      </c>
      <c r="H66" s="39" t="str">
        <f>IF(C66=E66,"⟷ gleich",IF(C66&lt;E66,"▼ A günstiger","▲ B günstiger"))</f>
        <v>▲ B günstiger</v>
      </c>
    </row>
    <row r="67" spans="2:8" x14ac:dyDescent="0.25">
      <c r="B67" s="35" t="s">
        <v>85</v>
      </c>
      <c r="C67" s="73" t="str">
        <f>C66*12&amp;"  /  "&amp;TEXT(C66*120,"#,##0")&amp;" €"</f>
        <v>32299,375  /  322993,750 €</v>
      </c>
      <c r="D67" s="73"/>
      <c r="E67" s="73" t="str">
        <f>E66*12&amp;"  /  "&amp;TEXT(E66*120,"#,##0")&amp;" €"</f>
        <v>30448,33825  /  304483,383 €</v>
      </c>
      <c r="F67" s="73"/>
      <c r="G67" s="45"/>
      <c r="H67" s="45"/>
    </row>
    <row r="69" spans="2:8" ht="25.5" customHeight="1" x14ac:dyDescent="0.25">
      <c r="B69" s="20" t="s">
        <v>86</v>
      </c>
      <c r="C69" s="10" t="s">
        <v>87</v>
      </c>
      <c r="D69" s="10"/>
      <c r="E69" s="10"/>
      <c r="F69" s="10"/>
      <c r="G69" s="10"/>
      <c r="H69" s="10"/>
    </row>
    <row r="70" spans="2:8" x14ac:dyDescent="0.25">
      <c r="B70" s="46"/>
      <c r="C70" s="9" t="s">
        <v>11</v>
      </c>
      <c r="D70" s="9"/>
      <c r="E70" s="9" t="s">
        <v>12</v>
      </c>
      <c r="F70" s="9"/>
      <c r="G70" s="46"/>
      <c r="H70" s="46"/>
    </row>
    <row r="71" spans="2:8" ht="18" customHeight="1" x14ac:dyDescent="0.25">
      <c r="B71" s="47" t="s">
        <v>88</v>
      </c>
      <c r="C71" s="47" t="s">
        <v>89</v>
      </c>
      <c r="D71" s="47" t="s">
        <v>90</v>
      </c>
      <c r="E71" s="47" t="s">
        <v>89</v>
      </c>
      <c r="F71" s="47" t="s">
        <v>90</v>
      </c>
      <c r="G71" s="47" t="s">
        <v>91</v>
      </c>
      <c r="H71" s="47" t="s">
        <v>92</v>
      </c>
    </row>
    <row r="72" spans="2:8" x14ac:dyDescent="0.25">
      <c r="B72" s="48">
        <v>2026</v>
      </c>
      <c r="C72" s="49">
        <f>MAX(C44*C47,0)</f>
        <v>14066.025</v>
      </c>
      <c r="D72" s="49">
        <f>MAX(C44-MAX(MIN(C50,C44+C44*C47)-C44*C47,0),0)</f>
        <v>365716.65</v>
      </c>
      <c r="E72" s="49">
        <f>MAX(E44*E47,0)</f>
        <v>13960.85075</v>
      </c>
      <c r="F72" s="49">
        <f>MAX(E44-MAX(MIN(E50,E44+E44*E47)-E44*E47,0),0)</f>
        <v>353554.01250000001</v>
      </c>
      <c r="G72" s="50">
        <f t="shared" ref="G72:G86" si="4">F72-D72</f>
        <v>-12162.637500000012</v>
      </c>
      <c r="H72" s="51" t="str">
        <f t="shared" ref="H72:H86" si="5">IF(D72=F72,"–",IF(D72&lt;F72,"A","B"))</f>
        <v>B</v>
      </c>
    </row>
    <row r="73" spans="2:8" x14ac:dyDescent="0.25">
      <c r="B73" s="48">
        <v>2027</v>
      </c>
      <c r="C73" s="49">
        <f>MAX(D72*C47,0)</f>
        <v>13714.374375000001</v>
      </c>
      <c r="D73" s="49">
        <f>MAX(D72-MAX(MIN(C50,D72+D72*C47)-D72*C47,0),0)</f>
        <v>355987.64937500004</v>
      </c>
      <c r="E73" s="49">
        <f>MAX(F72*E47,0)</f>
        <v>13611.829481250001</v>
      </c>
      <c r="F73" s="49">
        <f>MAX(F72-MAX(MIN(E50,F72+F72*E47)-F72*E47,0),0)</f>
        <v>344139.50373125001</v>
      </c>
      <c r="G73" s="50">
        <f t="shared" si="4"/>
        <v>-11848.145643750031</v>
      </c>
      <c r="H73" s="51" t="str">
        <f t="shared" si="5"/>
        <v>B</v>
      </c>
    </row>
    <row r="74" spans="2:8" x14ac:dyDescent="0.25">
      <c r="B74" s="48">
        <v>2028</v>
      </c>
      <c r="C74" s="49">
        <f>MAX(D73*C47,0)</f>
        <v>13349.536851562501</v>
      </c>
      <c r="D74" s="49">
        <f>MAX(D73-MAX(MIN(C50,D73+D73*C47)-D73*C47,0),0)</f>
        <v>345893.81122656254</v>
      </c>
      <c r="E74" s="49">
        <f>MAX(F73*E47,0)</f>
        <v>13249.370893653126</v>
      </c>
      <c r="F74" s="49">
        <f>MAX(F73-MAX(MIN(E50,F73+F73*E47)-F73*E47,0),0)</f>
        <v>334362.53637490311</v>
      </c>
      <c r="G74" s="50">
        <f t="shared" si="4"/>
        <v>-11531.274851659429</v>
      </c>
      <c r="H74" s="51" t="str">
        <f t="shared" si="5"/>
        <v>B</v>
      </c>
    </row>
    <row r="75" spans="2:8" x14ac:dyDescent="0.25">
      <c r="B75" s="48">
        <v>2029</v>
      </c>
      <c r="C75" s="49">
        <f>MAX(D74*C47,0)</f>
        <v>12971.017920996095</v>
      </c>
      <c r="D75" s="49">
        <f>MAX(D74-MAX(MIN(C50,D74+D74*C47)-D74*C47,0),0)</f>
        <v>335421.45414755866</v>
      </c>
      <c r="E75" s="49">
        <f>MAX(F74*E47,0)</f>
        <v>12872.957650433769</v>
      </c>
      <c r="F75" s="49">
        <f>MAX(F74-MAX(MIN(E50,F74+F74*E47)-F74*E47,0),0)</f>
        <v>324209.1557753369</v>
      </c>
      <c r="G75" s="50">
        <f t="shared" si="4"/>
        <v>-11212.298372221761</v>
      </c>
      <c r="H75" s="51" t="str">
        <f t="shared" si="5"/>
        <v>B</v>
      </c>
    </row>
    <row r="76" spans="2:8" x14ac:dyDescent="0.25">
      <c r="B76" s="48">
        <v>2030</v>
      </c>
      <c r="C76" s="49">
        <f>MAX(D75*C47,0)</f>
        <v>12578.304530533449</v>
      </c>
      <c r="D76" s="49">
        <f>MAX(D75-MAX(MIN(C50,D75+D75*C47)-D75*C47,0),0)</f>
        <v>324556.3836780921</v>
      </c>
      <c r="E76" s="49">
        <f>MAX(F75*E47,0)</f>
        <v>12482.052497350471</v>
      </c>
      <c r="F76" s="49">
        <f>MAX(F75-MAX(MIN(E50,F75+F75*E47)-F75*E47,0),0)</f>
        <v>313664.87002268736</v>
      </c>
      <c r="G76" s="50">
        <f t="shared" si="4"/>
        <v>-10891.513655404735</v>
      </c>
      <c r="H76" s="51" t="str">
        <f t="shared" si="5"/>
        <v>B</v>
      </c>
    </row>
    <row r="77" spans="2:8" x14ac:dyDescent="0.25">
      <c r="B77" s="48">
        <v>2031</v>
      </c>
      <c r="C77" s="49">
        <f>MAX(D76*C47,0)</f>
        <v>12170.864387928454</v>
      </c>
      <c r="D77" s="49">
        <f>MAX(D76-MAX(MIN(C50,D76+D76*C47)-D76*C47,0),0)</f>
        <v>313283.87306602055</v>
      </c>
      <c r="E77" s="49">
        <f>MAX(F76*E47,0)</f>
        <v>12076.097495873464</v>
      </c>
      <c r="F77" s="49">
        <f>MAX(F76-MAX(MIN(E50,F76+F76*E47)-F76*E47,0),0)</f>
        <v>302714.62926856085</v>
      </c>
      <c r="G77" s="50">
        <f t="shared" si="4"/>
        <v>-10569.243797459698</v>
      </c>
      <c r="H77" s="51" t="str">
        <f t="shared" si="5"/>
        <v>B</v>
      </c>
    </row>
    <row r="78" spans="2:8" x14ac:dyDescent="0.25">
      <c r="B78" s="48">
        <v>2032</v>
      </c>
      <c r="C78" s="49">
        <f>MAX(D77*C47,0)</f>
        <v>11748.145239975771</v>
      </c>
      <c r="D78" s="49">
        <f>MAX(D77-MAX(MIN(C50,D77+D77*C47)-D77*C47,0),0)</f>
        <v>301588.64330599632</v>
      </c>
      <c r="E78" s="49">
        <f>MAX(F77*E47,0)</f>
        <v>11654.513226839592</v>
      </c>
      <c r="F78" s="49">
        <f>MAX(F77-MAX(MIN(E50,F77+F77*E47)-F77*E47,0),0)</f>
        <v>291342.80424540042</v>
      </c>
      <c r="G78" s="50">
        <f t="shared" si="4"/>
        <v>-10245.839060595899</v>
      </c>
      <c r="H78" s="51" t="str">
        <f t="shared" si="5"/>
        <v>B</v>
      </c>
    </row>
    <row r="79" spans="2:8" x14ac:dyDescent="0.25">
      <c r="B79" s="48">
        <v>2033</v>
      </c>
      <c r="C79" s="49">
        <f>MAX(D78*C47,0)</f>
        <v>11309.574123974862</v>
      </c>
      <c r="D79" s="49">
        <f>MAX(D78-MAX(MIN(C50,D78+D78*C47)-D78*C47,0),0)</f>
        <v>289454.84242997121</v>
      </c>
      <c r="E79" s="49">
        <f>MAX(F78*E47,0)</f>
        <v>11216.697963447916</v>
      </c>
      <c r="F79" s="49">
        <f>MAX(F78-MAX(MIN(E50,F78+F78*E47)-F78*E47,0),0)</f>
        <v>279533.16395884834</v>
      </c>
      <c r="G79" s="50">
        <f t="shared" si="4"/>
        <v>-9921.6784711228684</v>
      </c>
      <c r="H79" s="51" t="str">
        <f t="shared" si="5"/>
        <v>B</v>
      </c>
    </row>
    <row r="80" spans="2:8" x14ac:dyDescent="0.25">
      <c r="B80" s="48">
        <v>2034</v>
      </c>
      <c r="C80" s="49">
        <f>MAX(D79*C47,0)</f>
        <v>10854.556591123919</v>
      </c>
      <c r="D80" s="49">
        <f>MAX(D79-MAX(MIN(C50,D79+D79*C47)-D79*C47,0),0)</f>
        <v>276866.02402109513</v>
      </c>
      <c r="E80" s="49">
        <f>MAX(F79*E47,0)</f>
        <v>10762.026812415661</v>
      </c>
      <c r="F80" s="49">
        <f>MAX(F79-MAX(MIN(E50,F79+F79*E47)-F79*E47,0),0)</f>
        <v>267268.85252126399</v>
      </c>
      <c r="G80" s="50">
        <f t="shared" si="4"/>
        <v>-9597.1714998311363</v>
      </c>
      <c r="H80" s="51" t="str">
        <f t="shared" si="5"/>
        <v>B</v>
      </c>
    </row>
    <row r="81" spans="2:8" x14ac:dyDescent="0.25">
      <c r="B81" s="48">
        <v>2035</v>
      </c>
      <c r="C81" s="49">
        <f>MAX(D80*C47,0)</f>
        <v>10382.475900791067</v>
      </c>
      <c r="D81" s="49">
        <f>MAX(D80-MAX(MIN(C50,D80+D80*C47)-D80*C47,0),0)</f>
        <v>263805.12492188619</v>
      </c>
      <c r="E81" s="49">
        <f>MAX(F80*E47,0)</f>
        <v>10289.850822068664</v>
      </c>
      <c r="F81" s="49">
        <f>MAX(F80-MAX(MIN(E50,F80+F80*E47)-F80*E47,0),0)</f>
        <v>254532.36509333266</v>
      </c>
      <c r="G81" s="50">
        <f t="shared" si="4"/>
        <v>-9272.759828553535</v>
      </c>
      <c r="H81" s="51" t="str">
        <f t="shared" si="5"/>
        <v>B</v>
      </c>
    </row>
    <row r="82" spans="2:8" x14ac:dyDescent="0.25">
      <c r="B82" s="48">
        <v>2036</v>
      </c>
      <c r="C82" s="49">
        <f>MAX(D81*C47,0)</f>
        <v>9892.6921845707311</v>
      </c>
      <c r="D82" s="49">
        <f>MAX(D81-MAX(MIN(C50,D81+D81*C47)-D81*C47,0),0)</f>
        <v>250254.44210645693</v>
      </c>
      <c r="E82" s="49">
        <f>MAX(F81*E47,0)</f>
        <v>9799.4960560933068</v>
      </c>
      <c r="F82" s="49">
        <f>MAX(F81-MAX(MIN(E50,F81+F81*E47)-F81*E47,0),0)</f>
        <v>241305.52289942597</v>
      </c>
      <c r="G82" s="50">
        <f t="shared" si="4"/>
        <v>-8948.9192070309655</v>
      </c>
      <c r="H82" s="51" t="str">
        <f t="shared" si="5"/>
        <v>B</v>
      </c>
    </row>
    <row r="83" spans="2:8" x14ac:dyDescent="0.25">
      <c r="B83" s="48">
        <v>2037</v>
      </c>
      <c r="C83" s="49">
        <f>MAX(D82*C47,0)</f>
        <v>9384.5415789921353</v>
      </c>
      <c r="D83" s="49">
        <f>MAX(D82-MAX(MIN(C50,D82+D82*C47)-D82*C47,0),0)</f>
        <v>236195.60868544906</v>
      </c>
      <c r="E83" s="49">
        <f>MAX(F82*E47,0)</f>
        <v>9290.2626316279002</v>
      </c>
      <c r="F83" s="49">
        <f>MAX(F82-MAX(MIN(E50,F82+F82*E47)-F82*E47,0),0)</f>
        <v>227569.44728105387</v>
      </c>
      <c r="G83" s="50">
        <f t="shared" si="4"/>
        <v>-8626.1614043951849</v>
      </c>
      <c r="H83" s="51" t="str">
        <f t="shared" si="5"/>
        <v>B</v>
      </c>
    </row>
    <row r="84" spans="2:8" x14ac:dyDescent="0.25">
      <c r="B84" s="48">
        <v>2038</v>
      </c>
      <c r="C84" s="49">
        <f>MAX(D83*C47,0)</f>
        <v>8857.33532570434</v>
      </c>
      <c r="D84" s="49">
        <f>MAX(D83-MAX(MIN(C50,D83+D83*C47)-D83*C47,0),0)</f>
        <v>221609.56901115339</v>
      </c>
      <c r="E84" s="49">
        <f>MAX(F83*E47,0)</f>
        <v>8761.4237203205739</v>
      </c>
      <c r="F84" s="49">
        <f>MAX(F83-MAX(MIN(E50,F83+F83*E47)-F83*E47,0),0)</f>
        <v>213304.53275137444</v>
      </c>
      <c r="G84" s="50">
        <f t="shared" si="4"/>
        <v>-8305.0362597789499</v>
      </c>
      <c r="H84" s="51" t="str">
        <f t="shared" si="5"/>
        <v>B</v>
      </c>
    </row>
    <row r="85" spans="2:8" x14ac:dyDescent="0.25">
      <c r="B85" s="48">
        <v>2039</v>
      </c>
      <c r="C85" s="49">
        <f>MAX(D84*C47,0)</f>
        <v>8310.3588379182511</v>
      </c>
      <c r="D85" s="49">
        <f>MAX(D84-MAX(MIN(C50,D84+D84*C47)-D84*C47,0),0)</f>
        <v>206476.55284907165</v>
      </c>
      <c r="E85" s="49">
        <f>MAX(F84*E47,0)</f>
        <v>8212.2245109279156</v>
      </c>
      <c r="F85" s="49">
        <f>MAX(F84-MAX(MIN(E50,F84+F84*E47)-F84*E47,0),0)</f>
        <v>198490.41901230236</v>
      </c>
      <c r="G85" s="50">
        <f t="shared" si="4"/>
        <v>-7986.1338367692952</v>
      </c>
      <c r="H85" s="51" t="str">
        <f t="shared" si="5"/>
        <v>B</v>
      </c>
    </row>
    <row r="86" spans="2:8" x14ac:dyDescent="0.25">
      <c r="B86" s="48">
        <v>2040</v>
      </c>
      <c r="C86" s="49">
        <f>MAX(D85*C47,0)</f>
        <v>7742.8707318401866</v>
      </c>
      <c r="D86" s="52">
        <f>MAX(D85-MAX(MIN(C50,D85+D85*C47)-D85*C47,0),0)</f>
        <v>190776.04858091183</v>
      </c>
      <c r="E86" s="49">
        <f>MAX(F85*E47,0)</f>
        <v>7641.8811319736405</v>
      </c>
      <c r="F86" s="52">
        <f>MAX(F85-MAX(MIN(E50,F85+F85*E47)-F85*E47,0),0)</f>
        <v>183105.961894276</v>
      </c>
      <c r="G86" s="50">
        <f t="shared" si="4"/>
        <v>-7670.0866866358265</v>
      </c>
      <c r="H86" s="51" t="str">
        <f t="shared" si="5"/>
        <v>B</v>
      </c>
    </row>
    <row r="87" spans="2:8" x14ac:dyDescent="0.25">
      <c r="B87" s="53" t="s">
        <v>93</v>
      </c>
      <c r="C87" s="54">
        <f>SUM(C72:C86)</f>
        <v>167332.67358091177</v>
      </c>
      <c r="D87" s="55">
        <f>D86</f>
        <v>190776.04858091183</v>
      </c>
      <c r="E87" s="54">
        <f>SUM(E72:E86)</f>
        <v>165881.53564427601</v>
      </c>
      <c r="F87" s="55">
        <f>F86</f>
        <v>183105.961894276</v>
      </c>
      <c r="G87" s="56">
        <f>F86-D86</f>
        <v>-7670.0866866358265</v>
      </c>
      <c r="H87" s="57"/>
    </row>
    <row r="89" spans="2:8" ht="25.5" customHeight="1" x14ac:dyDescent="0.25">
      <c r="B89" s="20" t="s">
        <v>94</v>
      </c>
      <c r="C89" s="10" t="s">
        <v>95</v>
      </c>
      <c r="D89" s="10"/>
      <c r="E89" s="10"/>
      <c r="F89" s="10"/>
      <c r="G89" s="10"/>
      <c r="H89" s="10"/>
    </row>
    <row r="90" spans="2:8" x14ac:dyDescent="0.25">
      <c r="B90" s="58" t="s">
        <v>96</v>
      </c>
      <c r="C90" s="74">
        <f>C39</f>
        <v>485094</v>
      </c>
      <c r="D90" s="74"/>
      <c r="E90" s="74">
        <f>E39</f>
        <v>457619.5</v>
      </c>
      <c r="F90" s="74"/>
      <c r="G90" s="75" t="str">
        <f>IF(C39=E39,"Gleichstand",IF(C39&lt;E39,"Objekt A ist günstiger im Erwerb","Objekt B ist günstiger im Erwerb"))</f>
        <v>Objekt B ist günstiger im Erwerb</v>
      </c>
      <c r="H90" s="75"/>
    </row>
    <row r="91" spans="2:8" x14ac:dyDescent="0.25">
      <c r="B91" s="58" t="s">
        <v>97</v>
      </c>
      <c r="C91" s="74">
        <f>C66</f>
        <v>2691.614583333333</v>
      </c>
      <c r="D91" s="74"/>
      <c r="E91" s="74">
        <f>E66</f>
        <v>2537.3615208333331</v>
      </c>
      <c r="F91" s="74"/>
      <c r="G91" s="75" t="str">
        <f>IF(C66=E66,"Gleichstand",IF(C66&lt;E66,"Objekt A belastet das Budget weniger","Objekt B belastet das Budget weniger"))</f>
        <v>Objekt B belastet das Budget weniger</v>
      </c>
      <c r="H91" s="75"/>
    </row>
    <row r="92" spans="2:8" x14ac:dyDescent="0.25">
      <c r="B92" s="58" t="s">
        <v>98</v>
      </c>
      <c r="C92" s="74">
        <f>D86</f>
        <v>190776.04858091183</v>
      </c>
      <c r="D92" s="74"/>
      <c r="E92" s="74">
        <f>F86</f>
        <v>183105.961894276</v>
      </c>
      <c r="F92" s="74"/>
      <c r="G92" s="75" t="str">
        <f>IF(D86=F86,"Gleichstand",IF(D86&lt;F86,"Objekt A: niedrigere Restschuld","Objekt B: niedrigere Restschuld"))</f>
        <v>Objekt B: niedrigere Restschuld</v>
      </c>
      <c r="H92" s="75"/>
    </row>
    <row r="93" spans="2:8" x14ac:dyDescent="0.25">
      <c r="B93" s="58" t="s">
        <v>63</v>
      </c>
      <c r="C93" s="76">
        <f>C45</f>
        <v>0.22676017431673037</v>
      </c>
      <c r="D93" s="76"/>
      <c r="E93" s="76">
        <f>E45</f>
        <v>0.20759604868236603</v>
      </c>
      <c r="F93" s="76"/>
      <c r="G93" s="75" t="str">
        <f>IF(C45=E45,"Gleichstand",IF(C45&lt;E45,"Objekt B bietet höhere EK-Quote","Objekt A bietet höhere EK-Quote"))</f>
        <v>Objekt A bietet höhere EK-Quote</v>
      </c>
      <c r="H93" s="75"/>
    </row>
    <row r="95" spans="2:8" ht="42" customHeight="1" x14ac:dyDescent="0.25">
      <c r="B95" s="77" t="s">
        <v>99</v>
      </c>
      <c r="C95" s="77"/>
      <c r="D95" s="77"/>
      <c r="E95" s="77"/>
      <c r="F95" s="77"/>
      <c r="G95" s="77"/>
      <c r="H95" s="77"/>
    </row>
  </sheetData>
  <mergeCells count="129">
    <mergeCell ref="C93:D93"/>
    <mergeCell ref="E93:F93"/>
    <mergeCell ref="G93:H93"/>
    <mergeCell ref="B95:H95"/>
    <mergeCell ref="C89:H89"/>
    <mergeCell ref="C90:D90"/>
    <mergeCell ref="E90:F90"/>
    <mergeCell ref="G90:H90"/>
    <mergeCell ref="C91:D91"/>
    <mergeCell ref="E91:F91"/>
    <mergeCell ref="G91:H91"/>
    <mergeCell ref="C92:D92"/>
    <mergeCell ref="E92:F92"/>
    <mergeCell ref="G92:H92"/>
    <mergeCell ref="C65:D65"/>
    <mergeCell ref="E65:F65"/>
    <mergeCell ref="C66:D66"/>
    <mergeCell ref="E66:F66"/>
    <mergeCell ref="C67:D67"/>
    <mergeCell ref="E67:F67"/>
    <mergeCell ref="C69:H69"/>
    <mergeCell ref="C70:D70"/>
    <mergeCell ref="E70:F70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49:D49"/>
    <mergeCell ref="E49:F49"/>
    <mergeCell ref="C50:D50"/>
    <mergeCell ref="E50:F50"/>
    <mergeCell ref="C51:D51"/>
    <mergeCell ref="E51:F51"/>
    <mergeCell ref="C53:H53"/>
    <mergeCell ref="C54:D54"/>
    <mergeCell ref="E54:F54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38:D38"/>
    <mergeCell ref="E38:F38"/>
    <mergeCell ref="C39:D39"/>
    <mergeCell ref="E39:F39"/>
    <mergeCell ref="C41:H41"/>
    <mergeCell ref="C42:D42"/>
    <mergeCell ref="E42:F42"/>
    <mergeCell ref="C43:D43"/>
    <mergeCell ref="E43:F43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22:D22"/>
    <mergeCell ref="E22:F22"/>
    <mergeCell ref="C23:D23"/>
    <mergeCell ref="E23:F23"/>
    <mergeCell ref="C24:D24"/>
    <mergeCell ref="E24:F24"/>
    <mergeCell ref="C26:H26"/>
    <mergeCell ref="C27:D27"/>
    <mergeCell ref="E27:F27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B2:H2"/>
    <mergeCell ref="B4:H4"/>
    <mergeCell ref="B6:C6"/>
    <mergeCell ref="D6:E6"/>
    <mergeCell ref="F6:G6"/>
    <mergeCell ref="B9:C9"/>
    <mergeCell ref="D9:E9"/>
    <mergeCell ref="F9:G9"/>
    <mergeCell ref="C11:H11"/>
  </mergeCells>
  <printOptions horizontalCentered="1"/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Listen!$A$4:$A$19</xm:f>
          </x14:formula1>
          <x14:formula2>
            <xm:f>0</xm:f>
          </x14:formula2>
          <xm:sqref>C16 E16</xm:sqref>
        </x14:dataValidation>
        <x14:dataValidation type="list" allowBlank="1" xr:uid="{00000000-0002-0000-0000-000001000000}">
          <x14:formula1>
            <xm:f>Listen!$D$4:$D$13</xm:f>
          </x14:formula1>
          <x14:formula2>
            <xm:f>0</xm:f>
          </x14:formula2>
          <xm:sqref>C17 E17</xm:sqref>
        </x14:dataValidation>
        <x14:dataValidation type="list" allowBlank="1" xr:uid="{00000000-0002-0000-0000-000002000000}">
          <x14:formula1>
            <xm:f>Listen!$F$4:$F$13</xm:f>
          </x14:formula1>
          <x14:formula2>
            <xm:f>0</xm:f>
          </x14:formula2>
          <xm:sqref>C22 E22</xm:sqref>
        </x14:dataValidation>
        <x14:dataValidation type="list" allowBlank="1" xr:uid="{00000000-0002-0000-0000-000003000000}">
          <x14:formula1>
            <xm:f>Listen!$H$4:$H$10</xm:f>
          </x14:formula1>
          <x14:formula2>
            <xm:f>0</xm:f>
          </x14:formula2>
          <xm:sqref>C23 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CFC0"/>
  </sheetPr>
  <dimension ref="A1:I19"/>
  <sheetViews>
    <sheetView showGridLines="0" zoomScaleNormal="100" workbookViewId="0"/>
  </sheetViews>
  <sheetFormatPr baseColWidth="10" defaultColWidth="8.7109375" defaultRowHeight="15" x14ac:dyDescent="0.25"/>
  <cols>
    <col min="1" max="1" width="30" customWidth="1"/>
    <col min="2" max="2" width="14" customWidth="1"/>
    <col min="4" max="4" width="30" customWidth="1"/>
    <col min="6" max="6" width="30" customWidth="1"/>
    <col min="8" max="8" width="30" customWidth="1"/>
  </cols>
  <sheetData>
    <row r="1" spans="1:9" ht="21.75" customHeight="1" x14ac:dyDescent="0.25">
      <c r="A1" s="78" t="s">
        <v>100</v>
      </c>
      <c r="B1" s="78"/>
      <c r="C1" s="78"/>
      <c r="D1" s="78"/>
      <c r="E1" s="78"/>
      <c r="F1" s="78"/>
      <c r="G1" s="78"/>
      <c r="H1" s="78"/>
      <c r="I1" s="78"/>
    </row>
    <row r="3" spans="1:9" x14ac:dyDescent="0.25">
      <c r="A3" s="59" t="s">
        <v>25</v>
      </c>
      <c r="B3" s="60" t="s">
        <v>101</v>
      </c>
      <c r="D3" s="59" t="s">
        <v>28</v>
      </c>
      <c r="F3" s="59" t="s">
        <v>102</v>
      </c>
      <c r="H3" s="59" t="s">
        <v>39</v>
      </c>
    </row>
    <row r="4" spans="1:9" x14ac:dyDescent="0.25">
      <c r="A4" s="61" t="s">
        <v>103</v>
      </c>
      <c r="B4" s="62">
        <v>0.05</v>
      </c>
      <c r="D4" s="61" t="s">
        <v>30</v>
      </c>
      <c r="F4" s="63" t="s">
        <v>104</v>
      </c>
      <c r="H4" s="61" t="s">
        <v>105</v>
      </c>
    </row>
    <row r="5" spans="1:9" x14ac:dyDescent="0.25">
      <c r="A5" s="61" t="s">
        <v>106</v>
      </c>
      <c r="B5" s="62">
        <v>3.5000000000000003E-2</v>
      </c>
      <c r="D5" s="61" t="s">
        <v>107</v>
      </c>
      <c r="F5" s="63" t="s">
        <v>108</v>
      </c>
      <c r="H5" s="61" t="s">
        <v>40</v>
      </c>
    </row>
    <row r="6" spans="1:9" x14ac:dyDescent="0.25">
      <c r="A6" s="61" t="s">
        <v>109</v>
      </c>
      <c r="B6" s="62">
        <v>0.06</v>
      </c>
      <c r="D6" s="61" t="s">
        <v>110</v>
      </c>
      <c r="F6" s="63" t="s">
        <v>37</v>
      </c>
      <c r="H6" s="61" t="s">
        <v>41</v>
      </c>
    </row>
    <row r="7" spans="1:9" x14ac:dyDescent="0.25">
      <c r="A7" s="61" t="s">
        <v>111</v>
      </c>
      <c r="B7" s="62">
        <v>6.5000000000000002E-2</v>
      </c>
      <c r="D7" s="61" t="s">
        <v>29</v>
      </c>
      <c r="F7" s="63" t="s">
        <v>38</v>
      </c>
      <c r="H7" s="61" t="s">
        <v>112</v>
      </c>
    </row>
    <row r="8" spans="1:9" x14ac:dyDescent="0.25">
      <c r="A8" s="61" t="s">
        <v>26</v>
      </c>
      <c r="B8" s="62">
        <v>5.5E-2</v>
      </c>
      <c r="D8" s="61" t="s">
        <v>113</v>
      </c>
      <c r="F8" s="63" t="s">
        <v>114</v>
      </c>
      <c r="H8" s="61" t="s">
        <v>115</v>
      </c>
    </row>
    <row r="9" spans="1:9" x14ac:dyDescent="0.25">
      <c r="A9" s="61" t="s">
        <v>116</v>
      </c>
      <c r="B9" s="62">
        <v>5.5E-2</v>
      </c>
      <c r="D9" s="61" t="s">
        <v>117</v>
      </c>
      <c r="F9" s="63" t="s">
        <v>118</v>
      </c>
      <c r="H9" s="61" t="s">
        <v>119</v>
      </c>
    </row>
    <row r="10" spans="1:9" x14ac:dyDescent="0.25">
      <c r="A10" s="61" t="s">
        <v>120</v>
      </c>
      <c r="B10" s="62">
        <v>0.06</v>
      </c>
      <c r="D10" s="61" t="s">
        <v>121</v>
      </c>
      <c r="F10" s="63" t="s">
        <v>122</v>
      </c>
      <c r="H10" s="61" t="s">
        <v>123</v>
      </c>
    </row>
    <row r="11" spans="1:9" x14ac:dyDescent="0.25">
      <c r="A11" s="61" t="s">
        <v>124</v>
      </c>
      <c r="B11" s="62">
        <v>0.06</v>
      </c>
      <c r="D11" s="61" t="s">
        <v>125</v>
      </c>
      <c r="F11" s="63" t="s">
        <v>126</v>
      </c>
    </row>
    <row r="12" spans="1:9" x14ac:dyDescent="0.25">
      <c r="A12" s="61" t="s">
        <v>27</v>
      </c>
      <c r="B12" s="62">
        <v>0.05</v>
      </c>
      <c r="D12" s="61" t="s">
        <v>127</v>
      </c>
      <c r="F12" s="63" t="s">
        <v>128</v>
      </c>
    </row>
    <row r="13" spans="1:9" x14ac:dyDescent="0.25">
      <c r="A13" s="61" t="s">
        <v>129</v>
      </c>
      <c r="B13" s="62">
        <v>6.5000000000000002E-2</v>
      </c>
      <c r="D13" s="61" t="s">
        <v>130</v>
      </c>
      <c r="F13" s="63" t="s">
        <v>131</v>
      </c>
    </row>
    <row r="14" spans="1:9" x14ac:dyDescent="0.25">
      <c r="A14" s="61" t="s">
        <v>132</v>
      </c>
      <c r="B14" s="62">
        <v>0.05</v>
      </c>
    </row>
    <row r="15" spans="1:9" x14ac:dyDescent="0.25">
      <c r="A15" s="61" t="s">
        <v>133</v>
      </c>
      <c r="B15" s="62">
        <v>6.5000000000000002E-2</v>
      </c>
    </row>
    <row r="16" spans="1:9" x14ac:dyDescent="0.25">
      <c r="A16" s="61" t="s">
        <v>134</v>
      </c>
      <c r="B16" s="62">
        <v>5.5E-2</v>
      </c>
    </row>
    <row r="17" spans="1:2" x14ac:dyDescent="0.25">
      <c r="A17" s="61" t="s">
        <v>135</v>
      </c>
      <c r="B17" s="62">
        <v>0.05</v>
      </c>
    </row>
    <row r="18" spans="1:2" x14ac:dyDescent="0.25">
      <c r="A18" s="61" t="s">
        <v>136</v>
      </c>
      <c r="B18" s="62">
        <v>6.5000000000000002E-2</v>
      </c>
    </row>
    <row r="19" spans="1:2" x14ac:dyDescent="0.25">
      <c r="A19" s="61" t="s">
        <v>137</v>
      </c>
      <c r="B19" s="62">
        <v>0.05</v>
      </c>
    </row>
  </sheetData>
  <mergeCells count="1">
    <mergeCell ref="A1:I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Vergleich</vt:lpstr>
      <vt:lpstr>Listen</vt:lpstr>
      <vt:lpstr>Vergleich!Druckbereich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2026-06-09T06:53:15Z</dcterms:created>
  <dcterms:modified xsi:type="dcterms:W3CDTF">2026-06-09T07:16:27Z</dcterms:modified>
  <dc:language>en-US</dc:language>
</cp:coreProperties>
</file>