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3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ilgungsrechner" sheetId="1" state="visible" r:id="rId3"/>
    <sheet name="Tilgungsplan" sheetId="2" state="visible" r:id="rId4"/>
    <sheet name="Jahresübersicht" sheetId="3" state="visible" r:id="rId5"/>
    <sheet name="Szenario-Vergleich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<sst xmlns="http://schemas.openxmlformats.org/spreadsheetml/2006/main" count="67" uniqueCount="62">
  <si>
    <t xml:space="preserve">TILGUNGSRECHNER</t>
  </si>
  <si>
    <t xml:space="preserve">Annuitätendarlehen mit Sondertilgung – Finanzierungsplan</t>
  </si>
  <si>
    <t xml:space="preserve">  ⚙  KREDITDATEN – Eingabe</t>
  </si>
  <si>
    <t xml:space="preserve">  📊  ERGEBNISSE ÜBERSICHT</t>
  </si>
  <si>
    <t xml:space="preserve">Darlehensbetrag</t>
  </si>
  <si>
    <t xml:space="preserve">Monatliche Rate</t>
  </si>
  <si>
    <t xml:space="preserve">Sollzins (% p.a.)</t>
  </si>
  <si>
    <t xml:space="preserve">Laufzeit (ohne Sonder)</t>
  </si>
  <si>
    <t xml:space="preserve">Anfängl. Tilgung (% p.a.)</t>
  </si>
  <si>
    <t xml:space="preserve">Gesamtzinsen (o. Sonder)</t>
  </si>
  <si>
    <t xml:space="preserve">Jährl. Sondertilgung</t>
  </si>
  <si>
    <t xml:space="preserve">Laufzeit (mit Sonder)</t>
  </si>
  <si>
    <t xml:space="preserve">Zinsbindung (Jahre)</t>
  </si>
  <si>
    <t xml:space="preserve">Gesamtzinsen (m. Sonder)</t>
  </si>
  <si>
    <t xml:space="preserve">Startdatum</t>
  </si>
  <si>
    <t xml:space="preserve">01.01.2025</t>
  </si>
  <si>
    <t xml:space="preserve">Zinsen gespart</t>
  </si>
  <si>
    <t xml:space="preserve">💡 Blaue Zellen = Eingabe anpassen  |  Schwarze Zellen = automatisch berechnet</t>
  </si>
  <si>
    <t xml:space="preserve">  💰  SONDERTILGUNG – Analyse &amp; Empfehlung</t>
  </si>
  <si>
    <t xml:space="preserve">Max. Sondertilgung p.a. (5%)</t>
  </si>
  <si>
    <t xml:space="preserve">Zinsen gespart durch Sondertilgung</t>
  </si>
  <si>
    <t xml:space="preserve">Ihre Sondertilgung p.a.</t>
  </si>
  <si>
    <t xml:space="preserve">Jahre früher schuldenfrei</t>
  </si>
  <si>
    <t xml:space="preserve">Ausgeschöpft (%)</t>
  </si>
  <si>
    <t xml:space="preserve">Gesamtkostenersparnis</t>
  </si>
  <si>
    <t xml:space="preserve">Status</t>
  </si>
  <si>
    <t xml:space="preserve">Restschuld nach Zinsbindung</t>
  </si>
  <si>
    <t xml:space="preserve">  🔒  ZINSBINDUNGSENDE – Anschlussfinanzierung</t>
  </si>
  <si>
    <t xml:space="preserve">Ende der Zinsbindung (Monat)</t>
  </si>
  <si>
    <t xml:space="preserve">Restschuld am Bindungsende</t>
  </si>
  <si>
    <t xml:space="preserve">Noch offener Betrag (%)</t>
  </si>
  <si>
    <t xml:space="preserve">Empf. neue Tilgung bei 4,5%</t>
  </si>
  <si>
    <t xml:space="preserve">HINWEISE ZUR NUTZUNG
• Passen Sie die blauen Eingabefelder (Zeilen 7–12) an Ihr Darlehen an.
• Der Tilgungsplan berechnet sich automatisch im zweiten Tabellenblatt.
• Sondertilgungen sind typischerweise auf 5 % des Ursprungsbetrags pro Jahr begrenzt – bitte Kreditvertrag prüfen.
• Alle Berechnungen basieren auf gleichbleibenden Konditionen (Annuitätendarlehen).</t>
  </si>
  <si>
    <t xml:space="preserve">TILGUNGSPLAN – MONATLICHE ÜBERSICHT</t>
  </si>
  <si>
    <t xml:space="preserve">Zusammenfassung (wird von Tilgungsrechner verwendet)</t>
  </si>
  <si>
    <t xml:space="preserve">Laufzeit mit Sondertilgung (Jahre)</t>
  </si>
  <si>
    <t xml:space="preserve">Monat</t>
  </si>
  <si>
    <t xml:space="preserve">Restschuld (Anfang)</t>
  </si>
  <si>
    <t xml:space="preserve">Zinsen</t>
  </si>
  <si>
    <t xml:space="preserve">Tilgung</t>
  </si>
  <si>
    <t xml:space="preserve">Restschuld (Ende)</t>
  </si>
  <si>
    <t xml:space="preserve">Sondertilg.</t>
  </si>
  <si>
    <t xml:space="preserve">Jahr</t>
  </si>
  <si>
    <t xml:space="preserve">JAHRESÜBERSICHT – Zins &amp; Tilgung pro Jahr</t>
  </si>
  <si>
    <t xml:space="preserve">Die Jahresübersicht fasst alle 12 Monate zusammen und eignet sich ideal für die steuerliche Übersicht.</t>
  </si>
  <si>
    <t xml:space="preserve">Jahresanfang-Schuld</t>
  </si>
  <si>
    <t xml:space="preserve">Zinszahlungen</t>
  </si>
  <si>
    <t xml:space="preserve">Tilgungszahlungen</t>
  </si>
  <si>
    <t xml:space="preserve">Sondertilgung</t>
  </si>
  <si>
    <t xml:space="preserve">Jahresend-Schuld</t>
  </si>
  <si>
    <t xml:space="preserve">GESAMT</t>
  </si>
  <si>
    <t xml:space="preserve">SZENARIO-VERGLEICH – Was wäre wenn?</t>
  </si>
  <si>
    <t xml:space="preserve">Vergleichen Sie bis zu 4 verschiedene Finanzierungsszenarien nebeneinander.</t>
  </si>
  <si>
    <t xml:space="preserve">Parameter / Ergebnis</t>
  </si>
  <si>
    <t xml:space="preserve">Aktuelles Szenario</t>
  </si>
  <si>
    <t xml:space="preserve">Höhere Tilgung</t>
  </si>
  <si>
    <t xml:space="preserve">Höhere Sondertilgung</t>
  </si>
  <si>
    <t xml:space="preserve">Kürzere Laufzeit</t>
  </si>
  <si>
    <t xml:space="preserve">Anfängl. Tilgung (%)</t>
  </si>
  <si>
    <t xml:space="preserve">── ERGEBNISSE ──</t>
  </si>
  <si>
    <t xml:space="preserve">Laufzeit ohne Sondertilg. (Jahre)</t>
  </si>
  <si>
    <t xml:space="preserve">Gesamtzinsen (ohne Sondertilg.)</t>
  </si>
</sst>
</file>

<file path=xl/styles.xml><?xml version="1.0" encoding="utf-8"?>
<styleSheet xmlns="http://schemas.openxmlformats.org/spreadsheetml/2006/main">
  <numFmts count="14">
    <numFmt numFmtId="164" formatCode="General"/>
    <numFmt numFmtId="165" formatCode="#,##0.00&quot; €&quot;"/>
    <numFmt numFmtId="166" formatCode="#,##0.00&quot; €&quot;"/>
    <numFmt numFmtId="167" formatCode="0.00%"/>
    <numFmt numFmtId="168" formatCode="0.0&quot; Jahre&quot;"/>
    <numFmt numFmtId="169" formatCode="0.0&quot; Jahre&quot;"/>
    <numFmt numFmtId="170" formatCode="0&quot; Jahre&quot;"/>
    <numFmt numFmtId="171" formatCode="@"/>
    <numFmt numFmtId="172" formatCode="0.0%"/>
    <numFmt numFmtId="173" formatCode="0&quot; Monate&quot;"/>
    <numFmt numFmtId="174" formatCode="0.0"/>
    <numFmt numFmtId="175" formatCode="0"/>
    <numFmt numFmtId="176" formatCode="mmm\ yyyy"/>
    <numFmt numFmtId="177" formatCode="0&quot; Jahr&quot;"/>
  </numFmts>
  <fonts count="2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2"/>
      <color rgb="FFFFFFFF"/>
      <name val="Arial"/>
      <family val="0"/>
      <charset val="1"/>
    </font>
    <font>
      <i val="true"/>
      <sz val="11"/>
      <color rgb="FFADBCE6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1"/>
      <color rgb="FF0000FF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b val="true"/>
      <sz val="11"/>
      <color rgb="FF375623"/>
      <name val="Arial"/>
      <family val="0"/>
      <charset val="1"/>
    </font>
    <font>
      <i val="true"/>
      <sz val="9"/>
      <color rgb="FF595959"/>
      <name val="Arial"/>
      <family val="0"/>
      <charset val="1"/>
    </font>
    <font>
      <sz val="9"/>
      <color rgb="FF595959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9"/>
      <color rgb="FF375623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375623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000000"/>
      <name val="Calibri"/>
      <family val="2"/>
    </font>
    <font>
      <b val="true"/>
      <sz val="10"/>
      <color rgb="FF0000FF"/>
      <name val="Arial"/>
      <family val="0"/>
      <charset val="1"/>
    </font>
  </fonts>
  <fills count="13">
    <fill>
      <patternFill patternType="none"/>
    </fill>
    <fill>
      <patternFill patternType="gray125"/>
    </fill>
    <fill>
      <patternFill patternType="solid">
        <fgColor rgb="FF1F3864"/>
        <bgColor rgb="FF2F5496"/>
      </patternFill>
    </fill>
    <fill>
      <patternFill patternType="solid">
        <fgColor rgb="FF2F5496"/>
        <bgColor rgb="FF2E75B6"/>
      </patternFill>
    </fill>
    <fill>
      <patternFill patternType="solid">
        <fgColor rgb="FFEBF3FB"/>
        <bgColor rgb="FFF2F2F2"/>
      </patternFill>
    </fill>
    <fill>
      <patternFill patternType="solid">
        <fgColor rgb="FFF2F2F2"/>
        <bgColor rgb="FFEBF3FB"/>
      </patternFill>
    </fill>
    <fill>
      <patternFill patternType="solid">
        <fgColor rgb="FFE2EFDA"/>
        <bgColor rgb="FFF2F2F2"/>
      </patternFill>
    </fill>
    <fill>
      <patternFill patternType="solid">
        <fgColor rgb="FFFFF2CC"/>
        <bgColor rgb="FFFCE4D6"/>
      </patternFill>
    </fill>
    <fill>
      <patternFill patternType="solid">
        <fgColor rgb="FFFCE4D6"/>
        <bgColor rgb="FFFFF2CC"/>
      </patternFill>
    </fill>
    <fill>
      <patternFill patternType="solid">
        <fgColor rgb="FFF8F9FA"/>
        <bgColor rgb="FFFFFFFF"/>
      </patternFill>
    </fill>
    <fill>
      <patternFill patternType="solid">
        <fgColor rgb="FFFFFFFF"/>
        <bgColor rgb="FFF8F9FA"/>
      </patternFill>
    </fill>
    <fill>
      <patternFill patternType="solid">
        <fgColor rgb="FFD6E4F7"/>
        <bgColor rgb="FFD9E1F2"/>
      </patternFill>
    </fill>
    <fill>
      <patternFill patternType="solid">
        <fgColor rgb="FF2E75B6"/>
        <bgColor rgb="FF2F5496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thin">
        <color rgb="FFB8CCE4"/>
      </left>
      <right style="thin">
        <color rgb="FFB8CCE4"/>
      </right>
      <top style="thin">
        <color rgb="FFB8CCE4"/>
      </top>
      <bottom style="thin">
        <color rgb="FFB8CCE4"/>
      </bottom>
      <diagonal/>
    </border>
    <border diagonalUp="false" diagonalDown="false">
      <left style="medium">
        <color rgb="FF2E75B6"/>
      </left>
      <right style="medium">
        <color rgb="FF2E75B6"/>
      </right>
      <top style="medium">
        <color rgb="FF2E75B6"/>
      </top>
      <bottom style="medium">
        <color rgb="FF2E75B6"/>
      </bottom>
      <diagonal/>
    </border>
    <border diagonalUp="false" diagonalDown="false">
      <left style="thin">
        <color rgb="FFB8CCE4"/>
      </left>
      <right/>
      <top style="thin">
        <color rgb="FFB8CCE4"/>
      </top>
      <bottom style="thin">
        <color rgb="FFB8CCE4"/>
      </bottom>
      <diagonal/>
    </border>
    <border diagonalUp="false" diagonalDown="false">
      <left style="thin">
        <color rgb="FFB8CCE4"/>
      </left>
      <right/>
      <top style="thin">
        <color rgb="FFB8CCE4"/>
      </top>
      <bottom/>
      <diagonal/>
    </border>
    <border diagonalUp="false" diagonalDown="false"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 diagonalUp="false" diagonalDown="false">
      <left style="thin">
        <color rgb="FFD9E1F2"/>
      </left>
      <right style="thin">
        <color rgb="FFD9E1F2"/>
      </right>
      <top style="thin">
        <color rgb="FFD9E1F2"/>
      </top>
      <bottom style="thin">
        <color rgb="FFD9E1F2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8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9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9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0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8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8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7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9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9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9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9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9" borderId="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3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4" fontId="1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4" fillId="3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3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15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15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5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6" fillId="6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15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11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11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9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22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2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7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7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BCE6"/>
      <rgbColor rgb="FF878787"/>
      <rgbColor rgb="FF9999FF"/>
      <rgbColor rgb="FF993366"/>
      <rgbColor rgb="FFFFF2CC"/>
      <rgbColor rgb="FFEBF3FB"/>
      <rgbColor rgb="FF660066"/>
      <rgbColor rgb="FFFF8080"/>
      <rgbColor rgb="FF0066CC"/>
      <rgbColor rgb="FFB8CCE4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6E4F7"/>
      <rgbColor rgb="FFE2EFDA"/>
      <rgbColor rgb="FFF2F2F2"/>
      <rgbColor rgb="FFD9D9D9"/>
      <rgbColor rgb="FFF8F9FA"/>
      <rgbColor rgb="FFD9E1F2"/>
      <rgbColor rgb="FFFCE4D6"/>
      <rgbColor rgb="FF2E75B6"/>
      <rgbColor rgb="FF33CCCC"/>
      <rgbColor rgb="FF99CC00"/>
      <rgbColor rgb="FFFFCC00"/>
      <rgbColor rgb="FFFF9900"/>
      <rgbColor rgb="FFED7D31"/>
      <rgbColor rgb="FF595959"/>
      <rgbColor rgb="FF70AD47"/>
      <rgbColor rgb="FF1F3864"/>
      <rgbColor rgb="FF339966"/>
      <rgbColor rgb="FF003300"/>
      <rgbColor rgb="FF333300"/>
      <rgbColor rgb="FF993300"/>
      <rgbColor rgb="FF993366"/>
      <rgbColor rgb="FF2F5496"/>
      <rgbColor rgb="FF37562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Jahresübersicht: Zinsen &amp; Tilgung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stacked"/>
        <c:varyColors val="0"/>
        <c:ser>
          <c:idx val="0"/>
          <c:order val="0"/>
          <c:tx>
            <c:strRef>
              <c:f>"Zinszahlungen"</c:f>
              <c:strCache>
                <c:ptCount val="1"/>
                <c:pt idx="0">
                  <c:v>Zinszahlungen</c:v>
                </c:pt>
              </c:strCache>
            </c:strRef>
          </c:tx>
          <c:spPr>
            <a:solidFill>
              <a:srgbClr val="2f5496"/>
            </a:solidFill>
            <a:ln w="0">
              <a:noFill/>
            </a:ln>
          </c:spPr>
          <c:invertIfNegative val="0"/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ctr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Jahresübersicht!$A$5:$A$34</c:f>
              <c:strCach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strCache>
            </c:strRef>
          </c:cat>
          <c:val>
            <c:numRef>
              <c:f>Jahresübersicht!$C$4:$C$34</c:f>
              <c:numCache>
                <c:formatCode>General</c:formatCode>
                <c:ptCount val="31"/>
              </c:numCache>
            </c:numRef>
          </c:val>
        </c:ser>
        <c:ser>
          <c:idx val="1"/>
          <c:order val="1"/>
          <c:tx>
            <c:strRef>
              <c:f>"Tilgungszahlungen"</c:f>
              <c:strCache>
                <c:ptCount val="1"/>
                <c:pt idx="0">
                  <c:v>Tilgungszahlungen</c:v>
                </c:pt>
              </c:strCache>
            </c:strRef>
          </c:tx>
          <c:spPr>
            <a:solidFill>
              <a:srgbClr val="70ad47"/>
            </a:solidFill>
            <a:ln w="0">
              <a:noFill/>
            </a:ln>
          </c:spPr>
          <c:invertIfNegative val="0"/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ctr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Jahresübersicht!$A$5:$A$34</c:f>
              <c:strCach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strCache>
            </c:strRef>
          </c:cat>
          <c:val>
            <c:numRef>
              <c:f>Jahresübersicht!$D$4:$D$34</c:f>
              <c:numCache>
                <c:formatCode>General</c:formatCode>
                <c:ptCount val="31"/>
              </c:numCache>
            </c:numRef>
          </c:val>
        </c:ser>
        <c:ser>
          <c:idx val="2"/>
          <c:order val="2"/>
          <c:tx>
            <c:strRef>
              <c:f>"Sondertilgung"</c:f>
              <c:strCache>
                <c:ptCount val="1"/>
                <c:pt idx="0">
                  <c:v>Sondertilgung</c:v>
                </c:pt>
              </c:strCache>
            </c:strRef>
          </c:tx>
          <c:spPr>
            <a:solidFill>
              <a:srgbClr val="ed7d31"/>
            </a:solidFill>
            <a:ln w="0">
              <a:noFill/>
            </a:ln>
          </c:spPr>
          <c:invertIfNegative val="0"/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ctr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Jahresübersicht!$A$5:$A$34</c:f>
              <c:strCach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strCache>
            </c:strRef>
          </c:cat>
          <c:val>
            <c:numRef>
              <c:f>Jahresübersicht!$E$4:$E$34</c:f>
              <c:numCache>
                <c:formatCode>#,##0.00" €"</c:formatCode>
                <c:ptCount val="31"/>
                <c:pt idx="1">
                  <c:v>6000</c:v>
                </c:pt>
                <c:pt idx="2">
                  <c:v>6000</c:v>
                </c:pt>
                <c:pt idx="3">
                  <c:v>6000</c:v>
                </c:pt>
                <c:pt idx="4">
                  <c:v>6000</c:v>
                </c:pt>
                <c:pt idx="5">
                  <c:v>6000</c:v>
                </c:pt>
                <c:pt idx="6">
                  <c:v>6000</c:v>
                </c:pt>
                <c:pt idx="7">
                  <c:v>6000</c:v>
                </c:pt>
                <c:pt idx="8">
                  <c:v>6000</c:v>
                </c:pt>
                <c:pt idx="9">
                  <c:v>6000</c:v>
                </c:pt>
                <c:pt idx="10">
                  <c:v>6000</c:v>
                </c:pt>
                <c:pt idx="11">
                  <c:v>6000</c:v>
                </c:pt>
                <c:pt idx="12">
                  <c:v>6000</c:v>
                </c:pt>
                <c:pt idx="13">
                  <c:v>6000</c:v>
                </c:pt>
                <c:pt idx="14">
                  <c:v>6000</c:v>
                </c:pt>
                <c:pt idx="15">
                  <c:v>6000</c:v>
                </c:pt>
                <c:pt idx="16">
                  <c:v>6000</c:v>
                </c:pt>
                <c:pt idx="17">
                  <c:v>3187.50999999998</c:v>
                </c:pt>
              </c:numCache>
            </c:numRef>
          </c:val>
        </c:ser>
        <c:gapWidth val="150"/>
        <c:overlap val="100"/>
        <c:axId val="99416448"/>
        <c:axId val="3049187"/>
      </c:barChart>
      <c:catAx>
        <c:axId val="99416448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sz="1000" spc="-1" strike="noStrike">
                    <a:solidFill>
                      <a:srgbClr val="000000"/>
                    </a:solidFill>
                    <a:latin typeface="Calibri"/>
                  </a:rPr>
                  <a:t>Jahr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049187"/>
        <c:crosses val="autoZero"/>
        <c:auto val="1"/>
        <c:lblAlgn val="ctr"/>
        <c:lblOffset val="100"/>
        <c:noMultiLvlLbl val="0"/>
      </c:catAx>
      <c:valAx>
        <c:axId val="3049187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sz="1000" spc="-1" strike="noStrike">
                    <a:solidFill>
                      <a:srgbClr val="000000"/>
                    </a:solidFill>
                    <a:latin typeface="Calibri"/>
                  </a:rPr>
                  <a:t>Betrag (€)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9416448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Restschuldentwicklung über die Laufzeit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ineChart>
        <c:grouping val="standard"/>
        <c:varyColors val="0"/>
        <c:ser>
          <c:idx val="0"/>
          <c:order val="0"/>
          <c:tx>
            <c:strRef>
              <c:f>"Restschuld (Ende Jahr)"</c:f>
              <c:strCache>
                <c:ptCount val="1"/>
                <c:pt idx="0">
                  <c:v>Restschuld (Ende Jahr)</c:v>
                </c:pt>
              </c:strCache>
            </c:strRef>
          </c:tx>
          <c:spPr>
            <a:solidFill>
              <a:srgbClr val="1f3864"/>
            </a:solidFill>
            <a:ln w="20160">
              <a:solidFill>
                <a:srgbClr val="1f3864"/>
              </a:solidFill>
              <a:round/>
            </a:ln>
          </c:spPr>
          <c:marker>
            <c:symbol val="none"/>
          </c:marker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Jahresübersicht!$A$5:$A$34</c:f>
              <c:strCach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strCache>
            </c:strRef>
          </c:cat>
          <c:val>
            <c:numRef>
              <c:f>Jahresübersicht!$F$4:$F$34</c:f>
              <c:numCache>
                <c:formatCode>#,##0.00" €"</c:formatCode>
                <c:ptCount val="31"/>
                <c:pt idx="1">
                  <c:v>238919.02</c:v>
                </c:pt>
                <c:pt idx="2">
                  <c:v>227443.95</c:v>
                </c:pt>
                <c:pt idx="3">
                  <c:v>215560.74</c:v>
                </c:pt>
                <c:pt idx="4">
                  <c:v>203254.89</c:v>
                </c:pt>
                <c:pt idx="5">
                  <c:v>190511.35</c:v>
                </c:pt>
                <c:pt idx="6">
                  <c:v>177314.56</c:v>
                </c:pt>
                <c:pt idx="7">
                  <c:v>163648.41</c:v>
                </c:pt>
                <c:pt idx="8">
                  <c:v>149496.18</c:v>
                </c:pt>
                <c:pt idx="9">
                  <c:v>134840.6</c:v>
                </c:pt>
                <c:pt idx="10">
                  <c:v>119663.81</c:v>
                </c:pt>
                <c:pt idx="11">
                  <c:v>103947.2</c:v>
                </c:pt>
                <c:pt idx="12">
                  <c:v>87671.61</c:v>
                </c:pt>
                <c:pt idx="13">
                  <c:v>70817.14</c:v>
                </c:pt>
                <c:pt idx="14">
                  <c:v>53363.18</c:v>
                </c:pt>
                <c:pt idx="15">
                  <c:v>35288.45</c:v>
                </c:pt>
                <c:pt idx="16">
                  <c:v>16570.84</c:v>
                </c:pt>
                <c:pt idx="17">
                  <c:v>0</c:v>
                </c:pt>
              </c:numCache>
            </c:numRef>
          </c:val>
          <c:smooth val="1"/>
        </c:ser>
        <c:hiLowLines>
          <c:spPr>
            <a:ln w="0">
              <a:noFill/>
            </a:ln>
          </c:spPr>
        </c:hiLowLines>
        <c:marker val="0"/>
        <c:axId val="99192014"/>
        <c:axId val="98875435"/>
      </c:lineChart>
      <c:catAx>
        <c:axId val="99192014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sz="1000" spc="-1" strike="noStrike">
                    <a:solidFill>
                      <a:srgbClr val="000000"/>
                    </a:solidFill>
                    <a:latin typeface="Calibri"/>
                  </a:rPr>
                  <a:t>Jahr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8875435"/>
        <c:crosses val="autoZero"/>
        <c:auto val="1"/>
        <c:lblAlgn val="ctr"/>
        <c:lblOffset val="100"/>
        <c:noMultiLvlLbl val="0"/>
      </c:catAx>
      <c:valAx>
        <c:axId val="98875435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sz="1000" spc="-1" strike="noStrike">
                    <a:solidFill>
                      <a:srgbClr val="000000"/>
                    </a:solidFill>
                    <a:latin typeface="Calibri"/>
                  </a:rPr>
                  <a:t>Restschuld (€)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9192014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zero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36</xdr:row>
      <xdr:rowOff>0</xdr:rowOff>
    </xdr:from>
    <xdr:to>
      <xdr:col>7</xdr:col>
      <xdr:colOff>258840</xdr:colOff>
      <xdr:row>62</xdr:row>
      <xdr:rowOff>86040</xdr:rowOff>
    </xdr:to>
    <xdr:graphicFrame>
      <xdr:nvGraphicFramePr>
        <xdr:cNvPr id="0" name="Chart 1"/>
        <xdr:cNvGraphicFramePr/>
      </xdr:nvGraphicFramePr>
      <xdr:xfrm>
        <a:off x="0" y="9010800"/>
        <a:ext cx="7918920" cy="50389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10</xdr:col>
      <xdr:colOff>0</xdr:colOff>
      <xdr:row>36</xdr:row>
      <xdr:rowOff>0</xdr:rowOff>
    </xdr:from>
    <xdr:to>
      <xdr:col>22</xdr:col>
      <xdr:colOff>581040</xdr:colOff>
      <xdr:row>62</xdr:row>
      <xdr:rowOff>86040</xdr:rowOff>
    </xdr:to>
    <xdr:graphicFrame>
      <xdr:nvGraphicFramePr>
        <xdr:cNvPr id="1" name="Chart 2"/>
        <xdr:cNvGraphicFramePr/>
      </xdr:nvGraphicFramePr>
      <xdr:xfrm>
        <a:off x="9494640" y="9010800"/>
        <a:ext cx="7918920" cy="50389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3864"/>
    <pageSetUpPr fitToPage="false"/>
  </sheetPr>
  <dimension ref="A1:G7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4"/>
    <col collapsed="false" customWidth="true" hidden="false" outlineLevel="0" max="2" min="2" style="1" width="28"/>
    <col collapsed="false" customWidth="true" hidden="false" outlineLevel="0" max="3" min="3" style="1" width="18"/>
    <col collapsed="false" customWidth="true" hidden="false" outlineLevel="0" max="4" min="4" style="1" width="4"/>
    <col collapsed="false" customWidth="true" hidden="false" outlineLevel="0" max="5" min="5" style="1" width="28"/>
    <col collapsed="false" customWidth="true" hidden="false" outlineLevel="0" max="6" min="6" style="1" width="18"/>
    <col collapsed="false" customWidth="true" hidden="false" outlineLevel="0" max="7" min="7" style="1" width="4"/>
  </cols>
  <sheetData>
    <row r="1" customFormat="false" ht="18" hidden="false" customHeight="true" outlineLevel="0" collapsed="false">
      <c r="A1" s="2" t="s">
        <v>0</v>
      </c>
      <c r="B1" s="2"/>
      <c r="C1" s="2"/>
      <c r="D1" s="2"/>
      <c r="E1" s="2"/>
      <c r="F1" s="2"/>
      <c r="G1" s="2"/>
    </row>
    <row r="2" customFormat="false" ht="18" hidden="false" customHeight="true" outlineLevel="0" collapsed="false">
      <c r="A2" s="2"/>
      <c r="B2" s="2"/>
      <c r="C2" s="2"/>
      <c r="D2" s="2"/>
      <c r="E2" s="2"/>
      <c r="F2" s="2"/>
      <c r="G2" s="2"/>
    </row>
    <row r="3" customFormat="false" ht="18" hidden="false" customHeight="true" outlineLevel="0" collapsed="false">
      <c r="A3" s="2"/>
      <c r="B3" s="2"/>
      <c r="C3" s="2"/>
      <c r="D3" s="2"/>
      <c r="E3" s="2"/>
      <c r="F3" s="2"/>
      <c r="G3" s="2"/>
    </row>
    <row r="4" customFormat="false" ht="18" hidden="false" customHeight="true" outlineLevel="0" collapsed="false">
      <c r="A4" s="3" t="s">
        <v>1</v>
      </c>
      <c r="B4" s="3"/>
      <c r="C4" s="3"/>
      <c r="D4" s="3"/>
      <c r="E4" s="3"/>
      <c r="F4" s="3"/>
      <c r="G4" s="3"/>
    </row>
    <row r="5" customFormat="false" ht="7.5" hidden="false" customHeight="true" outlineLevel="0" collapsed="false"/>
    <row r="6" customFormat="false" ht="21.75" hidden="false" customHeight="true" outlineLevel="0" collapsed="false">
      <c r="B6" s="4" t="s">
        <v>2</v>
      </c>
      <c r="C6" s="4"/>
      <c r="E6" s="4" t="s">
        <v>3</v>
      </c>
      <c r="F6" s="4"/>
    </row>
    <row r="7" customFormat="false" ht="21.75" hidden="false" customHeight="true" outlineLevel="0" collapsed="false">
      <c r="B7" s="5" t="s">
        <v>4</v>
      </c>
      <c r="C7" s="6" t="n">
        <v>250000</v>
      </c>
      <c r="E7" s="5" t="s">
        <v>5</v>
      </c>
      <c r="F7" s="7" t="n">
        <f aca="false">ROUND(C7*(C8/12+C9/12),2)</f>
        <v>1145.83</v>
      </c>
    </row>
    <row r="8" customFormat="false" ht="21.75" hidden="false" customHeight="true" outlineLevel="0" collapsed="false">
      <c r="B8" s="5" t="s">
        <v>6</v>
      </c>
      <c r="C8" s="8" t="n">
        <v>0.035</v>
      </c>
      <c r="E8" s="5" t="s">
        <v>7</v>
      </c>
      <c r="F8" s="9" t="n">
        <f aca="false">ROUND(-NPER(C8/12,-F7,C7)/12,1)</f>
        <v>-28.9</v>
      </c>
    </row>
    <row r="9" customFormat="false" ht="21.75" hidden="false" customHeight="true" outlineLevel="0" collapsed="false">
      <c r="B9" s="5" t="s">
        <v>8</v>
      </c>
      <c r="C9" s="8" t="n">
        <v>0.02</v>
      </c>
      <c r="E9" s="5" t="s">
        <v>9</v>
      </c>
      <c r="F9" s="10" t="n">
        <f aca="false">IFERROR(NPER(C8/12,-(C7*(C8/12+C9/12)),C7)*C7*(C8/12+C9/12)/12*12-C7,0)</f>
        <v>147993.925574081</v>
      </c>
    </row>
    <row r="10" customFormat="false" ht="21.75" hidden="false" customHeight="true" outlineLevel="0" collapsed="false">
      <c r="B10" s="5" t="s">
        <v>10</v>
      </c>
      <c r="C10" s="6" t="n">
        <v>6000</v>
      </c>
      <c r="E10" s="5" t="s">
        <v>11</v>
      </c>
      <c r="F10" s="11" t="n">
        <f aca="false">Tilgungsplan!B4</f>
        <v>-28.9</v>
      </c>
    </row>
    <row r="11" customFormat="false" ht="21.75" hidden="false" customHeight="true" outlineLevel="0" collapsed="false">
      <c r="B11" s="5" t="s">
        <v>12</v>
      </c>
      <c r="C11" s="12" t="n">
        <v>10</v>
      </c>
      <c r="E11" s="5" t="s">
        <v>13</v>
      </c>
      <c r="F11" s="13" t="n">
        <f aca="false">Tilgungsplan!B5</f>
        <v>82924.23</v>
      </c>
    </row>
    <row r="12" customFormat="false" ht="21.75" hidden="false" customHeight="true" outlineLevel="0" collapsed="false">
      <c r="B12" s="5" t="s">
        <v>14</v>
      </c>
      <c r="C12" s="14" t="s">
        <v>15</v>
      </c>
      <c r="E12" s="5" t="s">
        <v>16</v>
      </c>
      <c r="F12" s="13" t="n">
        <f aca="false">F9-F11</f>
        <v>65069.6955740815</v>
      </c>
    </row>
    <row r="13" customFormat="false" ht="7.5" hidden="false" customHeight="true" outlineLevel="0" collapsed="false"/>
    <row r="14" customFormat="false" ht="18" hidden="false" customHeight="true" outlineLevel="0" collapsed="false">
      <c r="B14" s="15" t="s">
        <v>17</v>
      </c>
      <c r="C14" s="15"/>
      <c r="D14" s="15"/>
      <c r="E14" s="15"/>
      <c r="F14" s="15"/>
    </row>
    <row r="15" customFormat="false" ht="7.5" hidden="false" customHeight="true" outlineLevel="0" collapsed="false"/>
    <row r="16" customFormat="false" ht="21.75" hidden="false" customHeight="true" outlineLevel="0" collapsed="false">
      <c r="B16" s="4" t="s">
        <v>18</v>
      </c>
      <c r="C16" s="4"/>
      <c r="D16" s="4"/>
      <c r="E16" s="4"/>
      <c r="F16" s="4"/>
    </row>
    <row r="17" customFormat="false" ht="21.75" hidden="false" customHeight="true" outlineLevel="0" collapsed="false">
      <c r="B17" s="5" t="s">
        <v>19</v>
      </c>
      <c r="C17" s="16" t="n">
        <f aca="false">C7*0.05</f>
        <v>12500</v>
      </c>
      <c r="E17" s="5" t="s">
        <v>20</v>
      </c>
      <c r="F17" s="13" t="n">
        <f aca="false">F9-F11</f>
        <v>65069.6955740815</v>
      </c>
    </row>
    <row r="18" customFormat="false" ht="21.75" hidden="false" customHeight="true" outlineLevel="0" collapsed="false">
      <c r="B18" s="5" t="s">
        <v>21</v>
      </c>
      <c r="C18" s="16" t="n">
        <f aca="false">C10</f>
        <v>6000</v>
      </c>
      <c r="E18" s="5" t="s">
        <v>22</v>
      </c>
      <c r="F18" s="11" t="n">
        <f aca="false">IFERROR(F8-F10,0)</f>
        <v>0</v>
      </c>
    </row>
    <row r="19" customFormat="false" ht="21.75" hidden="false" customHeight="true" outlineLevel="0" collapsed="false">
      <c r="B19" s="5" t="s">
        <v>23</v>
      </c>
      <c r="C19" s="17" t="n">
        <f aca="false">IFERROR(C10/(C7*0.05),0)</f>
        <v>0.48</v>
      </c>
      <c r="E19" s="5" t="s">
        <v>24</v>
      </c>
      <c r="F19" s="13" t="n">
        <f aca="false">F17</f>
        <v>65069.6955740815</v>
      </c>
    </row>
    <row r="20" customFormat="false" ht="21.75" hidden="false" customHeight="true" outlineLevel="0" collapsed="false">
      <c r="B20" s="5" t="s">
        <v>25</v>
      </c>
      <c r="C20" s="18" t="str">
        <f aca="false">IF(C10&lt;=C7*0.05,"✅ Im Rahmen","⚠️ Übersteigt Limit!")</f>
        <v>✅ Im Rahmen</v>
      </c>
      <c r="E20" s="5" t="s">
        <v>26</v>
      </c>
      <c r="F20" s="10" t="str">
        <f aca="false">IFERROR(Tilgungsplan!B6,0)</f>
        <v/>
      </c>
    </row>
    <row r="21" customFormat="false" ht="7.5" hidden="false" customHeight="true" outlineLevel="0" collapsed="false"/>
    <row r="22" customFormat="false" ht="21.75" hidden="false" customHeight="true" outlineLevel="0" collapsed="false">
      <c r="B22" s="4" t="s">
        <v>27</v>
      </c>
      <c r="C22" s="4"/>
      <c r="D22" s="4"/>
      <c r="E22" s="4"/>
      <c r="F22" s="4"/>
    </row>
    <row r="23" customFormat="false" ht="21.75" hidden="false" customHeight="true" outlineLevel="0" collapsed="false">
      <c r="B23" s="5" t="s">
        <v>28</v>
      </c>
      <c r="C23" s="19" t="n">
        <f aca="false">C11*12</f>
        <v>120</v>
      </c>
      <c r="E23" s="5"/>
    </row>
    <row r="24" customFormat="false" ht="21.75" hidden="false" customHeight="true" outlineLevel="0" collapsed="false">
      <c r="B24" s="5" t="s">
        <v>29</v>
      </c>
      <c r="C24" s="20" t="str">
        <f aca="false">IFERROR(Tilgungsplan!B6,0)</f>
        <v/>
      </c>
      <c r="E24" s="5"/>
    </row>
    <row r="25" customFormat="false" ht="21.75" hidden="false" customHeight="true" outlineLevel="0" collapsed="false">
      <c r="B25" s="5" t="s">
        <v>30</v>
      </c>
      <c r="C25" s="21" t="n">
        <f aca="false">IFERROR(Tilgungsplan!B6/C7,0)</f>
        <v>0</v>
      </c>
      <c r="E25" s="5"/>
    </row>
    <row r="26" customFormat="false" ht="21.75" hidden="false" customHeight="true" outlineLevel="0" collapsed="false">
      <c r="B26" s="5" t="s">
        <v>31</v>
      </c>
      <c r="C26" s="20" t="n">
        <f aca="false">IFERROR(ROUND(Tilgungsplan!B6*0.045/12+(Tilgungsplan!B6*0.02/12),2),0)</f>
        <v>0</v>
      </c>
      <c r="E26" s="5"/>
    </row>
    <row r="27" customFormat="false" ht="7.5" hidden="false" customHeight="true" outlineLevel="0" collapsed="false"/>
    <row r="28" customFormat="false" ht="60" hidden="false" customHeight="true" outlineLevel="0" collapsed="false">
      <c r="B28" s="22" t="s">
        <v>32</v>
      </c>
      <c r="C28" s="22"/>
      <c r="D28" s="22"/>
      <c r="E28" s="22"/>
      <c r="F28" s="22"/>
    </row>
    <row r="29" customFormat="false" ht="18" hidden="false" customHeight="true" outlineLevel="0" collapsed="false">
      <c r="B29" s="22"/>
      <c r="C29" s="22"/>
      <c r="D29" s="22"/>
      <c r="E29" s="22"/>
      <c r="F29" s="22"/>
    </row>
    <row r="30" customFormat="false" ht="18" hidden="false" customHeight="true" outlineLevel="0" collapsed="false">
      <c r="B30" s="22"/>
      <c r="C30" s="22"/>
      <c r="D30" s="22"/>
      <c r="E30" s="22"/>
      <c r="F30" s="22"/>
    </row>
    <row r="31" customFormat="false" ht="18" hidden="false" customHeight="true" outlineLevel="0" collapsed="false">
      <c r="B31" s="22"/>
      <c r="C31" s="22"/>
      <c r="D31" s="22"/>
      <c r="E31" s="22"/>
      <c r="F31" s="22"/>
    </row>
    <row r="32" customFormat="false" ht="18" hidden="false" customHeight="true" outlineLevel="0" collapsed="false"/>
    <row r="33" customFormat="false" ht="18" hidden="false" customHeight="true" outlineLevel="0" collapsed="false"/>
    <row r="34" customFormat="false" ht="18" hidden="false" customHeight="true" outlineLevel="0" collapsed="false"/>
    <row r="35" customFormat="false" ht="18" hidden="false" customHeight="true" outlineLevel="0" collapsed="false"/>
    <row r="36" customFormat="false" ht="18" hidden="false" customHeight="true" outlineLevel="0" collapsed="false"/>
    <row r="37" customFormat="false" ht="18" hidden="false" customHeight="true" outlineLevel="0" collapsed="false"/>
    <row r="38" customFormat="false" ht="18" hidden="false" customHeight="true" outlineLevel="0" collapsed="false"/>
    <row r="39" customFormat="false" ht="18" hidden="false" customHeight="true" outlineLevel="0" collapsed="false"/>
    <row r="40" customFormat="false" ht="18" hidden="false" customHeight="true" outlineLevel="0" collapsed="false"/>
    <row r="41" customFormat="false" ht="18" hidden="false" customHeight="true" outlineLevel="0" collapsed="false"/>
    <row r="42" customFormat="false" ht="18" hidden="false" customHeight="true" outlineLevel="0" collapsed="false"/>
    <row r="43" customFormat="false" ht="18" hidden="false" customHeight="true" outlineLevel="0" collapsed="false"/>
    <row r="44" customFormat="false" ht="18" hidden="false" customHeight="true" outlineLevel="0" collapsed="false"/>
    <row r="45" customFormat="false" ht="18" hidden="false" customHeight="true" outlineLevel="0" collapsed="false"/>
    <row r="46" customFormat="false" ht="18" hidden="false" customHeight="true" outlineLevel="0" collapsed="false"/>
    <row r="47" customFormat="false" ht="18" hidden="false" customHeight="true" outlineLevel="0" collapsed="false"/>
    <row r="48" customFormat="false" ht="18" hidden="false" customHeight="true" outlineLevel="0" collapsed="false"/>
    <row r="49" customFormat="false" ht="18" hidden="false" customHeight="true" outlineLevel="0" collapsed="false"/>
    <row r="50" customFormat="false" ht="18" hidden="false" customHeight="true" outlineLevel="0" collapsed="false"/>
    <row r="51" customFormat="false" ht="18" hidden="false" customHeight="true" outlineLevel="0" collapsed="false"/>
    <row r="52" customFormat="false" ht="18" hidden="false" customHeight="true" outlineLevel="0" collapsed="false"/>
    <row r="53" customFormat="false" ht="18" hidden="false" customHeight="true" outlineLevel="0" collapsed="false"/>
    <row r="54" customFormat="false" ht="18" hidden="false" customHeight="true" outlineLevel="0" collapsed="false"/>
    <row r="55" customFormat="false" ht="18" hidden="false" customHeight="true" outlineLevel="0" collapsed="false"/>
    <row r="56" customFormat="false" ht="18" hidden="false" customHeight="true" outlineLevel="0" collapsed="false"/>
    <row r="57" customFormat="false" ht="18" hidden="false" customHeight="true" outlineLevel="0" collapsed="false"/>
    <row r="58" customFormat="false" ht="18" hidden="false" customHeight="true" outlineLevel="0" collapsed="false"/>
    <row r="59" customFormat="false" ht="18" hidden="false" customHeight="true" outlineLevel="0" collapsed="false"/>
    <row r="60" customFormat="false" ht="18" hidden="false" customHeight="true" outlineLevel="0" collapsed="false"/>
    <row r="61" customFormat="false" ht="18" hidden="false" customHeight="true" outlineLevel="0" collapsed="false"/>
    <row r="62" customFormat="false" ht="18" hidden="false" customHeight="true" outlineLevel="0" collapsed="false"/>
    <row r="63" customFormat="false" ht="18" hidden="false" customHeight="true" outlineLevel="0" collapsed="false"/>
    <row r="64" customFormat="false" ht="18" hidden="false" customHeight="true" outlineLevel="0" collapsed="false"/>
    <row r="65" customFormat="false" ht="18" hidden="false" customHeight="true" outlineLevel="0" collapsed="false"/>
    <row r="66" customFormat="false" ht="18" hidden="false" customHeight="true" outlineLevel="0" collapsed="false"/>
    <row r="67" customFormat="false" ht="18" hidden="false" customHeight="true" outlineLevel="0" collapsed="false"/>
    <row r="68" customFormat="false" ht="18" hidden="false" customHeight="true" outlineLevel="0" collapsed="false"/>
    <row r="69" customFormat="false" ht="18" hidden="false" customHeight="true" outlineLevel="0" collapsed="false"/>
    <row r="70" customFormat="false" ht="18" hidden="false" customHeight="true" outlineLevel="0" collapsed="false"/>
    <row r="71" customFormat="false" ht="18" hidden="false" customHeight="true" outlineLevel="0" collapsed="false"/>
    <row r="72" customFormat="false" ht="18" hidden="false" customHeight="true" outlineLevel="0" collapsed="false"/>
    <row r="73" customFormat="false" ht="18" hidden="false" customHeight="true" outlineLevel="0" collapsed="false"/>
    <row r="74" customFormat="false" ht="18" hidden="false" customHeight="true" outlineLevel="0" collapsed="false"/>
    <row r="75" customFormat="false" ht="18" hidden="false" customHeight="true" outlineLevel="0" collapsed="false"/>
    <row r="76" customFormat="false" ht="18" hidden="false" customHeight="true" outlineLevel="0" collapsed="false"/>
    <row r="77" customFormat="false" ht="18" hidden="false" customHeight="true" outlineLevel="0" collapsed="false"/>
    <row r="78" customFormat="false" ht="18" hidden="false" customHeight="true" outlineLevel="0" collapsed="false"/>
    <row r="79" customFormat="false" ht="18" hidden="false" customHeight="true" outlineLevel="0" collapsed="false"/>
  </sheetData>
  <mergeCells count="8">
    <mergeCell ref="A1:G3"/>
    <mergeCell ref="A4:G4"/>
    <mergeCell ref="B6:C6"/>
    <mergeCell ref="E6:F6"/>
    <mergeCell ref="B14:F14"/>
    <mergeCell ref="B16:F16"/>
    <mergeCell ref="B22:F22"/>
    <mergeCell ref="B28:F3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2F5496"/>
    <pageSetUpPr fitToPage="false"/>
  </sheetPr>
  <dimension ref="A1:H36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8"/>
    <col collapsed="false" customWidth="true" hidden="false" outlineLevel="0" max="2" min="2" style="1" width="16"/>
    <col collapsed="false" customWidth="true" hidden="false" outlineLevel="0" max="7" min="3" style="1" width="18"/>
    <col collapsed="false" customWidth="true" hidden="false" outlineLevel="0" max="8" min="8" style="1" width="10"/>
  </cols>
  <sheetData>
    <row r="1" customFormat="false" ht="30" hidden="false" customHeight="true" outlineLevel="0" collapsed="false">
      <c r="A1" s="23" t="s">
        <v>33</v>
      </c>
      <c r="B1" s="23"/>
      <c r="C1" s="23"/>
      <c r="D1" s="23"/>
      <c r="E1" s="23"/>
      <c r="F1" s="23"/>
      <c r="G1" s="23"/>
      <c r="H1" s="23"/>
    </row>
    <row r="2" customFormat="false" ht="4.5" hidden="false" customHeight="true" outlineLevel="0" collapsed="false">
      <c r="A2" s="23"/>
      <c r="B2" s="23"/>
      <c r="C2" s="23"/>
      <c r="D2" s="23"/>
      <c r="E2" s="23"/>
      <c r="F2" s="23"/>
      <c r="G2" s="23"/>
      <c r="H2" s="23"/>
    </row>
    <row r="3" customFormat="false" ht="15" hidden="false" customHeight="true" outlineLevel="0" collapsed="false">
      <c r="A3" s="24" t="s">
        <v>34</v>
      </c>
      <c r="B3" s="24"/>
      <c r="C3" s="24"/>
      <c r="D3" s="24"/>
    </row>
    <row r="4" customFormat="false" ht="15.75" hidden="false" customHeight="true" outlineLevel="0" collapsed="false">
      <c r="A4" s="25" t="s">
        <v>35</v>
      </c>
      <c r="B4" s="26" t="n">
        <f aca="false">ROUND(-NPER(Tilgungsrechner!C8/12,-Tilgungsrechner!F7,Tilgungsrechner!C7)/12,1)</f>
        <v>-28.9</v>
      </c>
    </row>
    <row r="5" customFormat="false" ht="21.75" hidden="false" customHeight="true" outlineLevel="0" collapsed="false">
      <c r="A5" s="27" t="s">
        <v>36</v>
      </c>
      <c r="B5" s="28" t="n">
        <f aca="false">SUMIF(F6:F365,"&gt;"&amp;0,D6:D365)</f>
        <v>82924.23</v>
      </c>
      <c r="C5" s="27" t="s">
        <v>37</v>
      </c>
      <c r="D5" s="27" t="s">
        <v>38</v>
      </c>
      <c r="E5" s="27" t="s">
        <v>39</v>
      </c>
      <c r="F5" s="27" t="s">
        <v>40</v>
      </c>
      <c r="G5" s="27" t="s">
        <v>41</v>
      </c>
      <c r="H5" s="27" t="s">
        <v>42</v>
      </c>
    </row>
    <row r="6" customFormat="false" ht="15.75" hidden="false" customHeight="true" outlineLevel="0" collapsed="false">
      <c r="A6" s="29" t="n">
        <v>1</v>
      </c>
      <c r="B6" s="30" t="str">
        <f aca="false">IFERROR(edatum(datwert(Tilgungsrechner!C12),0),"")</f>
        <v/>
      </c>
      <c r="C6" s="31" t="n">
        <f aca="false">Tilgungsrechner!C7</f>
        <v>250000</v>
      </c>
      <c r="D6" s="31" t="n">
        <f aca="false">IFERROR(IF(C6="","",ROUND(C6*Tilgungsrechner!C8/12,2)),"")</f>
        <v>729.17</v>
      </c>
      <c r="E6" s="31" t="n">
        <f aca="false">IFERROR(IF(C6="","",MIN(ROUND(Tilgungsrechner!F7-D6,2),C6)),"")</f>
        <v>416.66</v>
      </c>
      <c r="F6" s="31" t="n">
        <f aca="false">IFERROR(IF(C6="","",MAX(0, C6-E6-IF(MOD(A6,12)=0,Tilgungsrechner!C10,0))),"")</f>
        <v>249583.34</v>
      </c>
      <c r="G6" s="32" t="n">
        <f aca="false">IFERROR(IF(C6="","",IF(MOD(A6,12)=0,MIN(Tilgungsrechner!C10,MAX(0,C6-E6)),0)),"")</f>
        <v>0</v>
      </c>
      <c r="H6" s="33" t="str">
        <f aca="false">IFERROR(IF(C6="","",aufround(A6/12,0)),"")</f>
        <v/>
      </c>
    </row>
    <row r="7" customFormat="false" ht="15.75" hidden="false" customHeight="true" outlineLevel="0" collapsed="false">
      <c r="A7" s="29" t="n">
        <v>2</v>
      </c>
      <c r="B7" s="30" t="str">
        <f aca="false">IFERROR(edatum(datwert(Tilgungsrechner!C12),1),"")</f>
        <v/>
      </c>
      <c r="C7" s="31" t="n">
        <f aca="false">IF(F6&lt;=0,"",F6)</f>
        <v>249583.34</v>
      </c>
      <c r="D7" s="31" t="n">
        <f aca="false">IFERROR(IF(C7="","",ROUND(C7*Tilgungsrechner!C8/12,2)),"")</f>
        <v>727.95</v>
      </c>
      <c r="E7" s="31" t="n">
        <f aca="false">IFERROR(IF(C7="","",MIN(ROUND(Tilgungsrechner!F7-D7,2),C7)),"")</f>
        <v>417.88</v>
      </c>
      <c r="F7" s="31" t="n">
        <f aca="false">IFERROR(IF(C7="","",MAX(0, C7-E7-IF(MOD(A7,12)=0,Tilgungsrechner!C10,0))),"")</f>
        <v>249165.46</v>
      </c>
      <c r="G7" s="32" t="n">
        <f aca="false">IFERROR(IF(C7="","",IF(MOD(A7,12)=0,MIN(Tilgungsrechner!C10,MAX(0,C7-E7)),0)),"")</f>
        <v>0</v>
      </c>
      <c r="H7" s="33" t="str">
        <f aca="false">IFERROR(IF(C7="","",aufround(A7/12,0)),"")</f>
        <v/>
      </c>
    </row>
    <row r="8" customFormat="false" ht="15.75" hidden="false" customHeight="true" outlineLevel="0" collapsed="false">
      <c r="A8" s="29" t="n">
        <v>3</v>
      </c>
      <c r="B8" s="30" t="str">
        <f aca="false">IFERROR(edatum(datwert(Tilgungsrechner!C12),2),"")</f>
        <v/>
      </c>
      <c r="C8" s="31" t="n">
        <f aca="false">IF(F7&lt;=0,"",F7)</f>
        <v>249165.46</v>
      </c>
      <c r="D8" s="31" t="n">
        <f aca="false">IFERROR(IF(C8="","",ROUND(C8*Tilgungsrechner!C8/12,2)),"")</f>
        <v>726.73</v>
      </c>
      <c r="E8" s="31" t="n">
        <f aca="false">IFERROR(IF(C8="","",MIN(ROUND(Tilgungsrechner!F7-D8,2),C8)),"")</f>
        <v>419.1</v>
      </c>
      <c r="F8" s="31" t="n">
        <f aca="false">IFERROR(IF(C8="","",MAX(0, C8-E8-IF(MOD(A8,12)=0,Tilgungsrechner!C10,0))),"")</f>
        <v>248746.36</v>
      </c>
      <c r="G8" s="32" t="n">
        <f aca="false">IFERROR(IF(C8="","",IF(MOD(A8,12)=0,MIN(Tilgungsrechner!C10,MAX(0,C8-E8)),0)),"")</f>
        <v>0</v>
      </c>
      <c r="H8" s="33" t="str">
        <f aca="false">IFERROR(IF(C8="","",aufround(A8/12,0)),"")</f>
        <v/>
      </c>
    </row>
    <row r="9" customFormat="false" ht="15.75" hidden="false" customHeight="true" outlineLevel="0" collapsed="false">
      <c r="A9" s="29" t="n">
        <v>4</v>
      </c>
      <c r="B9" s="30" t="str">
        <f aca="false">IFERROR(edatum(datwert(Tilgungsrechner!C12),3),"")</f>
        <v/>
      </c>
      <c r="C9" s="31" t="n">
        <f aca="false">IF(F8&lt;=0,"",F8)</f>
        <v>248746.36</v>
      </c>
      <c r="D9" s="31" t="n">
        <f aca="false">IFERROR(IF(C9="","",ROUND(C9*Tilgungsrechner!C8/12,2)),"")</f>
        <v>725.51</v>
      </c>
      <c r="E9" s="31" t="n">
        <f aca="false">IFERROR(IF(C9="","",MIN(ROUND(Tilgungsrechner!F7-D9,2),C9)),"")</f>
        <v>420.32</v>
      </c>
      <c r="F9" s="31" t="n">
        <f aca="false">IFERROR(IF(C9="","",MAX(0, C9-E9-IF(MOD(A9,12)=0,Tilgungsrechner!C10,0))),"")</f>
        <v>248326.04</v>
      </c>
      <c r="G9" s="32" t="n">
        <f aca="false">IFERROR(IF(C9="","",IF(MOD(A9,12)=0,MIN(Tilgungsrechner!C10,MAX(0,C9-E9)),0)),"")</f>
        <v>0</v>
      </c>
      <c r="H9" s="33" t="str">
        <f aca="false">IFERROR(IF(C9="","",aufround(A9/12,0)),"")</f>
        <v/>
      </c>
    </row>
    <row r="10" customFormat="false" ht="15.75" hidden="false" customHeight="true" outlineLevel="0" collapsed="false">
      <c r="A10" s="29" t="n">
        <v>5</v>
      </c>
      <c r="B10" s="30" t="str">
        <f aca="false">IFERROR(edatum(datwert(Tilgungsrechner!C12),4),"")</f>
        <v/>
      </c>
      <c r="C10" s="31" t="n">
        <f aca="false">IF(F9&lt;=0,"",F9)</f>
        <v>248326.04</v>
      </c>
      <c r="D10" s="31" t="n">
        <f aca="false">IFERROR(IF(C10="","",ROUND(C10*Tilgungsrechner!C8/12,2)),"")</f>
        <v>724.28</v>
      </c>
      <c r="E10" s="31" t="n">
        <f aca="false">IFERROR(IF(C10="","",MIN(ROUND(Tilgungsrechner!F7-D10,2),C10)),"")</f>
        <v>421.55</v>
      </c>
      <c r="F10" s="31" t="n">
        <f aca="false">IFERROR(IF(C10="","",MAX(0, C10-E10-IF(MOD(A10,12)=0,Tilgungsrechner!C10,0))),"")</f>
        <v>247904.49</v>
      </c>
      <c r="G10" s="32" t="n">
        <f aca="false">IFERROR(IF(C10="","",IF(MOD(A10,12)=0,MIN(Tilgungsrechner!C10,MAX(0,C10-E10)),0)),"")</f>
        <v>0</v>
      </c>
      <c r="H10" s="33" t="str">
        <f aca="false">IFERROR(IF(C10="","",aufround(A10/12,0)),"")</f>
        <v/>
      </c>
    </row>
    <row r="11" customFormat="false" ht="15.75" hidden="false" customHeight="true" outlineLevel="0" collapsed="false">
      <c r="A11" s="29" t="n">
        <v>6</v>
      </c>
      <c r="B11" s="30" t="str">
        <f aca="false">IFERROR(edatum(datwert(Tilgungsrechner!C12),5),"")</f>
        <v/>
      </c>
      <c r="C11" s="31" t="n">
        <f aca="false">IF(F10&lt;=0,"",F10)</f>
        <v>247904.49</v>
      </c>
      <c r="D11" s="31" t="n">
        <f aca="false">IFERROR(IF(C11="","",ROUND(C11*Tilgungsrechner!C8/12,2)),"")</f>
        <v>723.05</v>
      </c>
      <c r="E11" s="31" t="n">
        <f aca="false">IFERROR(IF(C11="","",MIN(ROUND(Tilgungsrechner!F7-D11,2),C11)),"")</f>
        <v>422.78</v>
      </c>
      <c r="F11" s="31" t="n">
        <f aca="false">IFERROR(IF(C11="","",MAX(0, C11-E11-IF(MOD(A11,12)=0,Tilgungsrechner!C10,0))),"")</f>
        <v>247481.71</v>
      </c>
      <c r="G11" s="32" t="n">
        <f aca="false">IFERROR(IF(C11="","",IF(MOD(A11,12)=0,MIN(Tilgungsrechner!C10,MAX(0,C11-E11)),0)),"")</f>
        <v>0</v>
      </c>
      <c r="H11" s="33" t="str">
        <f aca="false">IFERROR(IF(C11="","",aufround(A11/12,0)),"")</f>
        <v/>
      </c>
    </row>
    <row r="12" customFormat="false" ht="15.75" hidden="false" customHeight="true" outlineLevel="0" collapsed="false">
      <c r="A12" s="29" t="n">
        <v>7</v>
      </c>
      <c r="B12" s="30" t="str">
        <f aca="false">IFERROR(edatum(datwert(Tilgungsrechner!C12),6),"")</f>
        <v/>
      </c>
      <c r="C12" s="31" t="n">
        <f aca="false">IF(F11&lt;=0,"",F11)</f>
        <v>247481.71</v>
      </c>
      <c r="D12" s="31" t="n">
        <f aca="false">IFERROR(IF(C12="","",ROUND(C12*Tilgungsrechner!C8/12,2)),"")</f>
        <v>721.82</v>
      </c>
      <c r="E12" s="31" t="n">
        <f aca="false">IFERROR(IF(C12="","",MIN(ROUND(Tilgungsrechner!F7-D12,2),C12)),"")</f>
        <v>424.01</v>
      </c>
      <c r="F12" s="31" t="n">
        <f aca="false">IFERROR(IF(C12="","",MAX(0, C12-E12-IF(MOD(A12,12)=0,Tilgungsrechner!C10,0))),"")</f>
        <v>247057.7</v>
      </c>
      <c r="G12" s="32" t="n">
        <f aca="false">IFERROR(IF(C12="","",IF(MOD(A12,12)=0,MIN(Tilgungsrechner!C10,MAX(0,C12-E12)),0)),"")</f>
        <v>0</v>
      </c>
      <c r="H12" s="33" t="str">
        <f aca="false">IFERROR(IF(C12="","",aufround(A12/12,0)),"")</f>
        <v/>
      </c>
    </row>
    <row r="13" customFormat="false" ht="15.75" hidden="false" customHeight="true" outlineLevel="0" collapsed="false">
      <c r="A13" s="29" t="n">
        <v>8</v>
      </c>
      <c r="B13" s="30" t="str">
        <f aca="false">IFERROR(edatum(datwert(Tilgungsrechner!C12),7),"")</f>
        <v/>
      </c>
      <c r="C13" s="31" t="n">
        <f aca="false">IF(F12&lt;=0,"",F12)</f>
        <v>247057.7</v>
      </c>
      <c r="D13" s="31" t="n">
        <f aca="false">IFERROR(IF(C13="","",ROUND(C13*Tilgungsrechner!C8/12,2)),"")</f>
        <v>720.58</v>
      </c>
      <c r="E13" s="31" t="n">
        <f aca="false">IFERROR(IF(C13="","",MIN(ROUND(Tilgungsrechner!F7-D13,2),C13)),"")</f>
        <v>425.25</v>
      </c>
      <c r="F13" s="31" t="n">
        <f aca="false">IFERROR(IF(C13="","",MAX(0, C13-E13-IF(MOD(A13,12)=0,Tilgungsrechner!C10,0))),"")</f>
        <v>246632.45</v>
      </c>
      <c r="G13" s="32" t="n">
        <f aca="false">IFERROR(IF(C13="","",IF(MOD(A13,12)=0,MIN(Tilgungsrechner!C10,MAX(0,C13-E13)),0)),"")</f>
        <v>0</v>
      </c>
      <c r="H13" s="33" t="str">
        <f aca="false">IFERROR(IF(C13="","",aufround(A13/12,0)),"")</f>
        <v/>
      </c>
    </row>
    <row r="14" customFormat="false" ht="15.75" hidden="false" customHeight="true" outlineLevel="0" collapsed="false">
      <c r="A14" s="29" t="n">
        <v>9</v>
      </c>
      <c r="B14" s="30" t="str">
        <f aca="false">IFERROR(edatum(datwert(Tilgungsrechner!C12),8),"")</f>
        <v/>
      </c>
      <c r="C14" s="31" t="n">
        <f aca="false">IF(F13&lt;=0,"",F13)</f>
        <v>246632.45</v>
      </c>
      <c r="D14" s="31" t="n">
        <f aca="false">IFERROR(IF(C14="","",ROUND(C14*Tilgungsrechner!C8/12,2)),"")</f>
        <v>719.34</v>
      </c>
      <c r="E14" s="31" t="n">
        <f aca="false">IFERROR(IF(C14="","",MIN(ROUND(Tilgungsrechner!F7-D14,2),C14)),"")</f>
        <v>426.49</v>
      </c>
      <c r="F14" s="31" t="n">
        <f aca="false">IFERROR(IF(C14="","",MAX(0, C14-E14-IF(MOD(A14,12)=0,Tilgungsrechner!C10,0))),"")</f>
        <v>246205.96</v>
      </c>
      <c r="G14" s="32" t="n">
        <f aca="false">IFERROR(IF(C14="","",IF(MOD(A14,12)=0,MIN(Tilgungsrechner!C10,MAX(0,C14-E14)),0)),"")</f>
        <v>0</v>
      </c>
      <c r="H14" s="33" t="str">
        <f aca="false">IFERROR(IF(C14="","",aufround(A14/12,0)),"")</f>
        <v/>
      </c>
    </row>
    <row r="15" customFormat="false" ht="15.75" hidden="false" customHeight="true" outlineLevel="0" collapsed="false">
      <c r="A15" s="29" t="n">
        <v>10</v>
      </c>
      <c r="B15" s="30" t="str">
        <f aca="false">IFERROR(edatum(datwert(Tilgungsrechner!C12),9),"")</f>
        <v/>
      </c>
      <c r="C15" s="31" t="n">
        <f aca="false">IF(F14&lt;=0,"",F14)</f>
        <v>246205.96</v>
      </c>
      <c r="D15" s="31" t="n">
        <f aca="false">IFERROR(IF(C15="","",ROUND(C15*Tilgungsrechner!C8/12,2)),"")</f>
        <v>718.1</v>
      </c>
      <c r="E15" s="31" t="n">
        <f aca="false">IFERROR(IF(C15="","",MIN(ROUND(Tilgungsrechner!F7-D15,2),C15)),"")</f>
        <v>427.73</v>
      </c>
      <c r="F15" s="31" t="n">
        <f aca="false">IFERROR(IF(C15="","",MAX(0, C15-E15-IF(MOD(A15,12)=0,Tilgungsrechner!C10,0))),"")</f>
        <v>245778.23</v>
      </c>
      <c r="G15" s="32" t="n">
        <f aca="false">IFERROR(IF(C15="","",IF(MOD(A15,12)=0,MIN(Tilgungsrechner!C10,MAX(0,C15-E15)),0)),"")</f>
        <v>0</v>
      </c>
      <c r="H15" s="33" t="str">
        <f aca="false">IFERROR(IF(C15="","",aufround(A15/12,0)),"")</f>
        <v/>
      </c>
    </row>
    <row r="16" customFormat="false" ht="15.75" hidden="false" customHeight="true" outlineLevel="0" collapsed="false">
      <c r="A16" s="29" t="n">
        <v>11</v>
      </c>
      <c r="B16" s="30" t="str">
        <f aca="false">IFERROR(edatum(datwert(Tilgungsrechner!C12),10),"")</f>
        <v/>
      </c>
      <c r="C16" s="31" t="n">
        <f aca="false">IF(F15&lt;=0,"",F15)</f>
        <v>245778.23</v>
      </c>
      <c r="D16" s="31" t="n">
        <f aca="false">IFERROR(IF(C16="","",ROUND(C16*Tilgungsrechner!C8/12,2)),"")</f>
        <v>716.85</v>
      </c>
      <c r="E16" s="31" t="n">
        <f aca="false">IFERROR(IF(C16="","",MIN(ROUND(Tilgungsrechner!F7-D16,2),C16)),"")</f>
        <v>428.98</v>
      </c>
      <c r="F16" s="31" t="n">
        <f aca="false">IFERROR(IF(C16="","",MAX(0, C16-E16-IF(MOD(A16,12)=0,Tilgungsrechner!C10,0))),"")</f>
        <v>245349.25</v>
      </c>
      <c r="G16" s="32" t="n">
        <f aca="false">IFERROR(IF(C16="","",IF(MOD(A16,12)=0,MIN(Tilgungsrechner!C10,MAX(0,C16-E16)),0)),"")</f>
        <v>0</v>
      </c>
      <c r="H16" s="33" t="str">
        <f aca="false">IFERROR(IF(C16="","",aufround(A16/12,0)),"")</f>
        <v/>
      </c>
    </row>
    <row r="17" customFormat="false" ht="15.75" hidden="false" customHeight="true" outlineLevel="0" collapsed="false">
      <c r="A17" s="29" t="n">
        <v>12</v>
      </c>
      <c r="B17" s="30" t="str">
        <f aca="false">IFERROR(edatum(datwert(Tilgungsrechner!C12),11),"")</f>
        <v/>
      </c>
      <c r="C17" s="31" t="n">
        <f aca="false">IF(F16&lt;=0,"",F16)</f>
        <v>245349.25</v>
      </c>
      <c r="D17" s="31" t="n">
        <f aca="false">IFERROR(IF(C17="","",ROUND(C17*Tilgungsrechner!C8/12,2)),"")</f>
        <v>715.6</v>
      </c>
      <c r="E17" s="31" t="n">
        <f aca="false">IFERROR(IF(C17="","",MIN(ROUND(Tilgungsrechner!F7-D17,2),C17)),"")</f>
        <v>430.23</v>
      </c>
      <c r="F17" s="31" t="n">
        <f aca="false">IFERROR(IF(C17="","",MAX(0, C17-E17-IF(MOD(A17,12)=0,Tilgungsrechner!C10,0))),"")</f>
        <v>238919.02</v>
      </c>
      <c r="G17" s="32" t="n">
        <f aca="false">IFERROR(IF(C17="","",IF(MOD(A17,12)=0,MIN(Tilgungsrechner!C10,MAX(0,C17-E17)),0)),"")</f>
        <v>6000</v>
      </c>
      <c r="H17" s="33" t="str">
        <f aca="false">IFERROR(IF(C17="","",aufround(A17/12,0)),"")</f>
        <v/>
      </c>
    </row>
    <row r="18" customFormat="false" ht="15.75" hidden="false" customHeight="true" outlineLevel="0" collapsed="false">
      <c r="A18" s="29" t="n">
        <v>13</v>
      </c>
      <c r="B18" s="30" t="str">
        <f aca="false">IFERROR(edatum(datwert(Tilgungsrechner!C12),12),"")</f>
        <v/>
      </c>
      <c r="C18" s="31" t="n">
        <f aca="false">IF(F17&lt;=0,"",F17)</f>
        <v>238919.02</v>
      </c>
      <c r="D18" s="31" t="n">
        <f aca="false">IFERROR(IF(C18="","",ROUND(C18*Tilgungsrechner!C8/12,2)),"")</f>
        <v>696.85</v>
      </c>
      <c r="E18" s="31" t="n">
        <f aca="false">IFERROR(IF(C18="","",MIN(ROUND(Tilgungsrechner!F7-D18,2),C18)),"")</f>
        <v>448.98</v>
      </c>
      <c r="F18" s="31" t="n">
        <f aca="false">IFERROR(IF(C18="","",MAX(0, C18-E18-IF(MOD(A18,12)=0,Tilgungsrechner!C10,0))),"")</f>
        <v>238470.04</v>
      </c>
      <c r="G18" s="32" t="n">
        <f aca="false">IFERROR(IF(C18="","",IF(MOD(A18,12)=0,MIN(Tilgungsrechner!C10,MAX(0,C18-E18)),0)),"")</f>
        <v>0</v>
      </c>
      <c r="H18" s="33" t="str">
        <f aca="false">IFERROR(IF(C18="","",aufround(A18/12,0)),"")</f>
        <v/>
      </c>
    </row>
    <row r="19" customFormat="false" ht="15.75" hidden="false" customHeight="true" outlineLevel="0" collapsed="false">
      <c r="A19" s="29" t="n">
        <v>14</v>
      </c>
      <c r="B19" s="30" t="str">
        <f aca="false">IFERROR(edatum(datwert(Tilgungsrechner!C12),13),"")</f>
        <v/>
      </c>
      <c r="C19" s="31" t="n">
        <f aca="false">IF(F18&lt;=0,"",F18)</f>
        <v>238470.04</v>
      </c>
      <c r="D19" s="31" t="n">
        <f aca="false">IFERROR(IF(C19="","",ROUND(C19*Tilgungsrechner!C8/12,2)),"")</f>
        <v>695.54</v>
      </c>
      <c r="E19" s="31" t="n">
        <f aca="false">IFERROR(IF(C19="","",MIN(ROUND(Tilgungsrechner!F7-D19,2),C19)),"")</f>
        <v>450.29</v>
      </c>
      <c r="F19" s="31" t="n">
        <f aca="false">IFERROR(IF(C19="","",MAX(0, C19-E19-IF(MOD(A19,12)=0,Tilgungsrechner!C10,0))),"")</f>
        <v>238019.75</v>
      </c>
      <c r="G19" s="32" t="n">
        <f aca="false">IFERROR(IF(C19="","",IF(MOD(A19,12)=0,MIN(Tilgungsrechner!C10,MAX(0,C19-E19)),0)),"")</f>
        <v>0</v>
      </c>
      <c r="H19" s="33" t="str">
        <f aca="false">IFERROR(IF(C19="","",aufround(A19/12,0)),"")</f>
        <v/>
      </c>
    </row>
    <row r="20" customFormat="false" ht="15.75" hidden="false" customHeight="true" outlineLevel="0" collapsed="false">
      <c r="A20" s="29" t="n">
        <v>15</v>
      </c>
      <c r="B20" s="30" t="str">
        <f aca="false">IFERROR(edatum(datwert(Tilgungsrechner!C12),14),"")</f>
        <v/>
      </c>
      <c r="C20" s="31" t="n">
        <f aca="false">IF(F19&lt;=0,"",F19)</f>
        <v>238019.75</v>
      </c>
      <c r="D20" s="31" t="n">
        <f aca="false">IFERROR(IF(C20="","",ROUND(C20*Tilgungsrechner!C8/12,2)),"")</f>
        <v>694.22</v>
      </c>
      <c r="E20" s="31" t="n">
        <f aca="false">IFERROR(IF(C20="","",MIN(ROUND(Tilgungsrechner!F7-D20,2),C20)),"")</f>
        <v>451.61</v>
      </c>
      <c r="F20" s="31" t="n">
        <f aca="false">IFERROR(IF(C20="","",MAX(0, C20-E20-IF(MOD(A20,12)=0,Tilgungsrechner!C10,0))),"")</f>
        <v>237568.14</v>
      </c>
      <c r="G20" s="32" t="n">
        <f aca="false">IFERROR(IF(C20="","",IF(MOD(A20,12)=0,MIN(Tilgungsrechner!C10,MAX(0,C20-E20)),0)),"")</f>
        <v>0</v>
      </c>
      <c r="H20" s="33" t="str">
        <f aca="false">IFERROR(IF(C20="","",aufround(A20/12,0)),"")</f>
        <v/>
      </c>
    </row>
    <row r="21" customFormat="false" ht="15.75" hidden="false" customHeight="true" outlineLevel="0" collapsed="false">
      <c r="A21" s="29" t="n">
        <v>16</v>
      </c>
      <c r="B21" s="30" t="str">
        <f aca="false">IFERROR(edatum(datwert(Tilgungsrechner!C12),15),"")</f>
        <v/>
      </c>
      <c r="C21" s="31" t="n">
        <f aca="false">IF(F20&lt;=0,"",F20)</f>
        <v>237568.14</v>
      </c>
      <c r="D21" s="31" t="n">
        <f aca="false">IFERROR(IF(C21="","",ROUND(C21*Tilgungsrechner!C8/12,2)),"")</f>
        <v>692.91</v>
      </c>
      <c r="E21" s="31" t="n">
        <f aca="false">IFERROR(IF(C21="","",MIN(ROUND(Tilgungsrechner!F7-D21,2),C21)),"")</f>
        <v>452.92</v>
      </c>
      <c r="F21" s="31" t="n">
        <f aca="false">IFERROR(IF(C21="","",MAX(0, C21-E21-IF(MOD(A21,12)=0,Tilgungsrechner!C10,0))),"")</f>
        <v>237115.22</v>
      </c>
      <c r="G21" s="32" t="n">
        <f aca="false">IFERROR(IF(C21="","",IF(MOD(A21,12)=0,MIN(Tilgungsrechner!C10,MAX(0,C21-E21)),0)),"")</f>
        <v>0</v>
      </c>
      <c r="H21" s="33" t="str">
        <f aca="false">IFERROR(IF(C21="","",aufround(A21/12,0)),"")</f>
        <v/>
      </c>
    </row>
    <row r="22" customFormat="false" ht="15.75" hidden="false" customHeight="true" outlineLevel="0" collapsed="false">
      <c r="A22" s="29" t="n">
        <v>17</v>
      </c>
      <c r="B22" s="30" t="str">
        <f aca="false">IFERROR(edatum(datwert(Tilgungsrechner!C12),16),"")</f>
        <v/>
      </c>
      <c r="C22" s="31" t="n">
        <f aca="false">IF(F21&lt;=0,"",F21)</f>
        <v>237115.22</v>
      </c>
      <c r="D22" s="31" t="n">
        <f aca="false">IFERROR(IF(C22="","",ROUND(C22*Tilgungsrechner!C8/12,2)),"")</f>
        <v>691.59</v>
      </c>
      <c r="E22" s="31" t="n">
        <f aca="false">IFERROR(IF(C22="","",MIN(ROUND(Tilgungsrechner!F7-D22,2),C22)),"")</f>
        <v>454.24</v>
      </c>
      <c r="F22" s="31" t="n">
        <f aca="false">IFERROR(IF(C22="","",MAX(0, C22-E22-IF(MOD(A22,12)=0,Tilgungsrechner!C10,0))),"")</f>
        <v>236660.98</v>
      </c>
      <c r="G22" s="32" t="n">
        <f aca="false">IFERROR(IF(C22="","",IF(MOD(A22,12)=0,MIN(Tilgungsrechner!C10,MAX(0,C22-E22)),0)),"")</f>
        <v>0</v>
      </c>
      <c r="H22" s="33" t="str">
        <f aca="false">IFERROR(IF(C22="","",aufround(A22/12,0)),"")</f>
        <v/>
      </c>
    </row>
    <row r="23" customFormat="false" ht="15.75" hidden="false" customHeight="true" outlineLevel="0" collapsed="false">
      <c r="A23" s="29" t="n">
        <v>18</v>
      </c>
      <c r="B23" s="30" t="str">
        <f aca="false">IFERROR(edatum(datwert(Tilgungsrechner!C12),17),"")</f>
        <v/>
      </c>
      <c r="C23" s="31" t="n">
        <f aca="false">IF(F22&lt;=0,"",F22)</f>
        <v>236660.98</v>
      </c>
      <c r="D23" s="31" t="n">
        <f aca="false">IFERROR(IF(C23="","",ROUND(C23*Tilgungsrechner!C8/12,2)),"")</f>
        <v>690.26</v>
      </c>
      <c r="E23" s="31" t="n">
        <f aca="false">IFERROR(IF(C23="","",MIN(ROUND(Tilgungsrechner!F7-D23,2),C23)),"")</f>
        <v>455.57</v>
      </c>
      <c r="F23" s="31" t="n">
        <f aca="false">IFERROR(IF(C23="","",MAX(0, C23-E23-IF(MOD(A23,12)=0,Tilgungsrechner!C10,0))),"")</f>
        <v>236205.41</v>
      </c>
      <c r="G23" s="32" t="n">
        <f aca="false">IFERROR(IF(C23="","",IF(MOD(A23,12)=0,MIN(Tilgungsrechner!C10,MAX(0,C23-E23)),0)),"")</f>
        <v>0</v>
      </c>
      <c r="H23" s="33" t="str">
        <f aca="false">IFERROR(IF(C23="","",aufround(A23/12,0)),"")</f>
        <v/>
      </c>
    </row>
    <row r="24" customFormat="false" ht="15.75" hidden="false" customHeight="true" outlineLevel="0" collapsed="false">
      <c r="A24" s="29" t="n">
        <v>19</v>
      </c>
      <c r="B24" s="30" t="str">
        <f aca="false">IFERROR(edatum(datwert(Tilgungsrechner!C12),18),"")</f>
        <v/>
      </c>
      <c r="C24" s="31" t="n">
        <f aca="false">IF(F23&lt;=0,"",F23)</f>
        <v>236205.41</v>
      </c>
      <c r="D24" s="31" t="n">
        <f aca="false">IFERROR(IF(C24="","",ROUND(C24*Tilgungsrechner!C8/12,2)),"")</f>
        <v>688.93</v>
      </c>
      <c r="E24" s="31" t="n">
        <f aca="false">IFERROR(IF(C24="","",MIN(ROUND(Tilgungsrechner!F7-D24,2),C24)),"")</f>
        <v>456.9</v>
      </c>
      <c r="F24" s="31" t="n">
        <f aca="false">IFERROR(IF(C24="","",MAX(0, C24-E24-IF(MOD(A24,12)=0,Tilgungsrechner!C10,0))),"")</f>
        <v>235748.51</v>
      </c>
      <c r="G24" s="32" t="n">
        <f aca="false">IFERROR(IF(C24="","",IF(MOD(A24,12)=0,MIN(Tilgungsrechner!C10,MAX(0,C24-E24)),0)),"")</f>
        <v>0</v>
      </c>
      <c r="H24" s="33" t="str">
        <f aca="false">IFERROR(IF(C24="","",aufround(A24/12,0)),"")</f>
        <v/>
      </c>
    </row>
    <row r="25" customFormat="false" ht="15.75" hidden="false" customHeight="true" outlineLevel="0" collapsed="false">
      <c r="A25" s="29" t="n">
        <v>20</v>
      </c>
      <c r="B25" s="30" t="str">
        <f aca="false">IFERROR(edatum(datwert(Tilgungsrechner!C12),19),"")</f>
        <v/>
      </c>
      <c r="C25" s="31" t="n">
        <f aca="false">IF(F24&lt;=0,"",F24)</f>
        <v>235748.51</v>
      </c>
      <c r="D25" s="31" t="n">
        <f aca="false">IFERROR(IF(C25="","",ROUND(C25*Tilgungsrechner!C8/12,2)),"")</f>
        <v>687.6</v>
      </c>
      <c r="E25" s="31" t="n">
        <f aca="false">IFERROR(IF(C25="","",MIN(ROUND(Tilgungsrechner!F7-D25,2),C25)),"")</f>
        <v>458.23</v>
      </c>
      <c r="F25" s="31" t="n">
        <f aca="false">IFERROR(IF(C25="","",MAX(0, C25-E25-IF(MOD(A25,12)=0,Tilgungsrechner!C10,0))),"")</f>
        <v>235290.28</v>
      </c>
      <c r="G25" s="32" t="n">
        <f aca="false">IFERROR(IF(C25="","",IF(MOD(A25,12)=0,MIN(Tilgungsrechner!C10,MAX(0,C25-E25)),0)),"")</f>
        <v>0</v>
      </c>
      <c r="H25" s="33" t="str">
        <f aca="false">IFERROR(IF(C25="","",aufround(A25/12,0)),"")</f>
        <v/>
      </c>
    </row>
    <row r="26" customFormat="false" ht="15.75" hidden="false" customHeight="true" outlineLevel="0" collapsed="false">
      <c r="A26" s="29" t="n">
        <v>21</v>
      </c>
      <c r="B26" s="30" t="str">
        <f aca="false">IFERROR(edatum(datwert(Tilgungsrechner!C12),20),"")</f>
        <v/>
      </c>
      <c r="C26" s="31" t="n">
        <f aca="false">IF(F25&lt;=0,"",F25)</f>
        <v>235290.28</v>
      </c>
      <c r="D26" s="31" t="n">
        <f aca="false">IFERROR(IF(C26="","",ROUND(C26*Tilgungsrechner!C8/12,2)),"")</f>
        <v>686.26</v>
      </c>
      <c r="E26" s="31" t="n">
        <f aca="false">IFERROR(IF(C26="","",MIN(ROUND(Tilgungsrechner!F7-D26,2),C26)),"")</f>
        <v>459.57</v>
      </c>
      <c r="F26" s="31" t="n">
        <f aca="false">IFERROR(IF(C26="","",MAX(0, C26-E26-IF(MOD(A26,12)=0,Tilgungsrechner!C10,0))),"")</f>
        <v>234830.71</v>
      </c>
      <c r="G26" s="32" t="n">
        <f aca="false">IFERROR(IF(C26="","",IF(MOD(A26,12)=0,MIN(Tilgungsrechner!C10,MAX(0,C26-E26)),0)),"")</f>
        <v>0</v>
      </c>
      <c r="H26" s="33" t="str">
        <f aca="false">IFERROR(IF(C26="","",aufround(A26/12,0)),"")</f>
        <v/>
      </c>
    </row>
    <row r="27" customFormat="false" ht="15.75" hidden="false" customHeight="true" outlineLevel="0" collapsed="false">
      <c r="A27" s="29" t="n">
        <v>22</v>
      </c>
      <c r="B27" s="30" t="str">
        <f aca="false">IFERROR(edatum(datwert(Tilgungsrechner!C12),21),"")</f>
        <v/>
      </c>
      <c r="C27" s="31" t="n">
        <f aca="false">IF(F26&lt;=0,"",F26)</f>
        <v>234830.71</v>
      </c>
      <c r="D27" s="31" t="n">
        <f aca="false">IFERROR(IF(C27="","",ROUND(C27*Tilgungsrechner!C8/12,2)),"")</f>
        <v>684.92</v>
      </c>
      <c r="E27" s="31" t="n">
        <f aca="false">IFERROR(IF(C27="","",MIN(ROUND(Tilgungsrechner!F7-D27,2),C27)),"")</f>
        <v>460.91</v>
      </c>
      <c r="F27" s="31" t="n">
        <f aca="false">IFERROR(IF(C27="","",MAX(0, C27-E27-IF(MOD(A27,12)=0,Tilgungsrechner!C10,0))),"")</f>
        <v>234369.8</v>
      </c>
      <c r="G27" s="32" t="n">
        <f aca="false">IFERROR(IF(C27="","",IF(MOD(A27,12)=0,MIN(Tilgungsrechner!C10,MAX(0,C27-E27)),0)),"")</f>
        <v>0</v>
      </c>
      <c r="H27" s="33" t="str">
        <f aca="false">IFERROR(IF(C27="","",aufround(A27/12,0)),"")</f>
        <v/>
      </c>
    </row>
    <row r="28" customFormat="false" ht="15.75" hidden="false" customHeight="true" outlineLevel="0" collapsed="false">
      <c r="A28" s="29" t="n">
        <v>23</v>
      </c>
      <c r="B28" s="30" t="str">
        <f aca="false">IFERROR(edatum(datwert(Tilgungsrechner!C12),22),"")</f>
        <v/>
      </c>
      <c r="C28" s="31" t="n">
        <f aca="false">IF(F27&lt;=0,"",F27)</f>
        <v>234369.8</v>
      </c>
      <c r="D28" s="31" t="n">
        <f aca="false">IFERROR(IF(C28="","",ROUND(C28*Tilgungsrechner!C8/12,2)),"")</f>
        <v>683.58</v>
      </c>
      <c r="E28" s="31" t="n">
        <f aca="false">IFERROR(IF(C28="","",MIN(ROUND(Tilgungsrechner!F7-D28,2),C28)),"")</f>
        <v>462.25</v>
      </c>
      <c r="F28" s="31" t="n">
        <f aca="false">IFERROR(IF(C28="","",MAX(0, C28-E28-IF(MOD(A28,12)=0,Tilgungsrechner!C10,0))),"")</f>
        <v>233907.55</v>
      </c>
      <c r="G28" s="32" t="n">
        <f aca="false">IFERROR(IF(C28="","",IF(MOD(A28,12)=0,MIN(Tilgungsrechner!C10,MAX(0,C28-E28)),0)),"")</f>
        <v>0</v>
      </c>
      <c r="H28" s="33" t="str">
        <f aca="false">IFERROR(IF(C28="","",aufround(A28/12,0)),"")</f>
        <v/>
      </c>
    </row>
    <row r="29" customFormat="false" ht="15.75" hidden="false" customHeight="true" outlineLevel="0" collapsed="false">
      <c r="A29" s="29" t="n">
        <v>24</v>
      </c>
      <c r="B29" s="30" t="str">
        <f aca="false">IFERROR(edatum(datwert(Tilgungsrechner!C12),23),"")</f>
        <v/>
      </c>
      <c r="C29" s="31" t="n">
        <f aca="false">IF(F28&lt;=0,"",F28)</f>
        <v>233907.55</v>
      </c>
      <c r="D29" s="31" t="n">
        <f aca="false">IFERROR(IF(C29="","",ROUND(C29*Tilgungsrechner!C8/12,2)),"")</f>
        <v>682.23</v>
      </c>
      <c r="E29" s="31" t="n">
        <f aca="false">IFERROR(IF(C29="","",MIN(ROUND(Tilgungsrechner!F7-D29,2),C29)),"")</f>
        <v>463.6</v>
      </c>
      <c r="F29" s="31" t="n">
        <f aca="false">IFERROR(IF(C29="","",MAX(0, C29-E29-IF(MOD(A29,12)=0,Tilgungsrechner!C10,0))),"")</f>
        <v>227443.95</v>
      </c>
      <c r="G29" s="32" t="n">
        <f aca="false">IFERROR(IF(C29="","",IF(MOD(A29,12)=0,MIN(Tilgungsrechner!C10,MAX(0,C29-E29)),0)),"")</f>
        <v>6000</v>
      </c>
      <c r="H29" s="33" t="str">
        <f aca="false">IFERROR(IF(C29="","",aufround(A29/12,0)),"")</f>
        <v/>
      </c>
    </row>
    <row r="30" customFormat="false" ht="15.75" hidden="false" customHeight="true" outlineLevel="0" collapsed="false">
      <c r="A30" s="29" t="n">
        <v>25</v>
      </c>
      <c r="B30" s="30" t="str">
        <f aca="false">IFERROR(edatum(datwert(Tilgungsrechner!C12),24),"")</f>
        <v/>
      </c>
      <c r="C30" s="31" t="n">
        <f aca="false">IF(F29&lt;=0,"",F29)</f>
        <v>227443.95</v>
      </c>
      <c r="D30" s="31" t="n">
        <f aca="false">IFERROR(IF(C30="","",ROUND(C30*Tilgungsrechner!C8/12,2)),"")</f>
        <v>663.38</v>
      </c>
      <c r="E30" s="31" t="n">
        <f aca="false">IFERROR(IF(C30="","",MIN(ROUND(Tilgungsrechner!F7-D30,2),C30)),"")</f>
        <v>482.45</v>
      </c>
      <c r="F30" s="31" t="n">
        <f aca="false">IFERROR(IF(C30="","",MAX(0, C30-E30-IF(MOD(A30,12)=0,Tilgungsrechner!C10,0))),"")</f>
        <v>226961.5</v>
      </c>
      <c r="G30" s="32" t="n">
        <f aca="false">IFERROR(IF(C30="","",IF(MOD(A30,12)=0,MIN(Tilgungsrechner!C10,MAX(0,C30-E30)),0)),"")</f>
        <v>0</v>
      </c>
      <c r="H30" s="33" t="str">
        <f aca="false">IFERROR(IF(C30="","",aufround(A30/12,0)),"")</f>
        <v/>
      </c>
    </row>
    <row r="31" customFormat="false" ht="15.75" hidden="false" customHeight="true" outlineLevel="0" collapsed="false">
      <c r="A31" s="29" t="n">
        <v>26</v>
      </c>
      <c r="B31" s="30" t="str">
        <f aca="false">IFERROR(edatum(datwert(Tilgungsrechner!C12),25),"")</f>
        <v/>
      </c>
      <c r="C31" s="31" t="n">
        <f aca="false">IF(F30&lt;=0,"",F30)</f>
        <v>226961.5</v>
      </c>
      <c r="D31" s="31" t="n">
        <f aca="false">IFERROR(IF(C31="","",ROUND(C31*Tilgungsrechner!C8/12,2)),"")</f>
        <v>661.97</v>
      </c>
      <c r="E31" s="31" t="n">
        <f aca="false">IFERROR(IF(C31="","",MIN(ROUND(Tilgungsrechner!F7-D31,2),C31)),"")</f>
        <v>483.86</v>
      </c>
      <c r="F31" s="31" t="n">
        <f aca="false">IFERROR(IF(C31="","",MAX(0, C31-E31-IF(MOD(A31,12)=0,Tilgungsrechner!C10,0))),"")</f>
        <v>226477.64</v>
      </c>
      <c r="G31" s="32" t="n">
        <f aca="false">IFERROR(IF(C31="","",IF(MOD(A31,12)=0,MIN(Tilgungsrechner!C10,MAX(0,C31-E31)),0)),"")</f>
        <v>0</v>
      </c>
      <c r="H31" s="33" t="str">
        <f aca="false">IFERROR(IF(C31="","",aufround(A31/12,0)),"")</f>
        <v/>
      </c>
    </row>
    <row r="32" customFormat="false" ht="15.75" hidden="false" customHeight="true" outlineLevel="0" collapsed="false">
      <c r="A32" s="29" t="n">
        <v>27</v>
      </c>
      <c r="B32" s="30" t="str">
        <f aca="false">IFERROR(edatum(datwert(Tilgungsrechner!C12),26),"")</f>
        <v/>
      </c>
      <c r="C32" s="31" t="n">
        <f aca="false">IF(F31&lt;=0,"",F31)</f>
        <v>226477.64</v>
      </c>
      <c r="D32" s="31" t="n">
        <f aca="false">IFERROR(IF(C32="","",ROUND(C32*Tilgungsrechner!C8/12,2)),"")</f>
        <v>660.56</v>
      </c>
      <c r="E32" s="31" t="n">
        <f aca="false">IFERROR(IF(C32="","",MIN(ROUND(Tilgungsrechner!F7-D32,2),C32)),"")</f>
        <v>485.27</v>
      </c>
      <c r="F32" s="31" t="n">
        <f aca="false">IFERROR(IF(C32="","",MAX(0, C32-E32-IF(MOD(A32,12)=0,Tilgungsrechner!C10,0))),"")</f>
        <v>225992.37</v>
      </c>
      <c r="G32" s="32" t="n">
        <f aca="false">IFERROR(IF(C32="","",IF(MOD(A32,12)=0,MIN(Tilgungsrechner!C10,MAX(0,C32-E32)),0)),"")</f>
        <v>0</v>
      </c>
      <c r="H32" s="33" t="str">
        <f aca="false">IFERROR(IF(C32="","",aufround(A32/12,0)),"")</f>
        <v/>
      </c>
    </row>
    <row r="33" customFormat="false" ht="15.75" hidden="false" customHeight="true" outlineLevel="0" collapsed="false">
      <c r="A33" s="29" t="n">
        <v>28</v>
      </c>
      <c r="B33" s="30" t="str">
        <f aca="false">IFERROR(edatum(datwert(Tilgungsrechner!C12),27),"")</f>
        <v/>
      </c>
      <c r="C33" s="31" t="n">
        <f aca="false">IF(F32&lt;=0,"",F32)</f>
        <v>225992.37</v>
      </c>
      <c r="D33" s="31" t="n">
        <f aca="false">IFERROR(IF(C33="","",ROUND(C33*Tilgungsrechner!C8/12,2)),"")</f>
        <v>659.14</v>
      </c>
      <c r="E33" s="31" t="n">
        <f aca="false">IFERROR(IF(C33="","",MIN(ROUND(Tilgungsrechner!F7-D33,2),C33)),"")</f>
        <v>486.69</v>
      </c>
      <c r="F33" s="31" t="n">
        <f aca="false">IFERROR(IF(C33="","",MAX(0, C33-E33-IF(MOD(A33,12)=0,Tilgungsrechner!C10,0))),"")</f>
        <v>225505.68</v>
      </c>
      <c r="G33" s="32" t="n">
        <f aca="false">IFERROR(IF(C33="","",IF(MOD(A33,12)=0,MIN(Tilgungsrechner!C10,MAX(0,C33-E33)),0)),"")</f>
        <v>0</v>
      </c>
      <c r="H33" s="33" t="str">
        <f aca="false">IFERROR(IF(C33="","",aufround(A33/12,0)),"")</f>
        <v/>
      </c>
    </row>
    <row r="34" customFormat="false" ht="15.75" hidden="false" customHeight="true" outlineLevel="0" collapsed="false">
      <c r="A34" s="29" t="n">
        <v>29</v>
      </c>
      <c r="B34" s="30" t="str">
        <f aca="false">IFERROR(edatum(datwert(Tilgungsrechner!C12),28),"")</f>
        <v/>
      </c>
      <c r="C34" s="31" t="n">
        <f aca="false">IF(F33&lt;=0,"",F33)</f>
        <v>225505.68</v>
      </c>
      <c r="D34" s="31" t="n">
        <f aca="false">IFERROR(IF(C34="","",ROUND(C34*Tilgungsrechner!C8/12,2)),"")</f>
        <v>657.72</v>
      </c>
      <c r="E34" s="31" t="n">
        <f aca="false">IFERROR(IF(C34="","",MIN(ROUND(Tilgungsrechner!F7-D34,2),C34)),"")</f>
        <v>488.11</v>
      </c>
      <c r="F34" s="31" t="n">
        <f aca="false">IFERROR(IF(C34="","",MAX(0, C34-E34-IF(MOD(A34,12)=0,Tilgungsrechner!C10,0))),"")</f>
        <v>225017.57</v>
      </c>
      <c r="G34" s="32" t="n">
        <f aca="false">IFERROR(IF(C34="","",IF(MOD(A34,12)=0,MIN(Tilgungsrechner!C10,MAX(0,C34-E34)),0)),"")</f>
        <v>0</v>
      </c>
      <c r="H34" s="33" t="str">
        <f aca="false">IFERROR(IF(C34="","",aufround(A34/12,0)),"")</f>
        <v/>
      </c>
    </row>
    <row r="35" customFormat="false" ht="15.75" hidden="false" customHeight="true" outlineLevel="0" collapsed="false">
      <c r="A35" s="29" t="n">
        <v>30</v>
      </c>
      <c r="B35" s="30" t="str">
        <f aca="false">IFERROR(edatum(datwert(Tilgungsrechner!C12),29),"")</f>
        <v/>
      </c>
      <c r="C35" s="31" t="n">
        <f aca="false">IF(F34&lt;=0,"",F34)</f>
        <v>225017.57</v>
      </c>
      <c r="D35" s="31" t="n">
        <f aca="false">IFERROR(IF(C35="","",ROUND(C35*Tilgungsrechner!C8/12,2)),"")</f>
        <v>656.3</v>
      </c>
      <c r="E35" s="31" t="n">
        <f aca="false">IFERROR(IF(C35="","",MIN(ROUND(Tilgungsrechner!F7-D35,2),C35)),"")</f>
        <v>489.53</v>
      </c>
      <c r="F35" s="31" t="n">
        <f aca="false">IFERROR(IF(C35="","",MAX(0, C35-E35-IF(MOD(A35,12)=0,Tilgungsrechner!C10,0))),"")</f>
        <v>224528.04</v>
      </c>
      <c r="G35" s="32" t="n">
        <f aca="false">IFERROR(IF(C35="","",IF(MOD(A35,12)=0,MIN(Tilgungsrechner!C10,MAX(0,C35-E35)),0)),"")</f>
        <v>0</v>
      </c>
      <c r="H35" s="33" t="str">
        <f aca="false">IFERROR(IF(C35="","",aufround(A35/12,0)),"")</f>
        <v/>
      </c>
    </row>
    <row r="36" customFormat="false" ht="15.75" hidden="false" customHeight="true" outlineLevel="0" collapsed="false">
      <c r="A36" s="29" t="n">
        <v>31</v>
      </c>
      <c r="B36" s="30" t="str">
        <f aca="false">IFERROR(edatum(datwert(Tilgungsrechner!C12),30),"")</f>
        <v/>
      </c>
      <c r="C36" s="31" t="n">
        <f aca="false">IF(F35&lt;=0,"",F35)</f>
        <v>224528.04</v>
      </c>
      <c r="D36" s="31" t="n">
        <f aca="false">IFERROR(IF(C36="","",ROUND(C36*Tilgungsrechner!C8/12,2)),"")</f>
        <v>654.87</v>
      </c>
      <c r="E36" s="31" t="n">
        <f aca="false">IFERROR(IF(C36="","",MIN(ROUND(Tilgungsrechner!F7-D36,2),C36)),"")</f>
        <v>490.96</v>
      </c>
      <c r="F36" s="31" t="n">
        <f aca="false">IFERROR(IF(C36="","",MAX(0, C36-E36-IF(MOD(A36,12)=0,Tilgungsrechner!C10,0))),"")</f>
        <v>224037.08</v>
      </c>
      <c r="G36" s="32" t="n">
        <f aca="false">IFERROR(IF(C36="","",IF(MOD(A36,12)=0,MIN(Tilgungsrechner!C10,MAX(0,C36-E36)),0)),"")</f>
        <v>0</v>
      </c>
      <c r="H36" s="33" t="str">
        <f aca="false">IFERROR(IF(C36="","",aufround(A36/12,0)),"")</f>
        <v/>
      </c>
    </row>
    <row r="37" customFormat="false" ht="15.75" hidden="false" customHeight="true" outlineLevel="0" collapsed="false">
      <c r="A37" s="29" t="n">
        <v>32</v>
      </c>
      <c r="B37" s="30" t="str">
        <f aca="false">IFERROR(edatum(datwert(Tilgungsrechner!C12),31),"")</f>
        <v/>
      </c>
      <c r="C37" s="31" t="n">
        <f aca="false">IF(F36&lt;=0,"",F36)</f>
        <v>224037.08</v>
      </c>
      <c r="D37" s="31" t="n">
        <f aca="false">IFERROR(IF(C37="","",ROUND(C37*Tilgungsrechner!C8/12,2)),"")</f>
        <v>653.44</v>
      </c>
      <c r="E37" s="31" t="n">
        <f aca="false">IFERROR(IF(C37="","",MIN(ROUND(Tilgungsrechner!F7-D37,2),C37)),"")</f>
        <v>492.39</v>
      </c>
      <c r="F37" s="31" t="n">
        <f aca="false">IFERROR(IF(C37="","",MAX(0, C37-E37-IF(MOD(A37,12)=0,Tilgungsrechner!C10,0))),"")</f>
        <v>223544.69</v>
      </c>
      <c r="G37" s="32" t="n">
        <f aca="false">IFERROR(IF(C37="","",IF(MOD(A37,12)=0,MIN(Tilgungsrechner!C10,MAX(0,C37-E37)),0)),"")</f>
        <v>0</v>
      </c>
      <c r="H37" s="33" t="str">
        <f aca="false">IFERROR(IF(C37="","",aufround(A37/12,0)),"")</f>
        <v/>
      </c>
    </row>
    <row r="38" customFormat="false" ht="15.75" hidden="false" customHeight="true" outlineLevel="0" collapsed="false">
      <c r="A38" s="29" t="n">
        <v>33</v>
      </c>
      <c r="B38" s="30" t="str">
        <f aca="false">IFERROR(edatum(datwert(Tilgungsrechner!C12),32),"")</f>
        <v/>
      </c>
      <c r="C38" s="31" t="n">
        <f aca="false">IF(F37&lt;=0,"",F37)</f>
        <v>223544.69</v>
      </c>
      <c r="D38" s="31" t="n">
        <f aca="false">IFERROR(IF(C38="","",ROUND(C38*Tilgungsrechner!C8/12,2)),"")</f>
        <v>652.01</v>
      </c>
      <c r="E38" s="31" t="n">
        <f aca="false">IFERROR(IF(C38="","",MIN(ROUND(Tilgungsrechner!F7-D38,2),C38)),"")</f>
        <v>493.82</v>
      </c>
      <c r="F38" s="31" t="n">
        <f aca="false">IFERROR(IF(C38="","",MAX(0, C38-E38-IF(MOD(A38,12)=0,Tilgungsrechner!C10,0))),"")</f>
        <v>223050.87</v>
      </c>
      <c r="G38" s="32" t="n">
        <f aca="false">IFERROR(IF(C38="","",IF(MOD(A38,12)=0,MIN(Tilgungsrechner!C10,MAX(0,C38-E38)),0)),"")</f>
        <v>0</v>
      </c>
      <c r="H38" s="33" t="str">
        <f aca="false">IFERROR(IF(C38="","",aufround(A38/12,0)),"")</f>
        <v/>
      </c>
    </row>
    <row r="39" customFormat="false" ht="15.75" hidden="false" customHeight="true" outlineLevel="0" collapsed="false">
      <c r="A39" s="29" t="n">
        <v>34</v>
      </c>
      <c r="B39" s="30" t="str">
        <f aca="false">IFERROR(edatum(datwert(Tilgungsrechner!C12),33),"")</f>
        <v/>
      </c>
      <c r="C39" s="31" t="n">
        <f aca="false">IF(F38&lt;=0,"",F38)</f>
        <v>223050.87</v>
      </c>
      <c r="D39" s="31" t="n">
        <f aca="false">IFERROR(IF(C39="","",ROUND(C39*Tilgungsrechner!C8/12,2)),"")</f>
        <v>650.57</v>
      </c>
      <c r="E39" s="31" t="n">
        <f aca="false">IFERROR(IF(C39="","",MIN(ROUND(Tilgungsrechner!F7-D39,2),C39)),"")</f>
        <v>495.26</v>
      </c>
      <c r="F39" s="31" t="n">
        <f aca="false">IFERROR(IF(C39="","",MAX(0, C39-E39-IF(MOD(A39,12)=0,Tilgungsrechner!C10,0))),"")</f>
        <v>222555.61</v>
      </c>
      <c r="G39" s="32" t="n">
        <f aca="false">IFERROR(IF(C39="","",IF(MOD(A39,12)=0,MIN(Tilgungsrechner!C10,MAX(0,C39-E39)),0)),"")</f>
        <v>0</v>
      </c>
      <c r="H39" s="33" t="str">
        <f aca="false">IFERROR(IF(C39="","",aufround(A39/12,0)),"")</f>
        <v/>
      </c>
    </row>
    <row r="40" customFormat="false" ht="15.75" hidden="false" customHeight="true" outlineLevel="0" collapsed="false">
      <c r="A40" s="29" t="n">
        <v>35</v>
      </c>
      <c r="B40" s="30" t="str">
        <f aca="false">IFERROR(edatum(datwert(Tilgungsrechner!C12),34),"")</f>
        <v/>
      </c>
      <c r="C40" s="31" t="n">
        <f aca="false">IF(F39&lt;=0,"",F39)</f>
        <v>222555.61</v>
      </c>
      <c r="D40" s="31" t="n">
        <f aca="false">IFERROR(IF(C40="","",ROUND(C40*Tilgungsrechner!C8/12,2)),"")</f>
        <v>649.12</v>
      </c>
      <c r="E40" s="31" t="n">
        <f aca="false">IFERROR(IF(C40="","",MIN(ROUND(Tilgungsrechner!F7-D40,2),C40)),"")</f>
        <v>496.71</v>
      </c>
      <c r="F40" s="31" t="n">
        <f aca="false">IFERROR(IF(C40="","",MAX(0, C40-E40-IF(MOD(A40,12)=0,Tilgungsrechner!C10,0))),"")</f>
        <v>222058.9</v>
      </c>
      <c r="G40" s="32" t="n">
        <f aca="false">IFERROR(IF(C40="","",IF(MOD(A40,12)=0,MIN(Tilgungsrechner!C10,MAX(0,C40-E40)),0)),"")</f>
        <v>0</v>
      </c>
      <c r="H40" s="33" t="str">
        <f aca="false">IFERROR(IF(C40="","",aufround(A40/12,0)),"")</f>
        <v/>
      </c>
    </row>
    <row r="41" customFormat="false" ht="15.75" hidden="false" customHeight="true" outlineLevel="0" collapsed="false">
      <c r="A41" s="29" t="n">
        <v>36</v>
      </c>
      <c r="B41" s="30" t="str">
        <f aca="false">IFERROR(edatum(datwert(Tilgungsrechner!C12),35),"")</f>
        <v/>
      </c>
      <c r="C41" s="31" t="n">
        <f aca="false">IF(F40&lt;=0,"",F40)</f>
        <v>222058.9</v>
      </c>
      <c r="D41" s="31" t="n">
        <f aca="false">IFERROR(IF(C41="","",ROUND(C41*Tilgungsrechner!C8/12,2)),"")</f>
        <v>647.67</v>
      </c>
      <c r="E41" s="31" t="n">
        <f aca="false">IFERROR(IF(C41="","",MIN(ROUND(Tilgungsrechner!F7-D41,2),C41)),"")</f>
        <v>498.16</v>
      </c>
      <c r="F41" s="31" t="n">
        <f aca="false">IFERROR(IF(C41="","",MAX(0, C41-E41-IF(MOD(A41,12)=0,Tilgungsrechner!C10,0))),"")</f>
        <v>215560.74</v>
      </c>
      <c r="G41" s="32" t="n">
        <f aca="false">IFERROR(IF(C41="","",IF(MOD(A41,12)=0,MIN(Tilgungsrechner!C10,MAX(0,C41-E41)),0)),"")</f>
        <v>6000</v>
      </c>
      <c r="H41" s="33" t="str">
        <f aca="false">IFERROR(IF(C41="","",aufround(A41/12,0)),"")</f>
        <v/>
      </c>
    </row>
    <row r="42" customFormat="false" ht="15.75" hidden="false" customHeight="true" outlineLevel="0" collapsed="false">
      <c r="A42" s="29" t="n">
        <v>37</v>
      </c>
      <c r="B42" s="30" t="str">
        <f aca="false">IFERROR(edatum(datwert(Tilgungsrechner!C12),36),"")</f>
        <v/>
      </c>
      <c r="C42" s="31" t="n">
        <f aca="false">IF(F41&lt;=0,"",F41)</f>
        <v>215560.74</v>
      </c>
      <c r="D42" s="31" t="n">
        <f aca="false">IFERROR(IF(C42="","",ROUND(C42*Tilgungsrechner!C8/12,2)),"")</f>
        <v>628.72</v>
      </c>
      <c r="E42" s="31" t="n">
        <f aca="false">IFERROR(IF(C42="","",MIN(ROUND(Tilgungsrechner!F7-D42,2),C42)),"")</f>
        <v>517.11</v>
      </c>
      <c r="F42" s="31" t="n">
        <f aca="false">IFERROR(IF(C42="","",MAX(0, C42-E42-IF(MOD(A42,12)=0,Tilgungsrechner!C10,0))),"")</f>
        <v>215043.63</v>
      </c>
      <c r="G42" s="32" t="n">
        <f aca="false">IFERROR(IF(C42="","",IF(MOD(A42,12)=0,MIN(Tilgungsrechner!C10,MAX(0,C42-E42)),0)),"")</f>
        <v>0</v>
      </c>
      <c r="H42" s="33" t="str">
        <f aca="false">IFERROR(IF(C42="","",aufround(A42/12,0)),"")</f>
        <v/>
      </c>
    </row>
    <row r="43" customFormat="false" ht="15.75" hidden="false" customHeight="true" outlineLevel="0" collapsed="false">
      <c r="A43" s="29" t="n">
        <v>38</v>
      </c>
      <c r="B43" s="30" t="str">
        <f aca="false">IFERROR(edatum(datwert(Tilgungsrechner!C12),37),"")</f>
        <v/>
      </c>
      <c r="C43" s="31" t="n">
        <f aca="false">IF(F42&lt;=0,"",F42)</f>
        <v>215043.63</v>
      </c>
      <c r="D43" s="31" t="n">
        <f aca="false">IFERROR(IF(C43="","",ROUND(C43*Tilgungsrechner!C8/12,2)),"")</f>
        <v>627.21</v>
      </c>
      <c r="E43" s="31" t="n">
        <f aca="false">IFERROR(IF(C43="","",MIN(ROUND(Tilgungsrechner!F7-D43,2),C43)),"")</f>
        <v>518.62</v>
      </c>
      <c r="F43" s="31" t="n">
        <f aca="false">IFERROR(IF(C43="","",MAX(0, C43-E43-IF(MOD(A43,12)=0,Tilgungsrechner!C10,0))),"")</f>
        <v>214525.01</v>
      </c>
      <c r="G43" s="32" t="n">
        <f aca="false">IFERROR(IF(C43="","",IF(MOD(A43,12)=0,MIN(Tilgungsrechner!C10,MAX(0,C43-E43)),0)),"")</f>
        <v>0</v>
      </c>
      <c r="H43" s="33" t="str">
        <f aca="false">IFERROR(IF(C43="","",aufround(A43/12,0)),"")</f>
        <v/>
      </c>
    </row>
    <row r="44" customFormat="false" ht="15.75" hidden="false" customHeight="true" outlineLevel="0" collapsed="false">
      <c r="A44" s="29" t="n">
        <v>39</v>
      </c>
      <c r="B44" s="30" t="str">
        <f aca="false">IFERROR(edatum(datwert(Tilgungsrechner!C12),38),"")</f>
        <v/>
      </c>
      <c r="C44" s="31" t="n">
        <f aca="false">IF(F43&lt;=0,"",F43)</f>
        <v>214525.01</v>
      </c>
      <c r="D44" s="31" t="n">
        <f aca="false">IFERROR(IF(C44="","",ROUND(C44*Tilgungsrechner!C8/12,2)),"")</f>
        <v>625.7</v>
      </c>
      <c r="E44" s="31" t="n">
        <f aca="false">IFERROR(IF(C44="","",MIN(ROUND(Tilgungsrechner!F7-D44,2),C44)),"")</f>
        <v>520.13</v>
      </c>
      <c r="F44" s="31" t="n">
        <f aca="false">IFERROR(IF(C44="","",MAX(0, C44-E44-IF(MOD(A44,12)=0,Tilgungsrechner!C10,0))),"")</f>
        <v>214004.88</v>
      </c>
      <c r="G44" s="32" t="n">
        <f aca="false">IFERROR(IF(C44="","",IF(MOD(A44,12)=0,MIN(Tilgungsrechner!C10,MAX(0,C44-E44)),0)),"")</f>
        <v>0</v>
      </c>
      <c r="H44" s="33" t="str">
        <f aca="false">IFERROR(IF(C44="","",aufround(A44/12,0)),"")</f>
        <v/>
      </c>
    </row>
    <row r="45" customFormat="false" ht="15.75" hidden="false" customHeight="true" outlineLevel="0" collapsed="false">
      <c r="A45" s="29" t="n">
        <v>40</v>
      </c>
      <c r="B45" s="30" t="str">
        <f aca="false">IFERROR(edatum(datwert(Tilgungsrechner!C12),39),"")</f>
        <v/>
      </c>
      <c r="C45" s="31" t="n">
        <f aca="false">IF(F44&lt;=0,"",F44)</f>
        <v>214004.88</v>
      </c>
      <c r="D45" s="31" t="n">
        <f aca="false">IFERROR(IF(C45="","",ROUND(C45*Tilgungsrechner!C8/12,2)),"")</f>
        <v>624.18</v>
      </c>
      <c r="E45" s="31" t="n">
        <f aca="false">IFERROR(IF(C45="","",MIN(ROUND(Tilgungsrechner!F7-D45,2),C45)),"")</f>
        <v>521.65</v>
      </c>
      <c r="F45" s="31" t="n">
        <f aca="false">IFERROR(IF(C45="","",MAX(0, C45-E45-IF(MOD(A45,12)=0,Tilgungsrechner!C10,0))),"")</f>
        <v>213483.23</v>
      </c>
      <c r="G45" s="32" t="n">
        <f aca="false">IFERROR(IF(C45="","",IF(MOD(A45,12)=0,MIN(Tilgungsrechner!C10,MAX(0,C45-E45)),0)),"")</f>
        <v>0</v>
      </c>
      <c r="H45" s="33" t="str">
        <f aca="false">IFERROR(IF(C45="","",aufround(A45/12,0)),"")</f>
        <v/>
      </c>
    </row>
    <row r="46" customFormat="false" ht="15.75" hidden="false" customHeight="true" outlineLevel="0" collapsed="false">
      <c r="A46" s="29" t="n">
        <v>41</v>
      </c>
      <c r="B46" s="30" t="str">
        <f aca="false">IFERROR(edatum(datwert(Tilgungsrechner!C12),40),"")</f>
        <v/>
      </c>
      <c r="C46" s="31" t="n">
        <f aca="false">IF(F45&lt;=0,"",F45)</f>
        <v>213483.23</v>
      </c>
      <c r="D46" s="31" t="n">
        <f aca="false">IFERROR(IF(C46="","",ROUND(C46*Tilgungsrechner!C8/12,2)),"")</f>
        <v>622.66</v>
      </c>
      <c r="E46" s="31" t="n">
        <f aca="false">IFERROR(IF(C46="","",MIN(ROUND(Tilgungsrechner!F7-D46,2),C46)),"")</f>
        <v>523.17</v>
      </c>
      <c r="F46" s="31" t="n">
        <f aca="false">IFERROR(IF(C46="","",MAX(0, C46-E46-IF(MOD(A46,12)=0,Tilgungsrechner!C10,0))),"")</f>
        <v>212960.06</v>
      </c>
      <c r="G46" s="32" t="n">
        <f aca="false">IFERROR(IF(C46="","",IF(MOD(A46,12)=0,MIN(Tilgungsrechner!C10,MAX(0,C46-E46)),0)),"")</f>
        <v>0</v>
      </c>
      <c r="H46" s="33" t="str">
        <f aca="false">IFERROR(IF(C46="","",aufround(A46/12,0)),"")</f>
        <v/>
      </c>
    </row>
    <row r="47" customFormat="false" ht="15.75" hidden="false" customHeight="true" outlineLevel="0" collapsed="false">
      <c r="A47" s="29" t="n">
        <v>42</v>
      </c>
      <c r="B47" s="30" t="str">
        <f aca="false">IFERROR(edatum(datwert(Tilgungsrechner!C12),41),"")</f>
        <v/>
      </c>
      <c r="C47" s="31" t="n">
        <f aca="false">IF(F46&lt;=0,"",F46)</f>
        <v>212960.06</v>
      </c>
      <c r="D47" s="31" t="n">
        <f aca="false">IFERROR(IF(C47="","",ROUND(C47*Tilgungsrechner!C8/12,2)),"")</f>
        <v>621.13</v>
      </c>
      <c r="E47" s="31" t="n">
        <f aca="false">IFERROR(IF(C47="","",MIN(ROUND(Tilgungsrechner!F7-D47,2),C47)),"")</f>
        <v>524.7</v>
      </c>
      <c r="F47" s="31" t="n">
        <f aca="false">IFERROR(IF(C47="","",MAX(0, C47-E47-IF(MOD(A47,12)=0,Tilgungsrechner!C10,0))),"")</f>
        <v>212435.36</v>
      </c>
      <c r="G47" s="32" t="n">
        <f aca="false">IFERROR(IF(C47="","",IF(MOD(A47,12)=0,MIN(Tilgungsrechner!C10,MAX(0,C47-E47)),0)),"")</f>
        <v>0</v>
      </c>
      <c r="H47" s="33" t="str">
        <f aca="false">IFERROR(IF(C47="","",aufround(A47/12,0)),"")</f>
        <v/>
      </c>
    </row>
    <row r="48" customFormat="false" ht="15.75" hidden="false" customHeight="true" outlineLevel="0" collapsed="false">
      <c r="A48" s="29" t="n">
        <v>43</v>
      </c>
      <c r="B48" s="30" t="str">
        <f aca="false">IFERROR(edatum(datwert(Tilgungsrechner!C12),42),"")</f>
        <v/>
      </c>
      <c r="C48" s="31" t="n">
        <f aca="false">IF(F47&lt;=0,"",F47)</f>
        <v>212435.36</v>
      </c>
      <c r="D48" s="31" t="n">
        <f aca="false">IFERROR(IF(C48="","",ROUND(C48*Tilgungsrechner!C8/12,2)),"")</f>
        <v>619.6</v>
      </c>
      <c r="E48" s="31" t="n">
        <f aca="false">IFERROR(IF(C48="","",MIN(ROUND(Tilgungsrechner!F7-D48,2),C48)),"")</f>
        <v>526.23</v>
      </c>
      <c r="F48" s="31" t="n">
        <f aca="false">IFERROR(IF(C48="","",MAX(0, C48-E48-IF(MOD(A48,12)=0,Tilgungsrechner!C10,0))),"")</f>
        <v>211909.13</v>
      </c>
      <c r="G48" s="32" t="n">
        <f aca="false">IFERROR(IF(C48="","",IF(MOD(A48,12)=0,MIN(Tilgungsrechner!C10,MAX(0,C48-E48)),0)),"")</f>
        <v>0</v>
      </c>
      <c r="H48" s="33" t="str">
        <f aca="false">IFERROR(IF(C48="","",aufround(A48/12,0)),"")</f>
        <v/>
      </c>
    </row>
    <row r="49" customFormat="false" ht="15.75" hidden="false" customHeight="true" outlineLevel="0" collapsed="false">
      <c r="A49" s="29" t="n">
        <v>44</v>
      </c>
      <c r="B49" s="30" t="str">
        <f aca="false">IFERROR(edatum(datwert(Tilgungsrechner!C12),43),"")</f>
        <v/>
      </c>
      <c r="C49" s="31" t="n">
        <f aca="false">IF(F48&lt;=0,"",F48)</f>
        <v>211909.13</v>
      </c>
      <c r="D49" s="31" t="n">
        <f aca="false">IFERROR(IF(C49="","",ROUND(C49*Tilgungsrechner!C8/12,2)),"")</f>
        <v>618.07</v>
      </c>
      <c r="E49" s="31" t="n">
        <f aca="false">IFERROR(IF(C49="","",MIN(ROUND(Tilgungsrechner!F7-D49,2),C49)),"")</f>
        <v>527.76</v>
      </c>
      <c r="F49" s="31" t="n">
        <f aca="false">IFERROR(IF(C49="","",MAX(0, C49-E49-IF(MOD(A49,12)=0,Tilgungsrechner!C10,0))),"")</f>
        <v>211381.37</v>
      </c>
      <c r="G49" s="32" t="n">
        <f aca="false">IFERROR(IF(C49="","",IF(MOD(A49,12)=0,MIN(Tilgungsrechner!C10,MAX(0,C49-E49)),0)),"")</f>
        <v>0</v>
      </c>
      <c r="H49" s="33" t="str">
        <f aca="false">IFERROR(IF(C49="","",aufround(A49/12,0)),"")</f>
        <v/>
      </c>
    </row>
    <row r="50" customFormat="false" ht="15.75" hidden="false" customHeight="true" outlineLevel="0" collapsed="false">
      <c r="A50" s="29" t="n">
        <v>45</v>
      </c>
      <c r="B50" s="30" t="str">
        <f aca="false">IFERROR(edatum(datwert(Tilgungsrechner!C12),44),"")</f>
        <v/>
      </c>
      <c r="C50" s="31" t="n">
        <f aca="false">IF(F49&lt;=0,"",F49)</f>
        <v>211381.37</v>
      </c>
      <c r="D50" s="31" t="n">
        <f aca="false">IFERROR(IF(C50="","",ROUND(C50*Tilgungsrechner!C8/12,2)),"")</f>
        <v>616.53</v>
      </c>
      <c r="E50" s="31" t="n">
        <f aca="false">IFERROR(IF(C50="","",MIN(ROUND(Tilgungsrechner!F7-D50,2),C50)),"")</f>
        <v>529.3</v>
      </c>
      <c r="F50" s="31" t="n">
        <f aca="false">IFERROR(IF(C50="","",MAX(0, C50-E50-IF(MOD(A50,12)=0,Tilgungsrechner!C10,0))),"")</f>
        <v>210852.07</v>
      </c>
      <c r="G50" s="32" t="n">
        <f aca="false">IFERROR(IF(C50="","",IF(MOD(A50,12)=0,MIN(Tilgungsrechner!C10,MAX(0,C50-E50)),0)),"")</f>
        <v>0</v>
      </c>
      <c r="H50" s="33" t="str">
        <f aca="false">IFERROR(IF(C50="","",aufround(A50/12,0)),"")</f>
        <v/>
      </c>
    </row>
    <row r="51" customFormat="false" ht="15.75" hidden="false" customHeight="true" outlineLevel="0" collapsed="false">
      <c r="A51" s="29" t="n">
        <v>46</v>
      </c>
      <c r="B51" s="30" t="str">
        <f aca="false">IFERROR(edatum(datwert(Tilgungsrechner!C12),45),"")</f>
        <v/>
      </c>
      <c r="C51" s="31" t="n">
        <f aca="false">IF(F50&lt;=0,"",F50)</f>
        <v>210852.07</v>
      </c>
      <c r="D51" s="31" t="n">
        <f aca="false">IFERROR(IF(C51="","",ROUND(C51*Tilgungsrechner!C8/12,2)),"")</f>
        <v>614.99</v>
      </c>
      <c r="E51" s="31" t="n">
        <f aca="false">IFERROR(IF(C51="","",MIN(ROUND(Tilgungsrechner!F7-D51,2),C51)),"")</f>
        <v>530.84</v>
      </c>
      <c r="F51" s="31" t="n">
        <f aca="false">IFERROR(IF(C51="","",MAX(0, C51-E51-IF(MOD(A51,12)=0,Tilgungsrechner!C10,0))),"")</f>
        <v>210321.23</v>
      </c>
      <c r="G51" s="32" t="n">
        <f aca="false">IFERROR(IF(C51="","",IF(MOD(A51,12)=0,MIN(Tilgungsrechner!C10,MAX(0,C51-E51)),0)),"")</f>
        <v>0</v>
      </c>
      <c r="H51" s="33" t="str">
        <f aca="false">IFERROR(IF(C51="","",aufround(A51/12,0)),"")</f>
        <v/>
      </c>
    </row>
    <row r="52" customFormat="false" ht="15.75" hidden="false" customHeight="true" outlineLevel="0" collapsed="false">
      <c r="A52" s="29" t="n">
        <v>47</v>
      </c>
      <c r="B52" s="30" t="str">
        <f aca="false">IFERROR(edatum(datwert(Tilgungsrechner!C12),46),"")</f>
        <v/>
      </c>
      <c r="C52" s="31" t="n">
        <f aca="false">IF(F51&lt;=0,"",F51)</f>
        <v>210321.23</v>
      </c>
      <c r="D52" s="31" t="n">
        <f aca="false">IFERROR(IF(C52="","",ROUND(C52*Tilgungsrechner!C8/12,2)),"")</f>
        <v>613.44</v>
      </c>
      <c r="E52" s="31" t="n">
        <f aca="false">IFERROR(IF(C52="","",MIN(ROUND(Tilgungsrechner!F7-D52,2),C52)),"")</f>
        <v>532.39</v>
      </c>
      <c r="F52" s="31" t="n">
        <f aca="false">IFERROR(IF(C52="","",MAX(0, C52-E52-IF(MOD(A52,12)=0,Tilgungsrechner!C10,0))),"")</f>
        <v>209788.84</v>
      </c>
      <c r="G52" s="32" t="n">
        <f aca="false">IFERROR(IF(C52="","",IF(MOD(A52,12)=0,MIN(Tilgungsrechner!C10,MAX(0,C52-E52)),0)),"")</f>
        <v>0</v>
      </c>
      <c r="H52" s="33" t="str">
        <f aca="false">IFERROR(IF(C52="","",aufround(A52/12,0)),"")</f>
        <v/>
      </c>
    </row>
    <row r="53" customFormat="false" ht="15.75" hidden="false" customHeight="true" outlineLevel="0" collapsed="false">
      <c r="A53" s="29" t="n">
        <v>48</v>
      </c>
      <c r="B53" s="30" t="str">
        <f aca="false">IFERROR(edatum(datwert(Tilgungsrechner!C12),47),"")</f>
        <v/>
      </c>
      <c r="C53" s="31" t="n">
        <f aca="false">IF(F52&lt;=0,"",F52)</f>
        <v>209788.84</v>
      </c>
      <c r="D53" s="31" t="n">
        <f aca="false">IFERROR(IF(C53="","",ROUND(C53*Tilgungsrechner!C8/12,2)),"")</f>
        <v>611.88</v>
      </c>
      <c r="E53" s="31" t="n">
        <f aca="false">IFERROR(IF(C53="","",MIN(ROUND(Tilgungsrechner!F7-D53,2),C53)),"")</f>
        <v>533.95</v>
      </c>
      <c r="F53" s="31" t="n">
        <f aca="false">IFERROR(IF(C53="","",MAX(0, C53-E53-IF(MOD(A53,12)=0,Tilgungsrechner!C10,0))),"")</f>
        <v>203254.89</v>
      </c>
      <c r="G53" s="32" t="n">
        <f aca="false">IFERROR(IF(C53="","",IF(MOD(A53,12)=0,MIN(Tilgungsrechner!C10,MAX(0,C53-E53)),0)),"")</f>
        <v>6000</v>
      </c>
      <c r="H53" s="33" t="str">
        <f aca="false">IFERROR(IF(C53="","",aufround(A53/12,0)),"")</f>
        <v/>
      </c>
    </row>
    <row r="54" customFormat="false" ht="15.75" hidden="false" customHeight="true" outlineLevel="0" collapsed="false">
      <c r="A54" s="29" t="n">
        <v>49</v>
      </c>
      <c r="B54" s="30" t="str">
        <f aca="false">IFERROR(edatum(datwert(Tilgungsrechner!C12),48),"")</f>
        <v/>
      </c>
      <c r="C54" s="31" t="n">
        <f aca="false">IF(F53&lt;=0,"",F53)</f>
        <v>203254.89</v>
      </c>
      <c r="D54" s="31" t="n">
        <f aca="false">IFERROR(IF(C54="","",ROUND(C54*Tilgungsrechner!C8/12,2)),"")</f>
        <v>592.83</v>
      </c>
      <c r="E54" s="31" t="n">
        <f aca="false">IFERROR(IF(C54="","",MIN(ROUND(Tilgungsrechner!F7-D54,2),C54)),"")</f>
        <v>553</v>
      </c>
      <c r="F54" s="31" t="n">
        <f aca="false">IFERROR(IF(C54="","",MAX(0, C54-E54-IF(MOD(A54,12)=0,Tilgungsrechner!C10,0))),"")</f>
        <v>202701.89</v>
      </c>
      <c r="G54" s="32" t="n">
        <f aca="false">IFERROR(IF(C54="","",IF(MOD(A54,12)=0,MIN(Tilgungsrechner!C10,MAX(0,C54-E54)),0)),"")</f>
        <v>0</v>
      </c>
      <c r="H54" s="33" t="str">
        <f aca="false">IFERROR(IF(C54="","",aufround(A54/12,0)),"")</f>
        <v/>
      </c>
    </row>
    <row r="55" customFormat="false" ht="15.75" hidden="false" customHeight="true" outlineLevel="0" collapsed="false">
      <c r="A55" s="29" t="n">
        <v>50</v>
      </c>
      <c r="B55" s="30" t="str">
        <f aca="false">IFERROR(edatum(datwert(Tilgungsrechner!C12),49),"")</f>
        <v/>
      </c>
      <c r="C55" s="31" t="n">
        <f aca="false">IF(F54&lt;=0,"",F54)</f>
        <v>202701.89</v>
      </c>
      <c r="D55" s="31" t="n">
        <f aca="false">IFERROR(IF(C55="","",ROUND(C55*Tilgungsrechner!C8/12,2)),"")</f>
        <v>591.21</v>
      </c>
      <c r="E55" s="31" t="n">
        <f aca="false">IFERROR(IF(C55="","",MIN(ROUND(Tilgungsrechner!F7-D55,2),C55)),"")</f>
        <v>554.62</v>
      </c>
      <c r="F55" s="31" t="n">
        <f aca="false">IFERROR(IF(C55="","",MAX(0, C55-E55-IF(MOD(A55,12)=0,Tilgungsrechner!C10,0))),"")</f>
        <v>202147.27</v>
      </c>
      <c r="G55" s="32" t="n">
        <f aca="false">IFERROR(IF(C55="","",IF(MOD(A55,12)=0,MIN(Tilgungsrechner!C10,MAX(0,C55-E55)),0)),"")</f>
        <v>0</v>
      </c>
      <c r="H55" s="33" t="str">
        <f aca="false">IFERROR(IF(C55="","",aufround(A55/12,0)),"")</f>
        <v/>
      </c>
    </row>
    <row r="56" customFormat="false" ht="15.75" hidden="false" customHeight="true" outlineLevel="0" collapsed="false">
      <c r="A56" s="29" t="n">
        <v>51</v>
      </c>
      <c r="B56" s="30" t="str">
        <f aca="false">IFERROR(edatum(datwert(Tilgungsrechner!C12),50),"")</f>
        <v/>
      </c>
      <c r="C56" s="31" t="n">
        <f aca="false">IF(F55&lt;=0,"",F55)</f>
        <v>202147.27</v>
      </c>
      <c r="D56" s="31" t="n">
        <f aca="false">IFERROR(IF(C56="","",ROUND(C56*Tilgungsrechner!C8/12,2)),"")</f>
        <v>589.6</v>
      </c>
      <c r="E56" s="31" t="n">
        <f aca="false">IFERROR(IF(C56="","",MIN(ROUND(Tilgungsrechner!F7-D56,2),C56)),"")</f>
        <v>556.23</v>
      </c>
      <c r="F56" s="31" t="n">
        <f aca="false">IFERROR(IF(C56="","",MAX(0, C56-E56-IF(MOD(A56,12)=0,Tilgungsrechner!C10,0))),"")</f>
        <v>201591.04</v>
      </c>
      <c r="G56" s="32" t="n">
        <f aca="false">IFERROR(IF(C56="","",IF(MOD(A56,12)=0,MIN(Tilgungsrechner!C10,MAX(0,C56-E56)),0)),"")</f>
        <v>0</v>
      </c>
      <c r="H56" s="33" t="str">
        <f aca="false">IFERROR(IF(C56="","",aufround(A56/12,0)),"")</f>
        <v/>
      </c>
    </row>
    <row r="57" customFormat="false" ht="15.75" hidden="false" customHeight="true" outlineLevel="0" collapsed="false">
      <c r="A57" s="29" t="n">
        <v>52</v>
      </c>
      <c r="B57" s="30" t="str">
        <f aca="false">IFERROR(edatum(datwert(Tilgungsrechner!C12),51),"")</f>
        <v/>
      </c>
      <c r="C57" s="31" t="n">
        <f aca="false">IF(F56&lt;=0,"",F56)</f>
        <v>201591.04</v>
      </c>
      <c r="D57" s="31" t="n">
        <f aca="false">IFERROR(IF(C57="","",ROUND(C57*Tilgungsrechner!C8/12,2)),"")</f>
        <v>587.97</v>
      </c>
      <c r="E57" s="31" t="n">
        <f aca="false">IFERROR(IF(C57="","",MIN(ROUND(Tilgungsrechner!F7-D57,2),C57)),"")</f>
        <v>557.86</v>
      </c>
      <c r="F57" s="31" t="n">
        <f aca="false">IFERROR(IF(C57="","",MAX(0, C57-E57-IF(MOD(A57,12)=0,Tilgungsrechner!C10,0))),"")</f>
        <v>201033.18</v>
      </c>
      <c r="G57" s="32" t="n">
        <f aca="false">IFERROR(IF(C57="","",IF(MOD(A57,12)=0,MIN(Tilgungsrechner!C10,MAX(0,C57-E57)),0)),"")</f>
        <v>0</v>
      </c>
      <c r="H57" s="33" t="str">
        <f aca="false">IFERROR(IF(C57="","",aufround(A57/12,0)),"")</f>
        <v/>
      </c>
    </row>
    <row r="58" customFormat="false" ht="15.75" hidden="false" customHeight="true" outlineLevel="0" collapsed="false">
      <c r="A58" s="29" t="n">
        <v>53</v>
      </c>
      <c r="B58" s="30" t="str">
        <f aca="false">IFERROR(edatum(datwert(Tilgungsrechner!C12),52),"")</f>
        <v/>
      </c>
      <c r="C58" s="31" t="n">
        <f aca="false">IF(F57&lt;=0,"",F57)</f>
        <v>201033.18</v>
      </c>
      <c r="D58" s="31" t="n">
        <f aca="false">IFERROR(IF(C58="","",ROUND(C58*Tilgungsrechner!C8/12,2)),"")</f>
        <v>586.35</v>
      </c>
      <c r="E58" s="31" t="n">
        <f aca="false">IFERROR(IF(C58="","",MIN(ROUND(Tilgungsrechner!F7-D58,2),C58)),"")</f>
        <v>559.48</v>
      </c>
      <c r="F58" s="31" t="n">
        <f aca="false">IFERROR(IF(C58="","",MAX(0, C58-E58-IF(MOD(A58,12)=0,Tilgungsrechner!C10,0))),"")</f>
        <v>200473.7</v>
      </c>
      <c r="G58" s="32" t="n">
        <f aca="false">IFERROR(IF(C58="","",IF(MOD(A58,12)=0,MIN(Tilgungsrechner!C10,MAX(0,C58-E58)),0)),"")</f>
        <v>0</v>
      </c>
      <c r="H58" s="33" t="str">
        <f aca="false">IFERROR(IF(C58="","",aufround(A58/12,0)),"")</f>
        <v/>
      </c>
    </row>
    <row r="59" customFormat="false" ht="15.75" hidden="false" customHeight="true" outlineLevel="0" collapsed="false">
      <c r="A59" s="29" t="n">
        <v>54</v>
      </c>
      <c r="B59" s="30" t="str">
        <f aca="false">IFERROR(edatum(datwert(Tilgungsrechner!C12),53),"")</f>
        <v/>
      </c>
      <c r="C59" s="31" t="n">
        <f aca="false">IF(F58&lt;=0,"",F58)</f>
        <v>200473.7</v>
      </c>
      <c r="D59" s="31" t="n">
        <f aca="false">IFERROR(IF(C59="","",ROUND(C59*Tilgungsrechner!C8/12,2)),"")</f>
        <v>584.71</v>
      </c>
      <c r="E59" s="31" t="n">
        <f aca="false">IFERROR(IF(C59="","",MIN(ROUND(Tilgungsrechner!F7-D59,2),C59)),"")</f>
        <v>561.12</v>
      </c>
      <c r="F59" s="31" t="n">
        <f aca="false">IFERROR(IF(C59="","",MAX(0, C59-E59-IF(MOD(A59,12)=0,Tilgungsrechner!C10,0))),"")</f>
        <v>199912.58</v>
      </c>
      <c r="G59" s="32" t="n">
        <f aca="false">IFERROR(IF(C59="","",IF(MOD(A59,12)=0,MIN(Tilgungsrechner!C10,MAX(0,C59-E59)),0)),"")</f>
        <v>0</v>
      </c>
      <c r="H59" s="33" t="str">
        <f aca="false">IFERROR(IF(C59="","",aufround(A59/12,0)),"")</f>
        <v/>
      </c>
    </row>
    <row r="60" customFormat="false" ht="15.75" hidden="false" customHeight="true" outlineLevel="0" collapsed="false">
      <c r="A60" s="29" t="n">
        <v>55</v>
      </c>
      <c r="B60" s="30" t="str">
        <f aca="false">IFERROR(edatum(datwert(Tilgungsrechner!C12),54),"")</f>
        <v/>
      </c>
      <c r="C60" s="31" t="n">
        <f aca="false">IF(F59&lt;=0,"",F59)</f>
        <v>199912.58</v>
      </c>
      <c r="D60" s="31" t="n">
        <f aca="false">IFERROR(IF(C60="","",ROUND(C60*Tilgungsrechner!C8/12,2)),"")</f>
        <v>583.08</v>
      </c>
      <c r="E60" s="31" t="n">
        <f aca="false">IFERROR(IF(C60="","",MIN(ROUND(Tilgungsrechner!F7-D60,2),C60)),"")</f>
        <v>562.75</v>
      </c>
      <c r="F60" s="31" t="n">
        <f aca="false">IFERROR(IF(C60="","",MAX(0, C60-E60-IF(MOD(A60,12)=0,Tilgungsrechner!C10,0))),"")</f>
        <v>199349.83</v>
      </c>
      <c r="G60" s="32" t="n">
        <f aca="false">IFERROR(IF(C60="","",IF(MOD(A60,12)=0,MIN(Tilgungsrechner!C10,MAX(0,C60-E60)),0)),"")</f>
        <v>0</v>
      </c>
      <c r="H60" s="33" t="str">
        <f aca="false">IFERROR(IF(C60="","",aufround(A60/12,0)),"")</f>
        <v/>
      </c>
    </row>
    <row r="61" customFormat="false" ht="15.75" hidden="false" customHeight="true" outlineLevel="0" collapsed="false">
      <c r="A61" s="29" t="n">
        <v>56</v>
      </c>
      <c r="B61" s="30" t="str">
        <f aca="false">IFERROR(edatum(datwert(Tilgungsrechner!C12),55),"")</f>
        <v/>
      </c>
      <c r="C61" s="31" t="n">
        <f aca="false">IF(F60&lt;=0,"",F60)</f>
        <v>199349.83</v>
      </c>
      <c r="D61" s="31" t="n">
        <f aca="false">IFERROR(IF(C61="","",ROUND(C61*Tilgungsrechner!C8/12,2)),"")</f>
        <v>581.44</v>
      </c>
      <c r="E61" s="31" t="n">
        <f aca="false">IFERROR(IF(C61="","",MIN(ROUND(Tilgungsrechner!F7-D61,2),C61)),"")</f>
        <v>564.39</v>
      </c>
      <c r="F61" s="31" t="n">
        <f aca="false">IFERROR(IF(C61="","",MAX(0, C61-E61-IF(MOD(A61,12)=0,Tilgungsrechner!C10,0))),"")</f>
        <v>198785.44</v>
      </c>
      <c r="G61" s="32" t="n">
        <f aca="false">IFERROR(IF(C61="","",IF(MOD(A61,12)=0,MIN(Tilgungsrechner!C10,MAX(0,C61-E61)),0)),"")</f>
        <v>0</v>
      </c>
      <c r="H61" s="33" t="str">
        <f aca="false">IFERROR(IF(C61="","",aufround(A61/12,0)),"")</f>
        <v/>
      </c>
    </row>
    <row r="62" customFormat="false" ht="15.75" hidden="false" customHeight="true" outlineLevel="0" collapsed="false">
      <c r="A62" s="29" t="n">
        <v>57</v>
      </c>
      <c r="B62" s="30" t="str">
        <f aca="false">IFERROR(edatum(datwert(Tilgungsrechner!C12),56),"")</f>
        <v/>
      </c>
      <c r="C62" s="31" t="n">
        <f aca="false">IF(F61&lt;=0,"",F61)</f>
        <v>198785.44</v>
      </c>
      <c r="D62" s="31" t="n">
        <f aca="false">IFERROR(IF(C62="","",ROUND(C62*Tilgungsrechner!C8/12,2)),"")</f>
        <v>579.79</v>
      </c>
      <c r="E62" s="31" t="n">
        <f aca="false">IFERROR(IF(C62="","",MIN(ROUND(Tilgungsrechner!F7-D62,2),C62)),"")</f>
        <v>566.04</v>
      </c>
      <c r="F62" s="31" t="n">
        <f aca="false">IFERROR(IF(C62="","",MAX(0, C62-E62-IF(MOD(A62,12)=0,Tilgungsrechner!C10,0))),"")</f>
        <v>198219.4</v>
      </c>
      <c r="G62" s="32" t="n">
        <f aca="false">IFERROR(IF(C62="","",IF(MOD(A62,12)=0,MIN(Tilgungsrechner!C10,MAX(0,C62-E62)),0)),"")</f>
        <v>0</v>
      </c>
      <c r="H62" s="33" t="str">
        <f aca="false">IFERROR(IF(C62="","",aufround(A62/12,0)),"")</f>
        <v/>
      </c>
    </row>
    <row r="63" customFormat="false" ht="15.75" hidden="false" customHeight="true" outlineLevel="0" collapsed="false">
      <c r="A63" s="29" t="n">
        <v>58</v>
      </c>
      <c r="B63" s="30" t="str">
        <f aca="false">IFERROR(edatum(datwert(Tilgungsrechner!C12),57),"")</f>
        <v/>
      </c>
      <c r="C63" s="31" t="n">
        <f aca="false">IF(F62&lt;=0,"",F62)</f>
        <v>198219.4</v>
      </c>
      <c r="D63" s="31" t="n">
        <f aca="false">IFERROR(IF(C63="","",ROUND(C63*Tilgungsrechner!C8/12,2)),"")</f>
        <v>578.14</v>
      </c>
      <c r="E63" s="31" t="n">
        <f aca="false">IFERROR(IF(C63="","",MIN(ROUND(Tilgungsrechner!F7-D63,2),C63)),"")</f>
        <v>567.69</v>
      </c>
      <c r="F63" s="31" t="n">
        <f aca="false">IFERROR(IF(C63="","",MAX(0, C63-E63-IF(MOD(A63,12)=0,Tilgungsrechner!C10,0))),"")</f>
        <v>197651.71</v>
      </c>
      <c r="G63" s="32" t="n">
        <f aca="false">IFERROR(IF(C63="","",IF(MOD(A63,12)=0,MIN(Tilgungsrechner!C10,MAX(0,C63-E63)),0)),"")</f>
        <v>0</v>
      </c>
      <c r="H63" s="33" t="str">
        <f aca="false">IFERROR(IF(C63="","",aufround(A63/12,0)),"")</f>
        <v/>
      </c>
    </row>
    <row r="64" customFormat="false" ht="15.75" hidden="false" customHeight="true" outlineLevel="0" collapsed="false">
      <c r="A64" s="29" t="n">
        <v>59</v>
      </c>
      <c r="B64" s="30" t="str">
        <f aca="false">IFERROR(edatum(datwert(Tilgungsrechner!C12),58),"")</f>
        <v/>
      </c>
      <c r="C64" s="31" t="n">
        <f aca="false">IF(F63&lt;=0,"",F63)</f>
        <v>197651.71</v>
      </c>
      <c r="D64" s="31" t="n">
        <f aca="false">IFERROR(IF(C64="","",ROUND(C64*Tilgungsrechner!C8/12,2)),"")</f>
        <v>576.48</v>
      </c>
      <c r="E64" s="31" t="n">
        <f aca="false">IFERROR(IF(C64="","",MIN(ROUND(Tilgungsrechner!F7-D64,2),C64)),"")</f>
        <v>569.35</v>
      </c>
      <c r="F64" s="31" t="n">
        <f aca="false">IFERROR(IF(C64="","",MAX(0, C64-E64-IF(MOD(A64,12)=0,Tilgungsrechner!C10,0))),"")</f>
        <v>197082.36</v>
      </c>
      <c r="G64" s="32" t="n">
        <f aca="false">IFERROR(IF(C64="","",IF(MOD(A64,12)=0,MIN(Tilgungsrechner!C10,MAX(0,C64-E64)),0)),"")</f>
        <v>0</v>
      </c>
      <c r="H64" s="33" t="str">
        <f aca="false">IFERROR(IF(C64="","",aufround(A64/12,0)),"")</f>
        <v/>
      </c>
    </row>
    <row r="65" customFormat="false" ht="15.75" hidden="false" customHeight="true" outlineLevel="0" collapsed="false">
      <c r="A65" s="29" t="n">
        <v>60</v>
      </c>
      <c r="B65" s="30" t="str">
        <f aca="false">IFERROR(edatum(datwert(Tilgungsrechner!C12),59),"")</f>
        <v/>
      </c>
      <c r="C65" s="31" t="n">
        <f aca="false">IF(F64&lt;=0,"",F64)</f>
        <v>197082.36</v>
      </c>
      <c r="D65" s="31" t="n">
        <f aca="false">IFERROR(IF(C65="","",ROUND(C65*Tilgungsrechner!C8/12,2)),"")</f>
        <v>574.82</v>
      </c>
      <c r="E65" s="31" t="n">
        <f aca="false">IFERROR(IF(C65="","",MIN(ROUND(Tilgungsrechner!F7-D65,2),C65)),"")</f>
        <v>571.01</v>
      </c>
      <c r="F65" s="31" t="n">
        <f aca="false">IFERROR(IF(C65="","",MAX(0, C65-E65-IF(MOD(A65,12)=0,Tilgungsrechner!C10,0))),"")</f>
        <v>190511.35</v>
      </c>
      <c r="G65" s="32" t="n">
        <f aca="false">IFERROR(IF(C65="","",IF(MOD(A65,12)=0,MIN(Tilgungsrechner!C10,MAX(0,C65-E65)),0)),"")</f>
        <v>6000</v>
      </c>
      <c r="H65" s="33" t="str">
        <f aca="false">IFERROR(IF(C65="","",aufround(A65/12,0)),"")</f>
        <v/>
      </c>
    </row>
    <row r="66" customFormat="false" ht="15.75" hidden="false" customHeight="true" outlineLevel="0" collapsed="false">
      <c r="A66" s="29" t="n">
        <v>61</v>
      </c>
      <c r="B66" s="30" t="str">
        <f aca="false">IFERROR(edatum(datwert(Tilgungsrechner!C12),60),"")</f>
        <v/>
      </c>
      <c r="C66" s="31" t="n">
        <f aca="false">IF(F65&lt;=0,"",F65)</f>
        <v>190511.35</v>
      </c>
      <c r="D66" s="31" t="n">
        <f aca="false">IFERROR(IF(C66="","",ROUND(C66*Tilgungsrechner!C8/12,2)),"")</f>
        <v>555.66</v>
      </c>
      <c r="E66" s="31" t="n">
        <f aca="false">IFERROR(IF(C66="","",MIN(ROUND(Tilgungsrechner!F7-D66,2),C66)),"")</f>
        <v>590.17</v>
      </c>
      <c r="F66" s="31" t="n">
        <f aca="false">IFERROR(IF(C66="","",MAX(0, C66-E66-IF(MOD(A66,12)=0,Tilgungsrechner!C10,0))),"")</f>
        <v>189921.18</v>
      </c>
      <c r="G66" s="32" t="n">
        <f aca="false">IFERROR(IF(C66="","",IF(MOD(A66,12)=0,MIN(Tilgungsrechner!C10,MAX(0,C66-E66)),0)),"")</f>
        <v>0</v>
      </c>
      <c r="H66" s="33" t="str">
        <f aca="false">IFERROR(IF(C66="","",aufround(A66/12,0)),"")</f>
        <v/>
      </c>
    </row>
    <row r="67" customFormat="false" ht="15.75" hidden="false" customHeight="true" outlineLevel="0" collapsed="false">
      <c r="A67" s="29" t="n">
        <v>62</v>
      </c>
      <c r="B67" s="30" t="str">
        <f aca="false">IFERROR(edatum(datwert(Tilgungsrechner!C12),61),"")</f>
        <v/>
      </c>
      <c r="C67" s="31" t="n">
        <f aca="false">IF(F66&lt;=0,"",F66)</f>
        <v>189921.18</v>
      </c>
      <c r="D67" s="31" t="n">
        <f aca="false">IFERROR(IF(C67="","",ROUND(C67*Tilgungsrechner!C8/12,2)),"")</f>
        <v>553.94</v>
      </c>
      <c r="E67" s="31" t="n">
        <f aca="false">IFERROR(IF(C67="","",MIN(ROUND(Tilgungsrechner!F7-D67,2),C67)),"")</f>
        <v>591.89</v>
      </c>
      <c r="F67" s="31" t="n">
        <f aca="false">IFERROR(IF(C67="","",MAX(0, C67-E67-IF(MOD(A67,12)=0,Tilgungsrechner!C10,0))),"")</f>
        <v>189329.29</v>
      </c>
      <c r="G67" s="32" t="n">
        <f aca="false">IFERROR(IF(C67="","",IF(MOD(A67,12)=0,MIN(Tilgungsrechner!C10,MAX(0,C67-E67)),0)),"")</f>
        <v>0</v>
      </c>
      <c r="H67" s="33" t="str">
        <f aca="false">IFERROR(IF(C67="","",aufround(A67/12,0)),"")</f>
        <v/>
      </c>
    </row>
    <row r="68" customFormat="false" ht="15.75" hidden="false" customHeight="true" outlineLevel="0" collapsed="false">
      <c r="A68" s="29" t="n">
        <v>63</v>
      </c>
      <c r="B68" s="30" t="str">
        <f aca="false">IFERROR(edatum(datwert(Tilgungsrechner!C12),62),"")</f>
        <v/>
      </c>
      <c r="C68" s="31" t="n">
        <f aca="false">IF(F67&lt;=0,"",F67)</f>
        <v>189329.29</v>
      </c>
      <c r="D68" s="31" t="n">
        <f aca="false">IFERROR(IF(C68="","",ROUND(C68*Tilgungsrechner!C8/12,2)),"")</f>
        <v>552.21</v>
      </c>
      <c r="E68" s="31" t="n">
        <f aca="false">IFERROR(IF(C68="","",MIN(ROUND(Tilgungsrechner!F7-D68,2),C68)),"")</f>
        <v>593.62</v>
      </c>
      <c r="F68" s="31" t="n">
        <f aca="false">IFERROR(IF(C68="","",MAX(0, C68-E68-IF(MOD(A68,12)=0,Tilgungsrechner!C10,0))),"")</f>
        <v>188735.67</v>
      </c>
      <c r="G68" s="32" t="n">
        <f aca="false">IFERROR(IF(C68="","",IF(MOD(A68,12)=0,MIN(Tilgungsrechner!C10,MAX(0,C68-E68)),0)),"")</f>
        <v>0</v>
      </c>
      <c r="H68" s="33" t="str">
        <f aca="false">IFERROR(IF(C68="","",aufround(A68/12,0)),"")</f>
        <v/>
      </c>
    </row>
    <row r="69" customFormat="false" ht="15.75" hidden="false" customHeight="true" outlineLevel="0" collapsed="false">
      <c r="A69" s="29" t="n">
        <v>64</v>
      </c>
      <c r="B69" s="30" t="str">
        <f aca="false">IFERROR(edatum(datwert(Tilgungsrechner!C12),63),"")</f>
        <v/>
      </c>
      <c r="C69" s="31" t="n">
        <f aca="false">IF(F68&lt;=0,"",F68)</f>
        <v>188735.67</v>
      </c>
      <c r="D69" s="31" t="n">
        <f aca="false">IFERROR(IF(C69="","",ROUND(C69*Tilgungsrechner!C8/12,2)),"")</f>
        <v>550.48</v>
      </c>
      <c r="E69" s="31" t="n">
        <f aca="false">IFERROR(IF(C69="","",MIN(ROUND(Tilgungsrechner!F7-D69,2),C69)),"")</f>
        <v>595.35</v>
      </c>
      <c r="F69" s="31" t="n">
        <f aca="false">IFERROR(IF(C69="","",MAX(0, C69-E69-IF(MOD(A69,12)=0,Tilgungsrechner!C10,0))),"")</f>
        <v>188140.32</v>
      </c>
      <c r="G69" s="32" t="n">
        <f aca="false">IFERROR(IF(C69="","",IF(MOD(A69,12)=0,MIN(Tilgungsrechner!C10,MAX(0,C69-E69)),0)),"")</f>
        <v>0</v>
      </c>
      <c r="H69" s="33" t="str">
        <f aca="false">IFERROR(IF(C69="","",aufround(A69/12,0)),"")</f>
        <v/>
      </c>
    </row>
    <row r="70" customFormat="false" ht="15.75" hidden="false" customHeight="true" outlineLevel="0" collapsed="false">
      <c r="A70" s="29" t="n">
        <v>65</v>
      </c>
      <c r="B70" s="30" t="str">
        <f aca="false">IFERROR(edatum(datwert(Tilgungsrechner!C12),64),"")</f>
        <v/>
      </c>
      <c r="C70" s="31" t="n">
        <f aca="false">IF(F69&lt;=0,"",F69)</f>
        <v>188140.32</v>
      </c>
      <c r="D70" s="31" t="n">
        <f aca="false">IFERROR(IF(C70="","",ROUND(C70*Tilgungsrechner!C8/12,2)),"")</f>
        <v>548.74</v>
      </c>
      <c r="E70" s="31" t="n">
        <f aca="false">IFERROR(IF(C70="","",MIN(ROUND(Tilgungsrechner!F7-D70,2),C70)),"")</f>
        <v>597.09</v>
      </c>
      <c r="F70" s="31" t="n">
        <f aca="false">IFERROR(IF(C70="","",MAX(0, C70-E70-IF(MOD(A70,12)=0,Tilgungsrechner!C10,0))),"")</f>
        <v>187543.23</v>
      </c>
      <c r="G70" s="32" t="n">
        <f aca="false">IFERROR(IF(C70="","",IF(MOD(A70,12)=0,MIN(Tilgungsrechner!C10,MAX(0,C70-E70)),0)),"")</f>
        <v>0</v>
      </c>
      <c r="H70" s="33" t="str">
        <f aca="false">IFERROR(IF(C70="","",aufround(A70/12,0)),"")</f>
        <v/>
      </c>
    </row>
    <row r="71" customFormat="false" ht="15.75" hidden="false" customHeight="true" outlineLevel="0" collapsed="false">
      <c r="A71" s="29" t="n">
        <v>66</v>
      </c>
      <c r="B71" s="30" t="str">
        <f aca="false">IFERROR(edatum(datwert(Tilgungsrechner!C12),65),"")</f>
        <v/>
      </c>
      <c r="C71" s="31" t="n">
        <f aca="false">IF(F70&lt;=0,"",F70)</f>
        <v>187543.23</v>
      </c>
      <c r="D71" s="31" t="n">
        <f aca="false">IFERROR(IF(C71="","",ROUND(C71*Tilgungsrechner!C8/12,2)),"")</f>
        <v>547</v>
      </c>
      <c r="E71" s="31" t="n">
        <f aca="false">IFERROR(IF(C71="","",MIN(ROUND(Tilgungsrechner!F7-D71,2),C71)),"")</f>
        <v>598.83</v>
      </c>
      <c r="F71" s="31" t="n">
        <f aca="false">IFERROR(IF(C71="","",MAX(0, C71-E71-IF(MOD(A71,12)=0,Tilgungsrechner!C10,0))),"")</f>
        <v>186944.4</v>
      </c>
      <c r="G71" s="32" t="n">
        <f aca="false">IFERROR(IF(C71="","",IF(MOD(A71,12)=0,MIN(Tilgungsrechner!C10,MAX(0,C71-E71)),0)),"")</f>
        <v>0</v>
      </c>
      <c r="H71" s="33" t="str">
        <f aca="false">IFERROR(IF(C71="","",aufround(A71/12,0)),"")</f>
        <v/>
      </c>
    </row>
    <row r="72" customFormat="false" ht="15.75" hidden="false" customHeight="true" outlineLevel="0" collapsed="false">
      <c r="A72" s="29" t="n">
        <v>67</v>
      </c>
      <c r="B72" s="30" t="str">
        <f aca="false">IFERROR(edatum(datwert(Tilgungsrechner!C12),66),"")</f>
        <v/>
      </c>
      <c r="C72" s="31" t="n">
        <f aca="false">IF(F71&lt;=0,"",F71)</f>
        <v>186944.4</v>
      </c>
      <c r="D72" s="31" t="n">
        <f aca="false">IFERROR(IF(C72="","",ROUND(C72*Tilgungsrechner!C8/12,2)),"")</f>
        <v>545.25</v>
      </c>
      <c r="E72" s="31" t="n">
        <f aca="false">IFERROR(IF(C72="","",MIN(ROUND(Tilgungsrechner!F7-D72,2),C72)),"")</f>
        <v>600.58</v>
      </c>
      <c r="F72" s="31" t="n">
        <f aca="false">IFERROR(IF(C72="","",MAX(0, C72-E72-IF(MOD(A72,12)=0,Tilgungsrechner!C10,0))),"")</f>
        <v>186343.82</v>
      </c>
      <c r="G72" s="32" t="n">
        <f aca="false">IFERROR(IF(C72="","",IF(MOD(A72,12)=0,MIN(Tilgungsrechner!C10,MAX(0,C72-E72)),0)),"")</f>
        <v>0</v>
      </c>
      <c r="H72" s="33" t="str">
        <f aca="false">IFERROR(IF(C72="","",aufround(A72/12,0)),"")</f>
        <v/>
      </c>
    </row>
    <row r="73" customFormat="false" ht="15.75" hidden="false" customHeight="true" outlineLevel="0" collapsed="false">
      <c r="A73" s="29" t="n">
        <v>68</v>
      </c>
      <c r="B73" s="30" t="str">
        <f aca="false">IFERROR(edatum(datwert(Tilgungsrechner!C12),67),"")</f>
        <v/>
      </c>
      <c r="C73" s="31" t="n">
        <f aca="false">IF(F72&lt;=0,"",F72)</f>
        <v>186343.82</v>
      </c>
      <c r="D73" s="31" t="n">
        <f aca="false">IFERROR(IF(C73="","",ROUND(C73*Tilgungsrechner!C8/12,2)),"")</f>
        <v>543.5</v>
      </c>
      <c r="E73" s="31" t="n">
        <f aca="false">IFERROR(IF(C73="","",MIN(ROUND(Tilgungsrechner!F7-D73,2),C73)),"")</f>
        <v>602.33</v>
      </c>
      <c r="F73" s="31" t="n">
        <f aca="false">IFERROR(IF(C73="","",MAX(0, C73-E73-IF(MOD(A73,12)=0,Tilgungsrechner!C10,0))),"")</f>
        <v>185741.49</v>
      </c>
      <c r="G73" s="32" t="n">
        <f aca="false">IFERROR(IF(C73="","",IF(MOD(A73,12)=0,MIN(Tilgungsrechner!C10,MAX(0,C73-E73)),0)),"")</f>
        <v>0</v>
      </c>
      <c r="H73" s="33" t="str">
        <f aca="false">IFERROR(IF(C73="","",aufround(A73/12,0)),"")</f>
        <v/>
      </c>
    </row>
    <row r="74" customFormat="false" ht="15.75" hidden="false" customHeight="true" outlineLevel="0" collapsed="false">
      <c r="A74" s="29" t="n">
        <v>69</v>
      </c>
      <c r="B74" s="30" t="str">
        <f aca="false">IFERROR(edatum(datwert(Tilgungsrechner!C12),68),"")</f>
        <v/>
      </c>
      <c r="C74" s="31" t="n">
        <f aca="false">IF(F73&lt;=0,"",F73)</f>
        <v>185741.49</v>
      </c>
      <c r="D74" s="31" t="n">
        <f aca="false">IFERROR(IF(C74="","",ROUND(C74*Tilgungsrechner!C8/12,2)),"")</f>
        <v>541.75</v>
      </c>
      <c r="E74" s="31" t="n">
        <f aca="false">IFERROR(IF(C74="","",MIN(ROUND(Tilgungsrechner!F7-D74,2),C74)),"")</f>
        <v>604.08</v>
      </c>
      <c r="F74" s="31" t="n">
        <f aca="false">IFERROR(IF(C74="","",MAX(0, C74-E74-IF(MOD(A74,12)=0,Tilgungsrechner!C10,0))),"")</f>
        <v>185137.41</v>
      </c>
      <c r="G74" s="32" t="n">
        <f aca="false">IFERROR(IF(C74="","",IF(MOD(A74,12)=0,MIN(Tilgungsrechner!C10,MAX(0,C74-E74)),0)),"")</f>
        <v>0</v>
      </c>
      <c r="H74" s="33" t="str">
        <f aca="false">IFERROR(IF(C74="","",aufround(A74/12,0)),"")</f>
        <v/>
      </c>
    </row>
    <row r="75" customFormat="false" ht="15.75" hidden="false" customHeight="true" outlineLevel="0" collapsed="false">
      <c r="A75" s="29" t="n">
        <v>70</v>
      </c>
      <c r="B75" s="30" t="str">
        <f aca="false">IFERROR(edatum(datwert(Tilgungsrechner!C12),69),"")</f>
        <v/>
      </c>
      <c r="C75" s="31" t="n">
        <f aca="false">IF(F74&lt;=0,"",F74)</f>
        <v>185137.41</v>
      </c>
      <c r="D75" s="31" t="n">
        <f aca="false">IFERROR(IF(C75="","",ROUND(C75*Tilgungsrechner!C8/12,2)),"")</f>
        <v>539.98</v>
      </c>
      <c r="E75" s="31" t="n">
        <f aca="false">IFERROR(IF(C75="","",MIN(ROUND(Tilgungsrechner!F7-D75,2),C75)),"")</f>
        <v>605.85</v>
      </c>
      <c r="F75" s="31" t="n">
        <f aca="false">IFERROR(IF(C75="","",MAX(0, C75-E75-IF(MOD(A75,12)=0,Tilgungsrechner!C10,0))),"")</f>
        <v>184531.56</v>
      </c>
      <c r="G75" s="32" t="n">
        <f aca="false">IFERROR(IF(C75="","",IF(MOD(A75,12)=0,MIN(Tilgungsrechner!C10,MAX(0,C75-E75)),0)),"")</f>
        <v>0</v>
      </c>
      <c r="H75" s="33" t="str">
        <f aca="false">IFERROR(IF(C75="","",aufround(A75/12,0)),"")</f>
        <v/>
      </c>
    </row>
    <row r="76" customFormat="false" ht="15.75" hidden="false" customHeight="true" outlineLevel="0" collapsed="false">
      <c r="A76" s="29" t="n">
        <v>71</v>
      </c>
      <c r="B76" s="30" t="str">
        <f aca="false">IFERROR(edatum(datwert(Tilgungsrechner!C12),70),"")</f>
        <v/>
      </c>
      <c r="C76" s="31" t="n">
        <f aca="false">IF(F75&lt;=0,"",F75)</f>
        <v>184531.56</v>
      </c>
      <c r="D76" s="31" t="n">
        <f aca="false">IFERROR(IF(C76="","",ROUND(C76*Tilgungsrechner!C8/12,2)),"")</f>
        <v>538.22</v>
      </c>
      <c r="E76" s="31" t="n">
        <f aca="false">IFERROR(IF(C76="","",MIN(ROUND(Tilgungsrechner!F7-D76,2),C76)),"")</f>
        <v>607.61</v>
      </c>
      <c r="F76" s="31" t="n">
        <f aca="false">IFERROR(IF(C76="","",MAX(0, C76-E76-IF(MOD(A76,12)=0,Tilgungsrechner!C10,0))),"")</f>
        <v>183923.95</v>
      </c>
      <c r="G76" s="32" t="n">
        <f aca="false">IFERROR(IF(C76="","",IF(MOD(A76,12)=0,MIN(Tilgungsrechner!C10,MAX(0,C76-E76)),0)),"")</f>
        <v>0</v>
      </c>
      <c r="H76" s="33" t="str">
        <f aca="false">IFERROR(IF(C76="","",aufround(A76/12,0)),"")</f>
        <v/>
      </c>
    </row>
    <row r="77" customFormat="false" ht="15.75" hidden="false" customHeight="true" outlineLevel="0" collapsed="false">
      <c r="A77" s="29" t="n">
        <v>72</v>
      </c>
      <c r="B77" s="30" t="str">
        <f aca="false">IFERROR(edatum(datwert(Tilgungsrechner!C12),71),"")</f>
        <v/>
      </c>
      <c r="C77" s="31" t="n">
        <f aca="false">IF(F76&lt;=0,"",F76)</f>
        <v>183923.95</v>
      </c>
      <c r="D77" s="31" t="n">
        <f aca="false">IFERROR(IF(C77="","",ROUND(C77*Tilgungsrechner!C8/12,2)),"")</f>
        <v>536.44</v>
      </c>
      <c r="E77" s="31" t="n">
        <f aca="false">IFERROR(IF(C77="","",MIN(ROUND(Tilgungsrechner!F7-D77,2),C77)),"")</f>
        <v>609.39</v>
      </c>
      <c r="F77" s="31" t="n">
        <f aca="false">IFERROR(IF(C77="","",MAX(0, C77-E77-IF(MOD(A77,12)=0,Tilgungsrechner!C10,0))),"")</f>
        <v>177314.56</v>
      </c>
      <c r="G77" s="32" t="n">
        <f aca="false">IFERROR(IF(C77="","",IF(MOD(A77,12)=0,MIN(Tilgungsrechner!C10,MAX(0,C77-E77)),0)),"")</f>
        <v>6000</v>
      </c>
      <c r="H77" s="33" t="str">
        <f aca="false">IFERROR(IF(C77="","",aufround(A77/12,0)),"")</f>
        <v/>
      </c>
    </row>
    <row r="78" customFormat="false" ht="15.75" hidden="false" customHeight="true" outlineLevel="0" collapsed="false">
      <c r="A78" s="29" t="n">
        <v>73</v>
      </c>
      <c r="B78" s="30" t="str">
        <f aca="false">IFERROR(edatum(datwert(Tilgungsrechner!C12),72),"")</f>
        <v/>
      </c>
      <c r="C78" s="31" t="n">
        <f aca="false">IF(F77&lt;=0,"",F77)</f>
        <v>177314.56</v>
      </c>
      <c r="D78" s="31" t="n">
        <f aca="false">IFERROR(IF(C78="","",ROUND(C78*Tilgungsrechner!C8/12,2)),"")</f>
        <v>517.17</v>
      </c>
      <c r="E78" s="31" t="n">
        <f aca="false">IFERROR(IF(C78="","",MIN(ROUND(Tilgungsrechner!F7-D78,2),C78)),"")</f>
        <v>628.66</v>
      </c>
      <c r="F78" s="31" t="n">
        <f aca="false">IFERROR(IF(C78="","",MAX(0, C78-E78-IF(MOD(A78,12)=0,Tilgungsrechner!C10,0))),"")</f>
        <v>176685.9</v>
      </c>
      <c r="G78" s="32" t="n">
        <f aca="false">IFERROR(IF(C78="","",IF(MOD(A78,12)=0,MIN(Tilgungsrechner!C10,MAX(0,C78-E78)),0)),"")</f>
        <v>0</v>
      </c>
      <c r="H78" s="33" t="str">
        <f aca="false">IFERROR(IF(C78="","",aufround(A78/12,0)),"")</f>
        <v/>
      </c>
    </row>
    <row r="79" customFormat="false" ht="15.75" hidden="false" customHeight="true" outlineLevel="0" collapsed="false">
      <c r="A79" s="29" t="n">
        <v>74</v>
      </c>
      <c r="B79" s="30" t="str">
        <f aca="false">IFERROR(edatum(datwert(Tilgungsrechner!C12),73),"")</f>
        <v/>
      </c>
      <c r="C79" s="31" t="n">
        <f aca="false">IF(F78&lt;=0,"",F78)</f>
        <v>176685.9</v>
      </c>
      <c r="D79" s="31" t="n">
        <f aca="false">IFERROR(IF(C79="","",ROUND(C79*Tilgungsrechner!C8/12,2)),"")</f>
        <v>515.33</v>
      </c>
      <c r="E79" s="31" t="n">
        <f aca="false">IFERROR(IF(C79="","",MIN(ROUND(Tilgungsrechner!F7-D79,2),C79)),"")</f>
        <v>630.5</v>
      </c>
      <c r="F79" s="31" t="n">
        <f aca="false">IFERROR(IF(C79="","",MAX(0, C79-E79-IF(MOD(A79,12)=0,Tilgungsrechner!C10,0))),"")</f>
        <v>176055.4</v>
      </c>
      <c r="G79" s="32" t="n">
        <f aca="false">IFERROR(IF(C79="","",IF(MOD(A79,12)=0,MIN(Tilgungsrechner!C10,MAX(0,C79-E79)),0)),"")</f>
        <v>0</v>
      </c>
      <c r="H79" s="33" t="str">
        <f aca="false">IFERROR(IF(C79="","",aufround(A79/12,0)),"")</f>
        <v/>
      </c>
    </row>
    <row r="80" customFormat="false" ht="15.75" hidden="false" customHeight="true" outlineLevel="0" collapsed="false">
      <c r="A80" s="29" t="n">
        <v>75</v>
      </c>
      <c r="B80" s="30" t="str">
        <f aca="false">IFERROR(edatum(datwert(Tilgungsrechner!C12),74),"")</f>
        <v/>
      </c>
      <c r="C80" s="31" t="n">
        <f aca="false">IF(F79&lt;=0,"",F79)</f>
        <v>176055.4</v>
      </c>
      <c r="D80" s="31" t="n">
        <f aca="false">IFERROR(IF(C80="","",ROUND(C80*Tilgungsrechner!C8/12,2)),"")</f>
        <v>513.49</v>
      </c>
      <c r="E80" s="31" t="n">
        <f aca="false">IFERROR(IF(C80="","",MIN(ROUND(Tilgungsrechner!F7-D80,2),C80)),"")</f>
        <v>632.34</v>
      </c>
      <c r="F80" s="31" t="n">
        <f aca="false">IFERROR(IF(C80="","",MAX(0, C80-E80-IF(MOD(A80,12)=0,Tilgungsrechner!C10,0))),"")</f>
        <v>175423.06</v>
      </c>
      <c r="G80" s="32" t="n">
        <f aca="false">IFERROR(IF(C80="","",IF(MOD(A80,12)=0,MIN(Tilgungsrechner!C10,MAX(0,C80-E80)),0)),"")</f>
        <v>0</v>
      </c>
      <c r="H80" s="33" t="str">
        <f aca="false">IFERROR(IF(C80="","",aufround(A80/12,0)),"")</f>
        <v/>
      </c>
    </row>
    <row r="81" customFormat="false" ht="15.75" hidden="false" customHeight="true" outlineLevel="0" collapsed="false">
      <c r="A81" s="29" t="n">
        <v>76</v>
      </c>
      <c r="B81" s="30" t="str">
        <f aca="false">IFERROR(edatum(datwert(Tilgungsrechner!C12),75),"")</f>
        <v/>
      </c>
      <c r="C81" s="31" t="n">
        <f aca="false">IF(F80&lt;=0,"",F80)</f>
        <v>175423.06</v>
      </c>
      <c r="D81" s="31" t="n">
        <f aca="false">IFERROR(IF(C81="","",ROUND(C81*Tilgungsrechner!C8/12,2)),"")</f>
        <v>511.65</v>
      </c>
      <c r="E81" s="31" t="n">
        <f aca="false">IFERROR(IF(C81="","",MIN(ROUND(Tilgungsrechner!F7-D81,2),C81)),"")</f>
        <v>634.18</v>
      </c>
      <c r="F81" s="31" t="n">
        <f aca="false">IFERROR(IF(C81="","",MAX(0, C81-E81-IF(MOD(A81,12)=0,Tilgungsrechner!C10,0))),"")</f>
        <v>174788.88</v>
      </c>
      <c r="G81" s="32" t="n">
        <f aca="false">IFERROR(IF(C81="","",IF(MOD(A81,12)=0,MIN(Tilgungsrechner!C10,MAX(0,C81-E81)),0)),"")</f>
        <v>0</v>
      </c>
      <c r="H81" s="33" t="str">
        <f aca="false">IFERROR(IF(C81="","",aufround(A81/12,0)),"")</f>
        <v/>
      </c>
    </row>
    <row r="82" customFormat="false" ht="15.75" hidden="false" customHeight="true" outlineLevel="0" collapsed="false">
      <c r="A82" s="29" t="n">
        <v>77</v>
      </c>
      <c r="B82" s="30" t="str">
        <f aca="false">IFERROR(edatum(datwert(Tilgungsrechner!C12),76),"")</f>
        <v/>
      </c>
      <c r="C82" s="31" t="n">
        <f aca="false">IF(F81&lt;=0,"",F81)</f>
        <v>174788.88</v>
      </c>
      <c r="D82" s="31" t="n">
        <f aca="false">IFERROR(IF(C82="","",ROUND(C82*Tilgungsrechner!C8/12,2)),"")</f>
        <v>509.8</v>
      </c>
      <c r="E82" s="31" t="n">
        <f aca="false">IFERROR(IF(C82="","",MIN(ROUND(Tilgungsrechner!F7-D82,2),C82)),"")</f>
        <v>636.03</v>
      </c>
      <c r="F82" s="31" t="n">
        <f aca="false">IFERROR(IF(C82="","",MAX(0, C82-E82-IF(MOD(A82,12)=0,Tilgungsrechner!C10,0))),"")</f>
        <v>174152.85</v>
      </c>
      <c r="G82" s="32" t="n">
        <f aca="false">IFERROR(IF(C82="","",IF(MOD(A82,12)=0,MIN(Tilgungsrechner!C10,MAX(0,C82-E82)),0)),"")</f>
        <v>0</v>
      </c>
      <c r="H82" s="33" t="str">
        <f aca="false">IFERROR(IF(C82="","",aufround(A82/12,0)),"")</f>
        <v/>
      </c>
    </row>
    <row r="83" customFormat="false" ht="15.75" hidden="false" customHeight="true" outlineLevel="0" collapsed="false">
      <c r="A83" s="29" t="n">
        <v>78</v>
      </c>
      <c r="B83" s="30" t="str">
        <f aca="false">IFERROR(edatum(datwert(Tilgungsrechner!C12),77),"")</f>
        <v/>
      </c>
      <c r="C83" s="31" t="n">
        <f aca="false">IF(F82&lt;=0,"",F82)</f>
        <v>174152.85</v>
      </c>
      <c r="D83" s="31" t="n">
        <f aca="false">IFERROR(IF(C83="","",ROUND(C83*Tilgungsrechner!C8/12,2)),"")</f>
        <v>507.95</v>
      </c>
      <c r="E83" s="31" t="n">
        <f aca="false">IFERROR(IF(C83="","",MIN(ROUND(Tilgungsrechner!F7-D83,2),C83)),"")</f>
        <v>637.88</v>
      </c>
      <c r="F83" s="31" t="n">
        <f aca="false">IFERROR(IF(C83="","",MAX(0, C83-E83-IF(MOD(A83,12)=0,Tilgungsrechner!C10,0))),"")</f>
        <v>173514.97</v>
      </c>
      <c r="G83" s="32" t="n">
        <f aca="false">IFERROR(IF(C83="","",IF(MOD(A83,12)=0,MIN(Tilgungsrechner!C10,MAX(0,C83-E83)),0)),"")</f>
        <v>0</v>
      </c>
      <c r="H83" s="33" t="str">
        <f aca="false">IFERROR(IF(C83="","",aufround(A83/12,0)),"")</f>
        <v/>
      </c>
    </row>
    <row r="84" customFormat="false" ht="15.75" hidden="false" customHeight="true" outlineLevel="0" collapsed="false">
      <c r="A84" s="29" t="n">
        <v>79</v>
      </c>
      <c r="B84" s="30" t="str">
        <f aca="false">IFERROR(edatum(datwert(Tilgungsrechner!C12),78),"")</f>
        <v/>
      </c>
      <c r="C84" s="31" t="n">
        <f aca="false">IF(F83&lt;=0,"",F83)</f>
        <v>173514.97</v>
      </c>
      <c r="D84" s="31" t="n">
        <f aca="false">IFERROR(IF(C84="","",ROUND(C84*Tilgungsrechner!C8/12,2)),"")</f>
        <v>506.09</v>
      </c>
      <c r="E84" s="31" t="n">
        <f aca="false">IFERROR(IF(C84="","",MIN(ROUND(Tilgungsrechner!F7-D84,2),C84)),"")</f>
        <v>639.74</v>
      </c>
      <c r="F84" s="31" t="n">
        <f aca="false">IFERROR(IF(C84="","",MAX(0, C84-E84-IF(MOD(A84,12)=0,Tilgungsrechner!C10,0))),"")</f>
        <v>172875.23</v>
      </c>
      <c r="G84" s="32" t="n">
        <f aca="false">IFERROR(IF(C84="","",IF(MOD(A84,12)=0,MIN(Tilgungsrechner!C10,MAX(0,C84-E84)),0)),"")</f>
        <v>0</v>
      </c>
      <c r="H84" s="33" t="str">
        <f aca="false">IFERROR(IF(C84="","",aufround(A84/12,0)),"")</f>
        <v/>
      </c>
    </row>
    <row r="85" customFormat="false" ht="15.75" hidden="false" customHeight="true" outlineLevel="0" collapsed="false">
      <c r="A85" s="29" t="n">
        <v>80</v>
      </c>
      <c r="B85" s="30" t="str">
        <f aca="false">IFERROR(edatum(datwert(Tilgungsrechner!C12),79),"")</f>
        <v/>
      </c>
      <c r="C85" s="31" t="n">
        <f aca="false">IF(F84&lt;=0,"",F84)</f>
        <v>172875.23</v>
      </c>
      <c r="D85" s="31" t="n">
        <f aca="false">IFERROR(IF(C85="","",ROUND(C85*Tilgungsrechner!C8/12,2)),"")</f>
        <v>504.22</v>
      </c>
      <c r="E85" s="31" t="n">
        <f aca="false">IFERROR(IF(C85="","",MIN(ROUND(Tilgungsrechner!F7-D85,2),C85)),"")</f>
        <v>641.61</v>
      </c>
      <c r="F85" s="31" t="n">
        <f aca="false">IFERROR(IF(C85="","",MAX(0, C85-E85-IF(MOD(A85,12)=0,Tilgungsrechner!C10,0))),"")</f>
        <v>172233.62</v>
      </c>
      <c r="G85" s="32" t="n">
        <f aca="false">IFERROR(IF(C85="","",IF(MOD(A85,12)=0,MIN(Tilgungsrechner!C10,MAX(0,C85-E85)),0)),"")</f>
        <v>0</v>
      </c>
      <c r="H85" s="33" t="str">
        <f aca="false">IFERROR(IF(C85="","",aufround(A85/12,0)),"")</f>
        <v/>
      </c>
    </row>
    <row r="86" customFormat="false" ht="15.75" hidden="false" customHeight="true" outlineLevel="0" collapsed="false">
      <c r="A86" s="29" t="n">
        <v>81</v>
      </c>
      <c r="B86" s="30" t="str">
        <f aca="false">IFERROR(edatum(datwert(Tilgungsrechner!C12),80),"")</f>
        <v/>
      </c>
      <c r="C86" s="31" t="n">
        <f aca="false">IF(F85&lt;=0,"",F85)</f>
        <v>172233.62</v>
      </c>
      <c r="D86" s="31" t="n">
        <f aca="false">IFERROR(IF(C86="","",ROUND(C86*Tilgungsrechner!C8/12,2)),"")</f>
        <v>502.35</v>
      </c>
      <c r="E86" s="31" t="n">
        <f aca="false">IFERROR(IF(C86="","",MIN(ROUND(Tilgungsrechner!F7-D86,2),C86)),"")</f>
        <v>643.48</v>
      </c>
      <c r="F86" s="31" t="n">
        <f aca="false">IFERROR(IF(C86="","",MAX(0, C86-E86-IF(MOD(A86,12)=0,Tilgungsrechner!C10,0))),"")</f>
        <v>171590.14</v>
      </c>
      <c r="G86" s="32" t="n">
        <f aca="false">IFERROR(IF(C86="","",IF(MOD(A86,12)=0,MIN(Tilgungsrechner!C10,MAX(0,C86-E86)),0)),"")</f>
        <v>0</v>
      </c>
      <c r="H86" s="33" t="str">
        <f aca="false">IFERROR(IF(C86="","",aufround(A86/12,0)),"")</f>
        <v/>
      </c>
    </row>
    <row r="87" customFormat="false" ht="15.75" hidden="false" customHeight="true" outlineLevel="0" collapsed="false">
      <c r="A87" s="29" t="n">
        <v>82</v>
      </c>
      <c r="B87" s="30" t="str">
        <f aca="false">IFERROR(edatum(datwert(Tilgungsrechner!C12),81),"")</f>
        <v/>
      </c>
      <c r="C87" s="31" t="n">
        <f aca="false">IF(F86&lt;=0,"",F86)</f>
        <v>171590.14</v>
      </c>
      <c r="D87" s="31" t="n">
        <f aca="false">IFERROR(IF(C87="","",ROUND(C87*Tilgungsrechner!C8/12,2)),"")</f>
        <v>500.47</v>
      </c>
      <c r="E87" s="31" t="n">
        <f aca="false">IFERROR(IF(C87="","",MIN(ROUND(Tilgungsrechner!F7-D87,2),C87)),"")</f>
        <v>645.36</v>
      </c>
      <c r="F87" s="31" t="n">
        <f aca="false">IFERROR(IF(C87="","",MAX(0, C87-E87-IF(MOD(A87,12)=0,Tilgungsrechner!C10,0))),"")</f>
        <v>170944.78</v>
      </c>
      <c r="G87" s="32" t="n">
        <f aca="false">IFERROR(IF(C87="","",IF(MOD(A87,12)=0,MIN(Tilgungsrechner!C10,MAX(0,C87-E87)),0)),"")</f>
        <v>0</v>
      </c>
      <c r="H87" s="33" t="str">
        <f aca="false">IFERROR(IF(C87="","",aufround(A87/12,0)),"")</f>
        <v/>
      </c>
    </row>
    <row r="88" customFormat="false" ht="15.75" hidden="false" customHeight="true" outlineLevel="0" collapsed="false">
      <c r="A88" s="29" t="n">
        <v>83</v>
      </c>
      <c r="B88" s="30" t="str">
        <f aca="false">IFERROR(edatum(datwert(Tilgungsrechner!C12),82),"")</f>
        <v/>
      </c>
      <c r="C88" s="31" t="n">
        <f aca="false">IF(F87&lt;=0,"",F87)</f>
        <v>170944.78</v>
      </c>
      <c r="D88" s="31" t="n">
        <f aca="false">IFERROR(IF(C88="","",ROUND(C88*Tilgungsrechner!C8/12,2)),"")</f>
        <v>498.59</v>
      </c>
      <c r="E88" s="31" t="n">
        <f aca="false">IFERROR(IF(C88="","",MIN(ROUND(Tilgungsrechner!F7-D88,2),C88)),"")</f>
        <v>647.24</v>
      </c>
      <c r="F88" s="31" t="n">
        <f aca="false">IFERROR(IF(C88="","",MAX(0, C88-E88-IF(MOD(A88,12)=0,Tilgungsrechner!C10,0))),"")</f>
        <v>170297.54</v>
      </c>
      <c r="G88" s="32" t="n">
        <f aca="false">IFERROR(IF(C88="","",IF(MOD(A88,12)=0,MIN(Tilgungsrechner!C10,MAX(0,C88-E88)),0)),"")</f>
        <v>0</v>
      </c>
      <c r="H88" s="33" t="str">
        <f aca="false">IFERROR(IF(C88="","",aufround(A88/12,0)),"")</f>
        <v/>
      </c>
    </row>
    <row r="89" customFormat="false" ht="15.75" hidden="false" customHeight="true" outlineLevel="0" collapsed="false">
      <c r="A89" s="29" t="n">
        <v>84</v>
      </c>
      <c r="B89" s="30" t="str">
        <f aca="false">IFERROR(edatum(datwert(Tilgungsrechner!C12),83),"")</f>
        <v/>
      </c>
      <c r="C89" s="31" t="n">
        <f aca="false">IF(F88&lt;=0,"",F88)</f>
        <v>170297.54</v>
      </c>
      <c r="D89" s="31" t="n">
        <f aca="false">IFERROR(IF(C89="","",ROUND(C89*Tilgungsrechner!C8/12,2)),"")</f>
        <v>496.7</v>
      </c>
      <c r="E89" s="31" t="n">
        <f aca="false">IFERROR(IF(C89="","",MIN(ROUND(Tilgungsrechner!F7-D89,2),C89)),"")</f>
        <v>649.13</v>
      </c>
      <c r="F89" s="31" t="n">
        <f aca="false">IFERROR(IF(C89="","",MAX(0, C89-E89-IF(MOD(A89,12)=0,Tilgungsrechner!C10,0))),"")</f>
        <v>163648.41</v>
      </c>
      <c r="G89" s="32" t="n">
        <f aca="false">IFERROR(IF(C89="","",IF(MOD(A89,12)=0,MIN(Tilgungsrechner!C10,MAX(0,C89-E89)),0)),"")</f>
        <v>6000</v>
      </c>
      <c r="H89" s="33" t="str">
        <f aca="false">IFERROR(IF(C89="","",aufround(A89/12,0)),"")</f>
        <v/>
      </c>
    </row>
    <row r="90" customFormat="false" ht="15.75" hidden="false" customHeight="true" outlineLevel="0" collapsed="false">
      <c r="A90" s="29" t="n">
        <v>85</v>
      </c>
      <c r="B90" s="30" t="str">
        <f aca="false">IFERROR(edatum(datwert(Tilgungsrechner!C12),84),"")</f>
        <v/>
      </c>
      <c r="C90" s="31" t="n">
        <f aca="false">IF(F89&lt;=0,"",F89)</f>
        <v>163648.41</v>
      </c>
      <c r="D90" s="31" t="n">
        <f aca="false">IFERROR(IF(C90="","",ROUND(C90*Tilgungsrechner!C8/12,2)),"")</f>
        <v>477.31</v>
      </c>
      <c r="E90" s="31" t="n">
        <f aca="false">IFERROR(IF(C90="","",MIN(ROUND(Tilgungsrechner!F7-D90,2),C90)),"")</f>
        <v>668.52</v>
      </c>
      <c r="F90" s="31" t="n">
        <f aca="false">IFERROR(IF(C90="","",MAX(0, C90-E90-IF(MOD(A90,12)=0,Tilgungsrechner!C10,0))),"")</f>
        <v>162979.89</v>
      </c>
      <c r="G90" s="32" t="n">
        <f aca="false">IFERROR(IF(C90="","",IF(MOD(A90,12)=0,MIN(Tilgungsrechner!C10,MAX(0,C90-E90)),0)),"")</f>
        <v>0</v>
      </c>
      <c r="H90" s="33" t="str">
        <f aca="false">IFERROR(IF(C90="","",aufround(A90/12,0)),"")</f>
        <v/>
      </c>
    </row>
    <row r="91" customFormat="false" ht="15.75" hidden="false" customHeight="true" outlineLevel="0" collapsed="false">
      <c r="A91" s="29" t="n">
        <v>86</v>
      </c>
      <c r="B91" s="30" t="str">
        <f aca="false">IFERROR(edatum(datwert(Tilgungsrechner!C12),85),"")</f>
        <v/>
      </c>
      <c r="C91" s="31" t="n">
        <f aca="false">IF(F90&lt;=0,"",F90)</f>
        <v>162979.89</v>
      </c>
      <c r="D91" s="31" t="n">
        <f aca="false">IFERROR(IF(C91="","",ROUND(C91*Tilgungsrechner!C8/12,2)),"")</f>
        <v>475.36</v>
      </c>
      <c r="E91" s="31" t="n">
        <f aca="false">IFERROR(IF(C91="","",MIN(ROUND(Tilgungsrechner!F7-D91,2),C91)),"")</f>
        <v>670.47</v>
      </c>
      <c r="F91" s="31" t="n">
        <f aca="false">IFERROR(IF(C91="","",MAX(0, C91-E91-IF(MOD(A91,12)=0,Tilgungsrechner!C10,0))),"")</f>
        <v>162309.42</v>
      </c>
      <c r="G91" s="32" t="n">
        <f aca="false">IFERROR(IF(C91="","",IF(MOD(A91,12)=0,MIN(Tilgungsrechner!C10,MAX(0,C91-E91)),0)),"")</f>
        <v>0</v>
      </c>
      <c r="H91" s="33" t="str">
        <f aca="false">IFERROR(IF(C91="","",aufround(A91/12,0)),"")</f>
        <v/>
      </c>
    </row>
    <row r="92" customFormat="false" ht="15.75" hidden="false" customHeight="true" outlineLevel="0" collapsed="false">
      <c r="A92" s="29" t="n">
        <v>87</v>
      </c>
      <c r="B92" s="30" t="str">
        <f aca="false">IFERROR(edatum(datwert(Tilgungsrechner!C12),86),"")</f>
        <v/>
      </c>
      <c r="C92" s="31" t="n">
        <f aca="false">IF(F91&lt;=0,"",F91)</f>
        <v>162309.42</v>
      </c>
      <c r="D92" s="31" t="n">
        <f aca="false">IFERROR(IF(C92="","",ROUND(C92*Tilgungsrechner!C8/12,2)),"")</f>
        <v>473.4</v>
      </c>
      <c r="E92" s="31" t="n">
        <f aca="false">IFERROR(IF(C92="","",MIN(ROUND(Tilgungsrechner!F7-D92,2),C92)),"")</f>
        <v>672.43</v>
      </c>
      <c r="F92" s="31" t="n">
        <f aca="false">IFERROR(IF(C92="","",MAX(0, C92-E92-IF(MOD(A92,12)=0,Tilgungsrechner!C10,0))),"")</f>
        <v>161636.99</v>
      </c>
      <c r="G92" s="32" t="n">
        <f aca="false">IFERROR(IF(C92="","",IF(MOD(A92,12)=0,MIN(Tilgungsrechner!C10,MAX(0,C92-E92)),0)),"")</f>
        <v>0</v>
      </c>
      <c r="H92" s="33" t="str">
        <f aca="false">IFERROR(IF(C92="","",aufround(A92/12,0)),"")</f>
        <v/>
      </c>
    </row>
    <row r="93" customFormat="false" ht="15.75" hidden="false" customHeight="true" outlineLevel="0" collapsed="false">
      <c r="A93" s="29" t="n">
        <v>88</v>
      </c>
      <c r="B93" s="30" t="str">
        <f aca="false">IFERROR(edatum(datwert(Tilgungsrechner!C12),87),"")</f>
        <v/>
      </c>
      <c r="C93" s="31" t="n">
        <f aca="false">IF(F92&lt;=0,"",F92)</f>
        <v>161636.99</v>
      </c>
      <c r="D93" s="31" t="n">
        <f aca="false">IFERROR(IF(C93="","",ROUND(C93*Tilgungsrechner!C8/12,2)),"")</f>
        <v>471.44</v>
      </c>
      <c r="E93" s="31" t="n">
        <f aca="false">IFERROR(IF(C93="","",MIN(ROUND(Tilgungsrechner!F7-D93,2),C93)),"")</f>
        <v>674.39</v>
      </c>
      <c r="F93" s="31" t="n">
        <f aca="false">IFERROR(IF(C93="","",MAX(0, C93-E93-IF(MOD(A93,12)=0,Tilgungsrechner!C10,0))),"")</f>
        <v>160962.6</v>
      </c>
      <c r="G93" s="32" t="n">
        <f aca="false">IFERROR(IF(C93="","",IF(MOD(A93,12)=0,MIN(Tilgungsrechner!C10,MAX(0,C93-E93)),0)),"")</f>
        <v>0</v>
      </c>
      <c r="H93" s="33" t="str">
        <f aca="false">IFERROR(IF(C93="","",aufround(A93/12,0)),"")</f>
        <v/>
      </c>
    </row>
    <row r="94" customFormat="false" ht="15.75" hidden="false" customHeight="true" outlineLevel="0" collapsed="false">
      <c r="A94" s="29" t="n">
        <v>89</v>
      </c>
      <c r="B94" s="30" t="str">
        <f aca="false">IFERROR(edatum(datwert(Tilgungsrechner!C12),88),"")</f>
        <v/>
      </c>
      <c r="C94" s="31" t="n">
        <f aca="false">IF(F93&lt;=0,"",F93)</f>
        <v>160962.6</v>
      </c>
      <c r="D94" s="31" t="n">
        <f aca="false">IFERROR(IF(C94="","",ROUND(C94*Tilgungsrechner!C8/12,2)),"")</f>
        <v>469.47</v>
      </c>
      <c r="E94" s="31" t="n">
        <f aca="false">IFERROR(IF(C94="","",MIN(ROUND(Tilgungsrechner!F7-D94,2),C94)),"")</f>
        <v>676.36</v>
      </c>
      <c r="F94" s="31" t="n">
        <f aca="false">IFERROR(IF(C94="","",MAX(0, C94-E94-IF(MOD(A94,12)=0,Tilgungsrechner!C10,0))),"")</f>
        <v>160286.24</v>
      </c>
      <c r="G94" s="32" t="n">
        <f aca="false">IFERROR(IF(C94="","",IF(MOD(A94,12)=0,MIN(Tilgungsrechner!C10,MAX(0,C94-E94)),0)),"")</f>
        <v>0</v>
      </c>
      <c r="H94" s="33" t="str">
        <f aca="false">IFERROR(IF(C94="","",aufround(A94/12,0)),"")</f>
        <v/>
      </c>
    </row>
    <row r="95" customFormat="false" ht="15.75" hidden="false" customHeight="true" outlineLevel="0" collapsed="false">
      <c r="A95" s="29" t="n">
        <v>90</v>
      </c>
      <c r="B95" s="30" t="str">
        <f aca="false">IFERROR(edatum(datwert(Tilgungsrechner!C12),89),"")</f>
        <v/>
      </c>
      <c r="C95" s="31" t="n">
        <f aca="false">IF(F94&lt;=0,"",F94)</f>
        <v>160286.24</v>
      </c>
      <c r="D95" s="31" t="n">
        <f aca="false">IFERROR(IF(C95="","",ROUND(C95*Tilgungsrechner!C8/12,2)),"")</f>
        <v>467.5</v>
      </c>
      <c r="E95" s="31" t="n">
        <f aca="false">IFERROR(IF(C95="","",MIN(ROUND(Tilgungsrechner!F7-D95,2),C95)),"")</f>
        <v>678.33</v>
      </c>
      <c r="F95" s="31" t="n">
        <f aca="false">IFERROR(IF(C95="","",MAX(0, C95-E95-IF(MOD(A95,12)=0,Tilgungsrechner!C10,0))),"")</f>
        <v>159607.91</v>
      </c>
      <c r="G95" s="32" t="n">
        <f aca="false">IFERROR(IF(C95="","",IF(MOD(A95,12)=0,MIN(Tilgungsrechner!C10,MAX(0,C95-E95)),0)),"")</f>
        <v>0</v>
      </c>
      <c r="H95" s="33" t="str">
        <f aca="false">IFERROR(IF(C95="","",aufround(A95/12,0)),"")</f>
        <v/>
      </c>
    </row>
    <row r="96" customFormat="false" ht="15.75" hidden="false" customHeight="true" outlineLevel="0" collapsed="false">
      <c r="A96" s="29" t="n">
        <v>91</v>
      </c>
      <c r="B96" s="30" t="str">
        <f aca="false">IFERROR(edatum(datwert(Tilgungsrechner!C12),90),"")</f>
        <v/>
      </c>
      <c r="C96" s="31" t="n">
        <f aca="false">IF(F95&lt;=0,"",F95)</f>
        <v>159607.91</v>
      </c>
      <c r="D96" s="31" t="n">
        <f aca="false">IFERROR(IF(C96="","",ROUND(C96*Tilgungsrechner!C8/12,2)),"")</f>
        <v>465.52</v>
      </c>
      <c r="E96" s="31" t="n">
        <f aca="false">IFERROR(IF(C96="","",MIN(ROUND(Tilgungsrechner!F7-D96,2),C96)),"")</f>
        <v>680.31</v>
      </c>
      <c r="F96" s="31" t="n">
        <f aca="false">IFERROR(IF(C96="","",MAX(0, C96-E96-IF(MOD(A96,12)=0,Tilgungsrechner!C10,0))),"")</f>
        <v>158927.6</v>
      </c>
      <c r="G96" s="32" t="n">
        <f aca="false">IFERROR(IF(C96="","",IF(MOD(A96,12)=0,MIN(Tilgungsrechner!C10,MAX(0,C96-E96)),0)),"")</f>
        <v>0</v>
      </c>
      <c r="H96" s="33" t="str">
        <f aca="false">IFERROR(IF(C96="","",aufround(A96/12,0)),"")</f>
        <v/>
      </c>
    </row>
    <row r="97" customFormat="false" ht="15.75" hidden="false" customHeight="true" outlineLevel="0" collapsed="false">
      <c r="A97" s="29" t="n">
        <v>92</v>
      </c>
      <c r="B97" s="30" t="str">
        <f aca="false">IFERROR(edatum(datwert(Tilgungsrechner!C12),91),"")</f>
        <v/>
      </c>
      <c r="C97" s="31" t="n">
        <f aca="false">IF(F96&lt;=0,"",F96)</f>
        <v>158927.6</v>
      </c>
      <c r="D97" s="31" t="n">
        <f aca="false">IFERROR(IF(C97="","",ROUND(C97*Tilgungsrechner!C8/12,2)),"")</f>
        <v>463.54</v>
      </c>
      <c r="E97" s="31" t="n">
        <f aca="false">IFERROR(IF(C97="","",MIN(ROUND(Tilgungsrechner!F7-D97,2),C97)),"")</f>
        <v>682.29</v>
      </c>
      <c r="F97" s="31" t="n">
        <f aca="false">IFERROR(IF(C97="","",MAX(0, C97-E97-IF(MOD(A97,12)=0,Tilgungsrechner!C10,0))),"")</f>
        <v>158245.31</v>
      </c>
      <c r="G97" s="32" t="n">
        <f aca="false">IFERROR(IF(C97="","",IF(MOD(A97,12)=0,MIN(Tilgungsrechner!C10,MAX(0,C97-E97)),0)),"")</f>
        <v>0</v>
      </c>
      <c r="H97" s="33" t="str">
        <f aca="false">IFERROR(IF(C97="","",aufround(A97/12,0)),"")</f>
        <v/>
      </c>
    </row>
    <row r="98" customFormat="false" ht="15.75" hidden="false" customHeight="true" outlineLevel="0" collapsed="false">
      <c r="A98" s="29" t="n">
        <v>93</v>
      </c>
      <c r="B98" s="30" t="str">
        <f aca="false">IFERROR(edatum(datwert(Tilgungsrechner!C12),92),"")</f>
        <v/>
      </c>
      <c r="C98" s="31" t="n">
        <f aca="false">IF(F97&lt;=0,"",F97)</f>
        <v>158245.31</v>
      </c>
      <c r="D98" s="31" t="n">
        <f aca="false">IFERROR(IF(C98="","",ROUND(C98*Tilgungsrechner!C8/12,2)),"")</f>
        <v>461.55</v>
      </c>
      <c r="E98" s="31" t="n">
        <f aca="false">IFERROR(IF(C98="","",MIN(ROUND(Tilgungsrechner!F7-D98,2),C98)),"")</f>
        <v>684.28</v>
      </c>
      <c r="F98" s="31" t="n">
        <f aca="false">IFERROR(IF(C98="","",MAX(0, C98-E98-IF(MOD(A98,12)=0,Tilgungsrechner!C10,0))),"")</f>
        <v>157561.03</v>
      </c>
      <c r="G98" s="32" t="n">
        <f aca="false">IFERROR(IF(C98="","",IF(MOD(A98,12)=0,MIN(Tilgungsrechner!C10,MAX(0,C98-E98)),0)),"")</f>
        <v>0</v>
      </c>
      <c r="H98" s="33" t="str">
        <f aca="false">IFERROR(IF(C98="","",aufround(A98/12,0)),"")</f>
        <v/>
      </c>
    </row>
    <row r="99" customFormat="false" ht="15.75" hidden="false" customHeight="true" outlineLevel="0" collapsed="false">
      <c r="A99" s="29" t="n">
        <v>94</v>
      </c>
      <c r="B99" s="30" t="str">
        <f aca="false">IFERROR(edatum(datwert(Tilgungsrechner!C12),93),"")</f>
        <v/>
      </c>
      <c r="C99" s="31" t="n">
        <f aca="false">IF(F98&lt;=0,"",F98)</f>
        <v>157561.03</v>
      </c>
      <c r="D99" s="31" t="n">
        <f aca="false">IFERROR(IF(C99="","",ROUND(C99*Tilgungsrechner!C8/12,2)),"")</f>
        <v>459.55</v>
      </c>
      <c r="E99" s="31" t="n">
        <f aca="false">IFERROR(IF(C99="","",MIN(ROUND(Tilgungsrechner!F7-D99,2),C99)),"")</f>
        <v>686.28</v>
      </c>
      <c r="F99" s="31" t="n">
        <f aca="false">IFERROR(IF(C99="","",MAX(0, C99-E99-IF(MOD(A99,12)=0,Tilgungsrechner!C10,0))),"")</f>
        <v>156874.75</v>
      </c>
      <c r="G99" s="32" t="n">
        <f aca="false">IFERROR(IF(C99="","",IF(MOD(A99,12)=0,MIN(Tilgungsrechner!C10,MAX(0,C99-E99)),0)),"")</f>
        <v>0</v>
      </c>
      <c r="H99" s="33" t="str">
        <f aca="false">IFERROR(IF(C99="","",aufround(A99/12,0)),"")</f>
        <v/>
      </c>
    </row>
    <row r="100" customFormat="false" ht="15.75" hidden="false" customHeight="true" outlineLevel="0" collapsed="false">
      <c r="A100" s="29" t="n">
        <v>95</v>
      </c>
      <c r="B100" s="30" t="str">
        <f aca="false">IFERROR(edatum(datwert(Tilgungsrechner!C12),94),"")</f>
        <v/>
      </c>
      <c r="C100" s="31" t="n">
        <f aca="false">IF(F99&lt;=0,"",F99)</f>
        <v>156874.75</v>
      </c>
      <c r="D100" s="31" t="n">
        <f aca="false">IFERROR(IF(C100="","",ROUND(C100*Tilgungsrechner!C8/12,2)),"")</f>
        <v>457.55</v>
      </c>
      <c r="E100" s="31" t="n">
        <f aca="false">IFERROR(IF(C100="","",MIN(ROUND(Tilgungsrechner!F7-D100,2),C100)),"")</f>
        <v>688.28</v>
      </c>
      <c r="F100" s="31" t="n">
        <f aca="false">IFERROR(IF(C100="","",MAX(0, C100-E100-IF(MOD(A100,12)=0,Tilgungsrechner!C10,0))),"")</f>
        <v>156186.47</v>
      </c>
      <c r="G100" s="32" t="n">
        <f aca="false">IFERROR(IF(C100="","",IF(MOD(A100,12)=0,MIN(Tilgungsrechner!C10,MAX(0,C100-E100)),0)),"")</f>
        <v>0</v>
      </c>
      <c r="H100" s="33" t="str">
        <f aca="false">IFERROR(IF(C100="","",aufround(A100/12,0)),"")</f>
        <v/>
      </c>
    </row>
    <row r="101" customFormat="false" ht="15.75" hidden="false" customHeight="true" outlineLevel="0" collapsed="false">
      <c r="A101" s="29" t="n">
        <v>96</v>
      </c>
      <c r="B101" s="30" t="str">
        <f aca="false">IFERROR(edatum(datwert(Tilgungsrechner!C12),95),"")</f>
        <v/>
      </c>
      <c r="C101" s="31" t="n">
        <f aca="false">IF(F100&lt;=0,"",F100)</f>
        <v>156186.47</v>
      </c>
      <c r="D101" s="31" t="n">
        <f aca="false">IFERROR(IF(C101="","",ROUND(C101*Tilgungsrechner!C8/12,2)),"")</f>
        <v>455.54</v>
      </c>
      <c r="E101" s="31" t="n">
        <f aca="false">IFERROR(IF(C101="","",MIN(ROUND(Tilgungsrechner!F7-D101,2),C101)),"")</f>
        <v>690.29</v>
      </c>
      <c r="F101" s="31" t="n">
        <f aca="false">IFERROR(IF(C101="","",MAX(0, C101-E101-IF(MOD(A101,12)=0,Tilgungsrechner!C10,0))),"")</f>
        <v>149496.18</v>
      </c>
      <c r="G101" s="32" t="n">
        <f aca="false">IFERROR(IF(C101="","",IF(MOD(A101,12)=0,MIN(Tilgungsrechner!C10,MAX(0,C101-E101)),0)),"")</f>
        <v>6000</v>
      </c>
      <c r="H101" s="33" t="str">
        <f aca="false">IFERROR(IF(C101="","",aufround(A101/12,0)),"")</f>
        <v/>
      </c>
    </row>
    <row r="102" customFormat="false" ht="15.75" hidden="false" customHeight="true" outlineLevel="0" collapsed="false">
      <c r="A102" s="29" t="n">
        <v>97</v>
      </c>
      <c r="B102" s="30" t="str">
        <f aca="false">IFERROR(edatum(datwert(Tilgungsrechner!C12),96),"")</f>
        <v/>
      </c>
      <c r="C102" s="31" t="n">
        <f aca="false">IF(F101&lt;=0,"",F101)</f>
        <v>149496.18</v>
      </c>
      <c r="D102" s="31" t="n">
        <f aca="false">IFERROR(IF(C102="","",ROUND(C102*Tilgungsrechner!C8/12,2)),"")</f>
        <v>436.03</v>
      </c>
      <c r="E102" s="31" t="n">
        <f aca="false">IFERROR(IF(C102="","",MIN(ROUND(Tilgungsrechner!F7-D102,2),C102)),"")</f>
        <v>709.8</v>
      </c>
      <c r="F102" s="31" t="n">
        <f aca="false">IFERROR(IF(C102="","",MAX(0, C102-E102-IF(MOD(A102,12)=0,Tilgungsrechner!C10,0))),"")</f>
        <v>148786.38</v>
      </c>
      <c r="G102" s="32" t="n">
        <f aca="false">IFERROR(IF(C102="","",IF(MOD(A102,12)=0,MIN(Tilgungsrechner!C10,MAX(0,C102-E102)),0)),"")</f>
        <v>0</v>
      </c>
      <c r="H102" s="33" t="str">
        <f aca="false">IFERROR(IF(C102="","",aufround(A102/12,0)),"")</f>
        <v/>
      </c>
    </row>
    <row r="103" customFormat="false" ht="15.75" hidden="false" customHeight="true" outlineLevel="0" collapsed="false">
      <c r="A103" s="29" t="n">
        <v>98</v>
      </c>
      <c r="B103" s="30" t="str">
        <f aca="false">IFERROR(edatum(datwert(Tilgungsrechner!C12),97),"")</f>
        <v/>
      </c>
      <c r="C103" s="31" t="n">
        <f aca="false">IF(F102&lt;=0,"",F102)</f>
        <v>148786.38</v>
      </c>
      <c r="D103" s="31" t="n">
        <f aca="false">IFERROR(IF(C103="","",ROUND(C103*Tilgungsrechner!C8/12,2)),"")</f>
        <v>433.96</v>
      </c>
      <c r="E103" s="31" t="n">
        <f aca="false">IFERROR(IF(C103="","",MIN(ROUND(Tilgungsrechner!F7-D103,2),C103)),"")</f>
        <v>711.87</v>
      </c>
      <c r="F103" s="31" t="n">
        <f aca="false">IFERROR(IF(C103="","",MAX(0, C103-E103-IF(MOD(A103,12)=0,Tilgungsrechner!C10,0))),"")</f>
        <v>148074.51</v>
      </c>
      <c r="G103" s="32" t="n">
        <f aca="false">IFERROR(IF(C103="","",IF(MOD(A103,12)=0,MIN(Tilgungsrechner!C10,MAX(0,C103-E103)),0)),"")</f>
        <v>0</v>
      </c>
      <c r="H103" s="33" t="str">
        <f aca="false">IFERROR(IF(C103="","",aufround(A103/12,0)),"")</f>
        <v/>
      </c>
    </row>
    <row r="104" customFormat="false" ht="15.75" hidden="false" customHeight="true" outlineLevel="0" collapsed="false">
      <c r="A104" s="29" t="n">
        <v>99</v>
      </c>
      <c r="B104" s="30" t="str">
        <f aca="false">IFERROR(edatum(datwert(Tilgungsrechner!C12),98),"")</f>
        <v/>
      </c>
      <c r="C104" s="31" t="n">
        <f aca="false">IF(F103&lt;=0,"",F103)</f>
        <v>148074.51</v>
      </c>
      <c r="D104" s="31" t="n">
        <f aca="false">IFERROR(IF(C104="","",ROUND(C104*Tilgungsrechner!C8/12,2)),"")</f>
        <v>431.88</v>
      </c>
      <c r="E104" s="31" t="n">
        <f aca="false">IFERROR(IF(C104="","",MIN(ROUND(Tilgungsrechner!F7-D104,2),C104)),"")</f>
        <v>713.95</v>
      </c>
      <c r="F104" s="31" t="n">
        <f aca="false">IFERROR(IF(C104="","",MAX(0, C104-E104-IF(MOD(A104,12)=0,Tilgungsrechner!C10,0))),"")</f>
        <v>147360.56</v>
      </c>
      <c r="G104" s="32" t="n">
        <f aca="false">IFERROR(IF(C104="","",IF(MOD(A104,12)=0,MIN(Tilgungsrechner!C10,MAX(0,C104-E104)),0)),"")</f>
        <v>0</v>
      </c>
      <c r="H104" s="33" t="str">
        <f aca="false">IFERROR(IF(C104="","",aufround(A104/12,0)),"")</f>
        <v/>
      </c>
    </row>
    <row r="105" customFormat="false" ht="15.75" hidden="false" customHeight="true" outlineLevel="0" collapsed="false">
      <c r="A105" s="29" t="n">
        <v>100</v>
      </c>
      <c r="B105" s="30" t="str">
        <f aca="false">IFERROR(edatum(datwert(Tilgungsrechner!C12),99),"")</f>
        <v/>
      </c>
      <c r="C105" s="31" t="n">
        <f aca="false">IF(F104&lt;=0,"",F104)</f>
        <v>147360.56</v>
      </c>
      <c r="D105" s="31" t="n">
        <f aca="false">IFERROR(IF(C105="","",ROUND(C105*Tilgungsrechner!C8/12,2)),"")</f>
        <v>429.8</v>
      </c>
      <c r="E105" s="31" t="n">
        <f aca="false">IFERROR(IF(C105="","",MIN(ROUND(Tilgungsrechner!F7-D105,2),C105)),"")</f>
        <v>716.03</v>
      </c>
      <c r="F105" s="31" t="n">
        <f aca="false">IFERROR(IF(C105="","",MAX(0, C105-E105-IF(MOD(A105,12)=0,Tilgungsrechner!C10,0))),"")</f>
        <v>146644.53</v>
      </c>
      <c r="G105" s="32" t="n">
        <f aca="false">IFERROR(IF(C105="","",IF(MOD(A105,12)=0,MIN(Tilgungsrechner!C10,MAX(0,C105-E105)),0)),"")</f>
        <v>0</v>
      </c>
      <c r="H105" s="33" t="str">
        <f aca="false">IFERROR(IF(C105="","",aufround(A105/12,0)),"")</f>
        <v/>
      </c>
    </row>
    <row r="106" customFormat="false" ht="15.75" hidden="false" customHeight="true" outlineLevel="0" collapsed="false">
      <c r="A106" s="29" t="n">
        <v>101</v>
      </c>
      <c r="B106" s="30" t="str">
        <f aca="false">IFERROR(edatum(datwert(Tilgungsrechner!C12),100),"")</f>
        <v/>
      </c>
      <c r="C106" s="31" t="n">
        <f aca="false">IF(F105&lt;=0,"",F105)</f>
        <v>146644.53</v>
      </c>
      <c r="D106" s="31" t="n">
        <f aca="false">IFERROR(IF(C106="","",ROUND(C106*Tilgungsrechner!C8/12,2)),"")</f>
        <v>427.71</v>
      </c>
      <c r="E106" s="31" t="n">
        <f aca="false">IFERROR(IF(C106="","",MIN(ROUND(Tilgungsrechner!F7-D106,2),C106)),"")</f>
        <v>718.12</v>
      </c>
      <c r="F106" s="31" t="n">
        <f aca="false">IFERROR(IF(C106="","",MAX(0, C106-E106-IF(MOD(A106,12)=0,Tilgungsrechner!C10,0))),"")</f>
        <v>145926.41</v>
      </c>
      <c r="G106" s="32" t="n">
        <f aca="false">IFERROR(IF(C106="","",IF(MOD(A106,12)=0,MIN(Tilgungsrechner!C10,MAX(0,C106-E106)),0)),"")</f>
        <v>0</v>
      </c>
      <c r="H106" s="33" t="str">
        <f aca="false">IFERROR(IF(C106="","",aufround(A106/12,0)),"")</f>
        <v/>
      </c>
    </row>
    <row r="107" customFormat="false" ht="15.75" hidden="false" customHeight="true" outlineLevel="0" collapsed="false">
      <c r="A107" s="29" t="n">
        <v>102</v>
      </c>
      <c r="B107" s="30" t="str">
        <f aca="false">IFERROR(edatum(datwert(Tilgungsrechner!C12),101),"")</f>
        <v/>
      </c>
      <c r="C107" s="31" t="n">
        <f aca="false">IF(F106&lt;=0,"",F106)</f>
        <v>145926.41</v>
      </c>
      <c r="D107" s="31" t="n">
        <f aca="false">IFERROR(IF(C107="","",ROUND(C107*Tilgungsrechner!C8/12,2)),"")</f>
        <v>425.62</v>
      </c>
      <c r="E107" s="31" t="n">
        <f aca="false">IFERROR(IF(C107="","",MIN(ROUND(Tilgungsrechner!F7-D107,2),C107)),"")</f>
        <v>720.21</v>
      </c>
      <c r="F107" s="31" t="n">
        <f aca="false">IFERROR(IF(C107="","",MAX(0, C107-E107-IF(MOD(A107,12)=0,Tilgungsrechner!C10,0))),"")</f>
        <v>145206.2</v>
      </c>
      <c r="G107" s="32" t="n">
        <f aca="false">IFERROR(IF(C107="","",IF(MOD(A107,12)=0,MIN(Tilgungsrechner!C10,MAX(0,C107-E107)),0)),"")</f>
        <v>0</v>
      </c>
      <c r="H107" s="33" t="str">
        <f aca="false">IFERROR(IF(C107="","",aufround(A107/12,0)),"")</f>
        <v/>
      </c>
    </row>
    <row r="108" customFormat="false" ht="15.75" hidden="false" customHeight="true" outlineLevel="0" collapsed="false">
      <c r="A108" s="29" t="n">
        <v>103</v>
      </c>
      <c r="B108" s="30" t="str">
        <f aca="false">IFERROR(edatum(datwert(Tilgungsrechner!C12),102),"")</f>
        <v/>
      </c>
      <c r="C108" s="31" t="n">
        <f aca="false">IF(F107&lt;=0,"",F107)</f>
        <v>145206.2</v>
      </c>
      <c r="D108" s="31" t="n">
        <f aca="false">IFERROR(IF(C108="","",ROUND(C108*Tilgungsrechner!C8/12,2)),"")</f>
        <v>423.52</v>
      </c>
      <c r="E108" s="31" t="n">
        <f aca="false">IFERROR(IF(C108="","",MIN(ROUND(Tilgungsrechner!F7-D108,2),C108)),"")</f>
        <v>722.31</v>
      </c>
      <c r="F108" s="31" t="n">
        <f aca="false">IFERROR(IF(C108="","",MAX(0, C108-E108-IF(MOD(A108,12)=0,Tilgungsrechner!C10,0))),"")</f>
        <v>144483.89</v>
      </c>
      <c r="G108" s="32" t="n">
        <f aca="false">IFERROR(IF(C108="","",IF(MOD(A108,12)=0,MIN(Tilgungsrechner!C10,MAX(0,C108-E108)),0)),"")</f>
        <v>0</v>
      </c>
      <c r="H108" s="33" t="str">
        <f aca="false">IFERROR(IF(C108="","",aufround(A108/12,0)),"")</f>
        <v/>
      </c>
    </row>
    <row r="109" customFormat="false" ht="15.75" hidden="false" customHeight="true" outlineLevel="0" collapsed="false">
      <c r="A109" s="29" t="n">
        <v>104</v>
      </c>
      <c r="B109" s="30" t="str">
        <f aca="false">IFERROR(edatum(datwert(Tilgungsrechner!C12),103),"")</f>
        <v/>
      </c>
      <c r="C109" s="31" t="n">
        <f aca="false">IF(F108&lt;=0,"",F108)</f>
        <v>144483.89</v>
      </c>
      <c r="D109" s="31" t="n">
        <f aca="false">IFERROR(IF(C109="","",ROUND(C109*Tilgungsrechner!C8/12,2)),"")</f>
        <v>421.41</v>
      </c>
      <c r="E109" s="31" t="n">
        <f aca="false">IFERROR(IF(C109="","",MIN(ROUND(Tilgungsrechner!F7-D109,2),C109)),"")</f>
        <v>724.42</v>
      </c>
      <c r="F109" s="31" t="n">
        <f aca="false">IFERROR(IF(C109="","",MAX(0, C109-E109-IF(MOD(A109,12)=0,Tilgungsrechner!C10,0))),"")</f>
        <v>143759.47</v>
      </c>
      <c r="G109" s="32" t="n">
        <f aca="false">IFERROR(IF(C109="","",IF(MOD(A109,12)=0,MIN(Tilgungsrechner!C10,MAX(0,C109-E109)),0)),"")</f>
        <v>0</v>
      </c>
      <c r="H109" s="33" t="str">
        <f aca="false">IFERROR(IF(C109="","",aufround(A109/12,0)),"")</f>
        <v/>
      </c>
    </row>
    <row r="110" customFormat="false" ht="15.75" hidden="false" customHeight="true" outlineLevel="0" collapsed="false">
      <c r="A110" s="29" t="n">
        <v>105</v>
      </c>
      <c r="B110" s="30" t="str">
        <f aca="false">IFERROR(edatum(datwert(Tilgungsrechner!C12),104),"")</f>
        <v/>
      </c>
      <c r="C110" s="31" t="n">
        <f aca="false">IF(F109&lt;=0,"",F109)</f>
        <v>143759.47</v>
      </c>
      <c r="D110" s="31" t="n">
        <f aca="false">IFERROR(IF(C110="","",ROUND(C110*Tilgungsrechner!C8/12,2)),"")</f>
        <v>419.3</v>
      </c>
      <c r="E110" s="31" t="n">
        <f aca="false">IFERROR(IF(C110="","",MIN(ROUND(Tilgungsrechner!F7-D110,2),C110)),"")</f>
        <v>726.53</v>
      </c>
      <c r="F110" s="31" t="n">
        <f aca="false">IFERROR(IF(C110="","",MAX(0, C110-E110-IF(MOD(A110,12)=0,Tilgungsrechner!C10,0))),"")</f>
        <v>143032.94</v>
      </c>
      <c r="G110" s="32" t="n">
        <f aca="false">IFERROR(IF(C110="","",IF(MOD(A110,12)=0,MIN(Tilgungsrechner!C10,MAX(0,C110-E110)),0)),"")</f>
        <v>0</v>
      </c>
      <c r="H110" s="33" t="str">
        <f aca="false">IFERROR(IF(C110="","",aufround(A110/12,0)),"")</f>
        <v/>
      </c>
    </row>
    <row r="111" customFormat="false" ht="15.75" hidden="false" customHeight="true" outlineLevel="0" collapsed="false">
      <c r="A111" s="29" t="n">
        <v>106</v>
      </c>
      <c r="B111" s="30" t="str">
        <f aca="false">IFERROR(edatum(datwert(Tilgungsrechner!C12),105),"")</f>
        <v/>
      </c>
      <c r="C111" s="31" t="n">
        <f aca="false">IF(F110&lt;=0,"",F110)</f>
        <v>143032.94</v>
      </c>
      <c r="D111" s="31" t="n">
        <f aca="false">IFERROR(IF(C111="","",ROUND(C111*Tilgungsrechner!C8/12,2)),"")</f>
        <v>417.18</v>
      </c>
      <c r="E111" s="31" t="n">
        <f aca="false">IFERROR(IF(C111="","",MIN(ROUND(Tilgungsrechner!F7-D111,2),C111)),"")</f>
        <v>728.65</v>
      </c>
      <c r="F111" s="31" t="n">
        <f aca="false">IFERROR(IF(C111="","",MAX(0, C111-E111-IF(MOD(A111,12)=0,Tilgungsrechner!C10,0))),"")</f>
        <v>142304.29</v>
      </c>
      <c r="G111" s="32" t="n">
        <f aca="false">IFERROR(IF(C111="","",IF(MOD(A111,12)=0,MIN(Tilgungsrechner!C10,MAX(0,C111-E111)),0)),"")</f>
        <v>0</v>
      </c>
      <c r="H111" s="33" t="str">
        <f aca="false">IFERROR(IF(C111="","",aufround(A111/12,0)),"")</f>
        <v/>
      </c>
    </row>
    <row r="112" customFormat="false" ht="15.75" hidden="false" customHeight="true" outlineLevel="0" collapsed="false">
      <c r="A112" s="29" t="n">
        <v>107</v>
      </c>
      <c r="B112" s="30" t="str">
        <f aca="false">IFERROR(edatum(datwert(Tilgungsrechner!C12),106),"")</f>
        <v/>
      </c>
      <c r="C112" s="31" t="n">
        <f aca="false">IF(F111&lt;=0,"",F111)</f>
        <v>142304.29</v>
      </c>
      <c r="D112" s="31" t="n">
        <f aca="false">IFERROR(IF(C112="","",ROUND(C112*Tilgungsrechner!C8/12,2)),"")</f>
        <v>415.05</v>
      </c>
      <c r="E112" s="31" t="n">
        <f aca="false">IFERROR(IF(C112="","",MIN(ROUND(Tilgungsrechner!F7-D112,2),C112)),"")</f>
        <v>730.78</v>
      </c>
      <c r="F112" s="31" t="n">
        <f aca="false">IFERROR(IF(C112="","",MAX(0, C112-E112-IF(MOD(A112,12)=0,Tilgungsrechner!C10,0))),"")</f>
        <v>141573.51</v>
      </c>
      <c r="G112" s="32" t="n">
        <f aca="false">IFERROR(IF(C112="","",IF(MOD(A112,12)=0,MIN(Tilgungsrechner!C10,MAX(0,C112-E112)),0)),"")</f>
        <v>0</v>
      </c>
      <c r="H112" s="33" t="str">
        <f aca="false">IFERROR(IF(C112="","",aufround(A112/12,0)),"")</f>
        <v/>
      </c>
    </row>
    <row r="113" customFormat="false" ht="15.75" hidden="false" customHeight="true" outlineLevel="0" collapsed="false">
      <c r="A113" s="29" t="n">
        <v>108</v>
      </c>
      <c r="B113" s="30" t="str">
        <f aca="false">IFERROR(edatum(datwert(Tilgungsrechner!C12),107),"")</f>
        <v/>
      </c>
      <c r="C113" s="31" t="n">
        <f aca="false">IF(F112&lt;=0,"",F112)</f>
        <v>141573.51</v>
      </c>
      <c r="D113" s="31" t="n">
        <f aca="false">IFERROR(IF(C113="","",ROUND(C113*Tilgungsrechner!C8/12,2)),"")</f>
        <v>412.92</v>
      </c>
      <c r="E113" s="31" t="n">
        <f aca="false">IFERROR(IF(C113="","",MIN(ROUND(Tilgungsrechner!F7-D113,2),C113)),"")</f>
        <v>732.91</v>
      </c>
      <c r="F113" s="31" t="n">
        <f aca="false">IFERROR(IF(C113="","",MAX(0, C113-E113-IF(MOD(A113,12)=0,Tilgungsrechner!C10,0))),"")</f>
        <v>134840.6</v>
      </c>
      <c r="G113" s="32" t="n">
        <f aca="false">IFERROR(IF(C113="","",IF(MOD(A113,12)=0,MIN(Tilgungsrechner!C10,MAX(0,C113-E113)),0)),"")</f>
        <v>6000</v>
      </c>
      <c r="H113" s="33" t="str">
        <f aca="false">IFERROR(IF(C113="","",aufround(A113/12,0)),"")</f>
        <v/>
      </c>
    </row>
    <row r="114" customFormat="false" ht="15.75" hidden="false" customHeight="true" outlineLevel="0" collapsed="false">
      <c r="A114" s="29" t="n">
        <v>109</v>
      </c>
      <c r="B114" s="30" t="str">
        <f aca="false">IFERROR(edatum(datwert(Tilgungsrechner!C12),108),"")</f>
        <v/>
      </c>
      <c r="C114" s="31" t="n">
        <f aca="false">IF(F113&lt;=0,"",F113)</f>
        <v>134840.6</v>
      </c>
      <c r="D114" s="31" t="n">
        <f aca="false">IFERROR(IF(C114="","",ROUND(C114*Tilgungsrechner!C8/12,2)),"")</f>
        <v>393.29</v>
      </c>
      <c r="E114" s="31" t="n">
        <f aca="false">IFERROR(IF(C114="","",MIN(ROUND(Tilgungsrechner!F7-D114,2),C114)),"")</f>
        <v>752.54</v>
      </c>
      <c r="F114" s="31" t="n">
        <f aca="false">IFERROR(IF(C114="","",MAX(0, C114-E114-IF(MOD(A114,12)=0,Tilgungsrechner!C10,0))),"")</f>
        <v>134088.06</v>
      </c>
      <c r="G114" s="32" t="n">
        <f aca="false">IFERROR(IF(C114="","",IF(MOD(A114,12)=0,MIN(Tilgungsrechner!C10,MAX(0,C114-E114)),0)),"")</f>
        <v>0</v>
      </c>
      <c r="H114" s="33" t="str">
        <f aca="false">IFERROR(IF(C114="","",aufround(A114/12,0)),"")</f>
        <v/>
      </c>
    </row>
    <row r="115" customFormat="false" ht="15.75" hidden="false" customHeight="true" outlineLevel="0" collapsed="false">
      <c r="A115" s="29" t="n">
        <v>110</v>
      </c>
      <c r="B115" s="30" t="str">
        <f aca="false">IFERROR(edatum(datwert(Tilgungsrechner!C12),109),"")</f>
        <v/>
      </c>
      <c r="C115" s="31" t="n">
        <f aca="false">IF(F114&lt;=0,"",F114)</f>
        <v>134088.06</v>
      </c>
      <c r="D115" s="31" t="n">
        <f aca="false">IFERROR(IF(C115="","",ROUND(C115*Tilgungsrechner!C8/12,2)),"")</f>
        <v>391.09</v>
      </c>
      <c r="E115" s="31" t="n">
        <f aca="false">IFERROR(IF(C115="","",MIN(ROUND(Tilgungsrechner!F7-D115,2),C115)),"")</f>
        <v>754.74</v>
      </c>
      <c r="F115" s="31" t="n">
        <f aca="false">IFERROR(IF(C115="","",MAX(0, C115-E115-IF(MOD(A115,12)=0,Tilgungsrechner!C10,0))),"")</f>
        <v>133333.32</v>
      </c>
      <c r="G115" s="32" t="n">
        <f aca="false">IFERROR(IF(C115="","",IF(MOD(A115,12)=0,MIN(Tilgungsrechner!C10,MAX(0,C115-E115)),0)),"")</f>
        <v>0</v>
      </c>
      <c r="H115" s="33" t="str">
        <f aca="false">IFERROR(IF(C115="","",aufround(A115/12,0)),"")</f>
        <v/>
      </c>
    </row>
    <row r="116" customFormat="false" ht="15.75" hidden="false" customHeight="true" outlineLevel="0" collapsed="false">
      <c r="A116" s="29" t="n">
        <v>111</v>
      </c>
      <c r="B116" s="30" t="str">
        <f aca="false">IFERROR(edatum(datwert(Tilgungsrechner!C12),110),"")</f>
        <v/>
      </c>
      <c r="C116" s="31" t="n">
        <f aca="false">IF(F115&lt;=0,"",F115)</f>
        <v>133333.32</v>
      </c>
      <c r="D116" s="31" t="n">
        <f aca="false">IFERROR(IF(C116="","",ROUND(C116*Tilgungsrechner!C8/12,2)),"")</f>
        <v>388.89</v>
      </c>
      <c r="E116" s="31" t="n">
        <f aca="false">IFERROR(IF(C116="","",MIN(ROUND(Tilgungsrechner!F7-D116,2),C116)),"")</f>
        <v>756.94</v>
      </c>
      <c r="F116" s="31" t="n">
        <f aca="false">IFERROR(IF(C116="","",MAX(0, C116-E116-IF(MOD(A116,12)=0,Tilgungsrechner!C10,0))),"")</f>
        <v>132576.38</v>
      </c>
      <c r="G116" s="32" t="n">
        <f aca="false">IFERROR(IF(C116="","",IF(MOD(A116,12)=0,MIN(Tilgungsrechner!C10,MAX(0,C116-E116)),0)),"")</f>
        <v>0</v>
      </c>
      <c r="H116" s="33" t="str">
        <f aca="false">IFERROR(IF(C116="","",aufround(A116/12,0)),"")</f>
        <v/>
      </c>
    </row>
    <row r="117" customFormat="false" ht="15.75" hidden="false" customHeight="true" outlineLevel="0" collapsed="false">
      <c r="A117" s="29" t="n">
        <v>112</v>
      </c>
      <c r="B117" s="30" t="str">
        <f aca="false">IFERROR(edatum(datwert(Tilgungsrechner!C12),111),"")</f>
        <v/>
      </c>
      <c r="C117" s="31" t="n">
        <f aca="false">IF(F116&lt;=0,"",F116)</f>
        <v>132576.38</v>
      </c>
      <c r="D117" s="31" t="n">
        <f aca="false">IFERROR(IF(C117="","",ROUND(C117*Tilgungsrechner!C8/12,2)),"")</f>
        <v>386.68</v>
      </c>
      <c r="E117" s="31" t="n">
        <f aca="false">IFERROR(IF(C117="","",MIN(ROUND(Tilgungsrechner!F7-D117,2),C117)),"")</f>
        <v>759.15</v>
      </c>
      <c r="F117" s="31" t="n">
        <f aca="false">IFERROR(IF(C117="","",MAX(0, C117-E117-IF(MOD(A117,12)=0,Tilgungsrechner!C10,0))),"")</f>
        <v>131817.23</v>
      </c>
      <c r="G117" s="32" t="n">
        <f aca="false">IFERROR(IF(C117="","",IF(MOD(A117,12)=0,MIN(Tilgungsrechner!C10,MAX(0,C117-E117)),0)),"")</f>
        <v>0</v>
      </c>
      <c r="H117" s="33" t="str">
        <f aca="false">IFERROR(IF(C117="","",aufround(A117/12,0)),"")</f>
        <v/>
      </c>
    </row>
    <row r="118" customFormat="false" ht="15.75" hidden="false" customHeight="true" outlineLevel="0" collapsed="false">
      <c r="A118" s="29" t="n">
        <v>113</v>
      </c>
      <c r="B118" s="30" t="str">
        <f aca="false">IFERROR(edatum(datwert(Tilgungsrechner!C12),112),"")</f>
        <v/>
      </c>
      <c r="C118" s="31" t="n">
        <f aca="false">IF(F117&lt;=0,"",F117)</f>
        <v>131817.23</v>
      </c>
      <c r="D118" s="31" t="n">
        <f aca="false">IFERROR(IF(C118="","",ROUND(C118*Tilgungsrechner!C8/12,2)),"")</f>
        <v>384.47</v>
      </c>
      <c r="E118" s="31" t="n">
        <f aca="false">IFERROR(IF(C118="","",MIN(ROUND(Tilgungsrechner!F7-D118,2),C118)),"")</f>
        <v>761.36</v>
      </c>
      <c r="F118" s="31" t="n">
        <f aca="false">IFERROR(IF(C118="","",MAX(0, C118-E118-IF(MOD(A118,12)=0,Tilgungsrechner!C10,0))),"")</f>
        <v>131055.87</v>
      </c>
      <c r="G118" s="32" t="n">
        <f aca="false">IFERROR(IF(C118="","",IF(MOD(A118,12)=0,MIN(Tilgungsrechner!C10,MAX(0,C118-E118)),0)),"")</f>
        <v>0</v>
      </c>
      <c r="H118" s="33" t="str">
        <f aca="false">IFERROR(IF(C118="","",aufround(A118/12,0)),"")</f>
        <v/>
      </c>
    </row>
    <row r="119" customFormat="false" ht="15.75" hidden="false" customHeight="true" outlineLevel="0" collapsed="false">
      <c r="A119" s="29" t="n">
        <v>114</v>
      </c>
      <c r="B119" s="30" t="str">
        <f aca="false">IFERROR(edatum(datwert(Tilgungsrechner!C12),113),"")</f>
        <v/>
      </c>
      <c r="C119" s="31" t="n">
        <f aca="false">IF(F118&lt;=0,"",F118)</f>
        <v>131055.87</v>
      </c>
      <c r="D119" s="31" t="n">
        <f aca="false">IFERROR(IF(C119="","",ROUND(C119*Tilgungsrechner!C8/12,2)),"")</f>
        <v>382.25</v>
      </c>
      <c r="E119" s="31" t="n">
        <f aca="false">IFERROR(IF(C119="","",MIN(ROUND(Tilgungsrechner!F7-D119,2),C119)),"")</f>
        <v>763.58</v>
      </c>
      <c r="F119" s="31" t="n">
        <f aca="false">IFERROR(IF(C119="","",MAX(0, C119-E119-IF(MOD(A119,12)=0,Tilgungsrechner!C10,0))),"")</f>
        <v>130292.29</v>
      </c>
      <c r="G119" s="32" t="n">
        <f aca="false">IFERROR(IF(C119="","",IF(MOD(A119,12)=0,MIN(Tilgungsrechner!C10,MAX(0,C119-E119)),0)),"")</f>
        <v>0</v>
      </c>
      <c r="H119" s="33" t="str">
        <f aca="false">IFERROR(IF(C119="","",aufround(A119/12,0)),"")</f>
        <v/>
      </c>
    </row>
    <row r="120" customFormat="false" ht="15.75" hidden="false" customHeight="true" outlineLevel="0" collapsed="false">
      <c r="A120" s="29" t="n">
        <v>115</v>
      </c>
      <c r="B120" s="30" t="str">
        <f aca="false">IFERROR(edatum(datwert(Tilgungsrechner!C12),114),"")</f>
        <v/>
      </c>
      <c r="C120" s="31" t="n">
        <f aca="false">IF(F119&lt;=0,"",F119)</f>
        <v>130292.29</v>
      </c>
      <c r="D120" s="31" t="n">
        <f aca="false">IFERROR(IF(C120="","",ROUND(C120*Tilgungsrechner!C8/12,2)),"")</f>
        <v>380.02</v>
      </c>
      <c r="E120" s="31" t="n">
        <f aca="false">IFERROR(IF(C120="","",MIN(ROUND(Tilgungsrechner!F7-D120,2),C120)),"")</f>
        <v>765.81</v>
      </c>
      <c r="F120" s="31" t="n">
        <f aca="false">IFERROR(IF(C120="","",MAX(0, C120-E120-IF(MOD(A120,12)=0,Tilgungsrechner!C10,0))),"")</f>
        <v>129526.48</v>
      </c>
      <c r="G120" s="32" t="n">
        <f aca="false">IFERROR(IF(C120="","",IF(MOD(A120,12)=0,MIN(Tilgungsrechner!C10,MAX(0,C120-E120)),0)),"")</f>
        <v>0</v>
      </c>
      <c r="H120" s="33" t="str">
        <f aca="false">IFERROR(IF(C120="","",aufround(A120/12,0)),"")</f>
        <v/>
      </c>
    </row>
    <row r="121" customFormat="false" ht="15.75" hidden="false" customHeight="true" outlineLevel="0" collapsed="false">
      <c r="A121" s="29" t="n">
        <v>116</v>
      </c>
      <c r="B121" s="30" t="str">
        <f aca="false">IFERROR(edatum(datwert(Tilgungsrechner!C12),115),"")</f>
        <v/>
      </c>
      <c r="C121" s="31" t="n">
        <f aca="false">IF(F120&lt;=0,"",F120)</f>
        <v>129526.48</v>
      </c>
      <c r="D121" s="31" t="n">
        <f aca="false">IFERROR(IF(C121="","",ROUND(C121*Tilgungsrechner!C8/12,2)),"")</f>
        <v>377.79</v>
      </c>
      <c r="E121" s="31" t="n">
        <f aca="false">IFERROR(IF(C121="","",MIN(ROUND(Tilgungsrechner!F7-D121,2),C121)),"")</f>
        <v>768.04</v>
      </c>
      <c r="F121" s="31" t="n">
        <f aca="false">IFERROR(IF(C121="","",MAX(0, C121-E121-IF(MOD(A121,12)=0,Tilgungsrechner!C10,0))),"")</f>
        <v>128758.44</v>
      </c>
      <c r="G121" s="32" t="n">
        <f aca="false">IFERROR(IF(C121="","",IF(MOD(A121,12)=0,MIN(Tilgungsrechner!C10,MAX(0,C121-E121)),0)),"")</f>
        <v>0</v>
      </c>
      <c r="H121" s="33" t="str">
        <f aca="false">IFERROR(IF(C121="","",aufround(A121/12,0)),"")</f>
        <v/>
      </c>
    </row>
    <row r="122" customFormat="false" ht="15.75" hidden="false" customHeight="true" outlineLevel="0" collapsed="false">
      <c r="A122" s="29" t="n">
        <v>117</v>
      </c>
      <c r="B122" s="30" t="str">
        <f aca="false">IFERROR(edatum(datwert(Tilgungsrechner!C12),116),"")</f>
        <v/>
      </c>
      <c r="C122" s="31" t="n">
        <f aca="false">IF(F121&lt;=0,"",F121)</f>
        <v>128758.44</v>
      </c>
      <c r="D122" s="31" t="n">
        <f aca="false">IFERROR(IF(C122="","",ROUND(C122*Tilgungsrechner!C8/12,2)),"")</f>
        <v>375.55</v>
      </c>
      <c r="E122" s="31" t="n">
        <f aca="false">IFERROR(IF(C122="","",MIN(ROUND(Tilgungsrechner!F7-D122,2),C122)),"")</f>
        <v>770.28</v>
      </c>
      <c r="F122" s="31" t="n">
        <f aca="false">IFERROR(IF(C122="","",MAX(0, C122-E122-IF(MOD(A122,12)=0,Tilgungsrechner!C10,0))),"")</f>
        <v>127988.16</v>
      </c>
      <c r="G122" s="32" t="n">
        <f aca="false">IFERROR(IF(C122="","",IF(MOD(A122,12)=0,MIN(Tilgungsrechner!C10,MAX(0,C122-E122)),0)),"")</f>
        <v>0</v>
      </c>
      <c r="H122" s="33" t="str">
        <f aca="false">IFERROR(IF(C122="","",aufround(A122/12,0)),"")</f>
        <v/>
      </c>
    </row>
    <row r="123" customFormat="false" ht="15.75" hidden="false" customHeight="true" outlineLevel="0" collapsed="false">
      <c r="A123" s="29" t="n">
        <v>118</v>
      </c>
      <c r="B123" s="30" t="str">
        <f aca="false">IFERROR(edatum(datwert(Tilgungsrechner!C12),117),"")</f>
        <v/>
      </c>
      <c r="C123" s="31" t="n">
        <f aca="false">IF(F122&lt;=0,"",F122)</f>
        <v>127988.16</v>
      </c>
      <c r="D123" s="31" t="n">
        <f aca="false">IFERROR(IF(C123="","",ROUND(C123*Tilgungsrechner!C8/12,2)),"")</f>
        <v>373.3</v>
      </c>
      <c r="E123" s="31" t="n">
        <f aca="false">IFERROR(IF(C123="","",MIN(ROUND(Tilgungsrechner!F7-D123,2),C123)),"")</f>
        <v>772.53</v>
      </c>
      <c r="F123" s="31" t="n">
        <f aca="false">IFERROR(IF(C123="","",MAX(0, C123-E123-IF(MOD(A123,12)=0,Tilgungsrechner!C10,0))),"")</f>
        <v>127215.63</v>
      </c>
      <c r="G123" s="32" t="n">
        <f aca="false">IFERROR(IF(C123="","",IF(MOD(A123,12)=0,MIN(Tilgungsrechner!C10,MAX(0,C123-E123)),0)),"")</f>
        <v>0</v>
      </c>
      <c r="H123" s="33" t="str">
        <f aca="false">IFERROR(IF(C123="","",aufround(A123/12,0)),"")</f>
        <v/>
      </c>
    </row>
    <row r="124" customFormat="false" ht="15.75" hidden="false" customHeight="true" outlineLevel="0" collapsed="false">
      <c r="A124" s="29" t="n">
        <v>119</v>
      </c>
      <c r="B124" s="30" t="str">
        <f aca="false">IFERROR(edatum(datwert(Tilgungsrechner!C12),118),"")</f>
        <v/>
      </c>
      <c r="C124" s="31" t="n">
        <f aca="false">IF(F123&lt;=0,"",F123)</f>
        <v>127215.63</v>
      </c>
      <c r="D124" s="31" t="n">
        <f aca="false">IFERROR(IF(C124="","",ROUND(C124*Tilgungsrechner!C8/12,2)),"")</f>
        <v>371.05</v>
      </c>
      <c r="E124" s="31" t="n">
        <f aca="false">IFERROR(IF(C124="","",MIN(ROUND(Tilgungsrechner!F7-D124,2),C124)),"")</f>
        <v>774.78</v>
      </c>
      <c r="F124" s="31" t="n">
        <f aca="false">IFERROR(IF(C124="","",MAX(0, C124-E124-IF(MOD(A124,12)=0,Tilgungsrechner!C10,0))),"")</f>
        <v>126440.85</v>
      </c>
      <c r="G124" s="32" t="n">
        <f aca="false">IFERROR(IF(C124="","",IF(MOD(A124,12)=0,MIN(Tilgungsrechner!C10,MAX(0,C124-E124)),0)),"")</f>
        <v>0</v>
      </c>
      <c r="H124" s="33" t="str">
        <f aca="false">IFERROR(IF(C124="","",aufround(A124/12,0)),"")</f>
        <v/>
      </c>
    </row>
    <row r="125" customFormat="false" ht="15.75" hidden="false" customHeight="true" outlineLevel="0" collapsed="false">
      <c r="A125" s="29" t="n">
        <v>120</v>
      </c>
      <c r="B125" s="30" t="str">
        <f aca="false">IFERROR(edatum(datwert(Tilgungsrechner!C12),119),"")</f>
        <v/>
      </c>
      <c r="C125" s="31" t="n">
        <f aca="false">IF(F124&lt;=0,"",F124)</f>
        <v>126440.85</v>
      </c>
      <c r="D125" s="31" t="n">
        <f aca="false">IFERROR(IF(C125="","",ROUND(C125*Tilgungsrechner!C8/12,2)),"")</f>
        <v>368.79</v>
      </c>
      <c r="E125" s="31" t="n">
        <f aca="false">IFERROR(IF(C125="","",MIN(ROUND(Tilgungsrechner!F7-D125,2),C125)),"")</f>
        <v>777.04</v>
      </c>
      <c r="F125" s="31" t="n">
        <f aca="false">IFERROR(IF(C125="","",MAX(0, C125-E125-IF(MOD(A125,12)=0,Tilgungsrechner!C10,0))),"")</f>
        <v>119663.81</v>
      </c>
      <c r="G125" s="32" t="n">
        <f aca="false">IFERROR(IF(C125="","",IF(MOD(A125,12)=0,MIN(Tilgungsrechner!C10,MAX(0,C125-E125)),0)),"")</f>
        <v>6000</v>
      </c>
      <c r="H125" s="33" t="str">
        <f aca="false">IFERROR(IF(C125="","",aufround(A125/12,0)),"")</f>
        <v/>
      </c>
    </row>
    <row r="126" customFormat="false" ht="15.75" hidden="false" customHeight="true" outlineLevel="0" collapsed="false">
      <c r="A126" s="29" t="n">
        <v>121</v>
      </c>
      <c r="B126" s="30" t="str">
        <f aca="false">IFERROR(edatum(datwert(Tilgungsrechner!C12),120),"")</f>
        <v/>
      </c>
      <c r="C126" s="31" t="n">
        <f aca="false">IF(F125&lt;=0,"",F125)</f>
        <v>119663.81</v>
      </c>
      <c r="D126" s="31" t="n">
        <f aca="false">IFERROR(IF(C126="","",ROUND(C126*Tilgungsrechner!C8/12,2)),"")</f>
        <v>349.02</v>
      </c>
      <c r="E126" s="31" t="n">
        <f aca="false">IFERROR(IF(C126="","",MIN(ROUND(Tilgungsrechner!F7-D126,2),C126)),"")</f>
        <v>796.81</v>
      </c>
      <c r="F126" s="31" t="n">
        <f aca="false">IFERROR(IF(C126="","",MAX(0, C126-E126-IF(MOD(A126,12)=0,Tilgungsrechner!C10,0))),"")</f>
        <v>118867</v>
      </c>
      <c r="G126" s="32" t="n">
        <f aca="false">IFERROR(IF(C126="","",IF(MOD(A126,12)=0,MIN(Tilgungsrechner!C10,MAX(0,C126-E126)),0)),"")</f>
        <v>0</v>
      </c>
      <c r="H126" s="33" t="str">
        <f aca="false">IFERROR(IF(C126="","",aufround(A126/12,0)),"")</f>
        <v/>
      </c>
    </row>
    <row r="127" customFormat="false" ht="15.75" hidden="false" customHeight="true" outlineLevel="0" collapsed="false">
      <c r="A127" s="29" t="n">
        <v>122</v>
      </c>
      <c r="B127" s="30" t="str">
        <f aca="false">IFERROR(edatum(datwert(Tilgungsrechner!C12),121),"")</f>
        <v/>
      </c>
      <c r="C127" s="31" t="n">
        <f aca="false">IF(F126&lt;=0,"",F126)</f>
        <v>118867</v>
      </c>
      <c r="D127" s="31" t="n">
        <f aca="false">IFERROR(IF(C127="","",ROUND(C127*Tilgungsrechner!C8/12,2)),"")</f>
        <v>346.7</v>
      </c>
      <c r="E127" s="31" t="n">
        <f aca="false">IFERROR(IF(C127="","",MIN(ROUND(Tilgungsrechner!F7-D127,2),C127)),"")</f>
        <v>799.13</v>
      </c>
      <c r="F127" s="31" t="n">
        <f aca="false">IFERROR(IF(C127="","",MAX(0, C127-E127-IF(MOD(A127,12)=0,Tilgungsrechner!C10,0))),"")</f>
        <v>118067.87</v>
      </c>
      <c r="G127" s="32" t="n">
        <f aca="false">IFERROR(IF(C127="","",IF(MOD(A127,12)=0,MIN(Tilgungsrechner!C10,MAX(0,C127-E127)),0)),"")</f>
        <v>0</v>
      </c>
      <c r="H127" s="33" t="str">
        <f aca="false">IFERROR(IF(C127="","",aufround(A127/12,0)),"")</f>
        <v/>
      </c>
    </row>
    <row r="128" customFormat="false" ht="15.75" hidden="false" customHeight="true" outlineLevel="0" collapsed="false">
      <c r="A128" s="29" t="n">
        <v>123</v>
      </c>
      <c r="B128" s="30" t="str">
        <f aca="false">IFERROR(edatum(datwert(Tilgungsrechner!C12),122),"")</f>
        <v/>
      </c>
      <c r="C128" s="31" t="n">
        <f aca="false">IF(F127&lt;=0,"",F127)</f>
        <v>118067.87</v>
      </c>
      <c r="D128" s="31" t="n">
        <f aca="false">IFERROR(IF(C128="","",ROUND(C128*Tilgungsrechner!C8/12,2)),"")</f>
        <v>344.36</v>
      </c>
      <c r="E128" s="31" t="n">
        <f aca="false">IFERROR(IF(C128="","",MIN(ROUND(Tilgungsrechner!F7-D128,2),C128)),"")</f>
        <v>801.47</v>
      </c>
      <c r="F128" s="31" t="n">
        <f aca="false">IFERROR(IF(C128="","",MAX(0, C128-E128-IF(MOD(A128,12)=0,Tilgungsrechner!C10,0))),"")</f>
        <v>117266.4</v>
      </c>
      <c r="G128" s="32" t="n">
        <f aca="false">IFERROR(IF(C128="","",IF(MOD(A128,12)=0,MIN(Tilgungsrechner!C10,MAX(0,C128-E128)),0)),"")</f>
        <v>0</v>
      </c>
      <c r="H128" s="33" t="str">
        <f aca="false">IFERROR(IF(C128="","",aufround(A128/12,0)),"")</f>
        <v/>
      </c>
    </row>
    <row r="129" customFormat="false" ht="15.75" hidden="false" customHeight="true" outlineLevel="0" collapsed="false">
      <c r="A129" s="29" t="n">
        <v>124</v>
      </c>
      <c r="B129" s="30" t="str">
        <f aca="false">IFERROR(edatum(datwert(Tilgungsrechner!C12),123),"")</f>
        <v/>
      </c>
      <c r="C129" s="31" t="n">
        <f aca="false">IF(F128&lt;=0,"",F128)</f>
        <v>117266.4</v>
      </c>
      <c r="D129" s="31" t="n">
        <f aca="false">IFERROR(IF(C129="","",ROUND(C129*Tilgungsrechner!C8/12,2)),"")</f>
        <v>342.03</v>
      </c>
      <c r="E129" s="31" t="n">
        <f aca="false">IFERROR(IF(C129="","",MIN(ROUND(Tilgungsrechner!F7-D129,2),C129)),"")</f>
        <v>803.8</v>
      </c>
      <c r="F129" s="31" t="n">
        <f aca="false">IFERROR(IF(C129="","",MAX(0, C129-E129-IF(MOD(A129,12)=0,Tilgungsrechner!C10,0))),"")</f>
        <v>116462.6</v>
      </c>
      <c r="G129" s="32" t="n">
        <f aca="false">IFERROR(IF(C129="","",IF(MOD(A129,12)=0,MIN(Tilgungsrechner!C10,MAX(0,C129-E129)),0)),"")</f>
        <v>0</v>
      </c>
      <c r="H129" s="33" t="str">
        <f aca="false">IFERROR(IF(C129="","",aufround(A129/12,0)),"")</f>
        <v/>
      </c>
    </row>
    <row r="130" customFormat="false" ht="15.75" hidden="false" customHeight="true" outlineLevel="0" collapsed="false">
      <c r="A130" s="29" t="n">
        <v>125</v>
      </c>
      <c r="B130" s="30" t="str">
        <f aca="false">IFERROR(edatum(datwert(Tilgungsrechner!C12),124),"")</f>
        <v/>
      </c>
      <c r="C130" s="31" t="n">
        <f aca="false">IF(F129&lt;=0,"",F129)</f>
        <v>116462.6</v>
      </c>
      <c r="D130" s="31" t="n">
        <f aca="false">IFERROR(IF(C130="","",ROUND(C130*Tilgungsrechner!C8/12,2)),"")</f>
        <v>339.68</v>
      </c>
      <c r="E130" s="31" t="n">
        <f aca="false">IFERROR(IF(C130="","",MIN(ROUND(Tilgungsrechner!F7-D130,2),C130)),"")</f>
        <v>806.15</v>
      </c>
      <c r="F130" s="31" t="n">
        <f aca="false">IFERROR(IF(C130="","",MAX(0, C130-E130-IF(MOD(A130,12)=0,Tilgungsrechner!C10,0))),"")</f>
        <v>115656.45</v>
      </c>
      <c r="G130" s="32" t="n">
        <f aca="false">IFERROR(IF(C130="","",IF(MOD(A130,12)=0,MIN(Tilgungsrechner!C10,MAX(0,C130-E130)),0)),"")</f>
        <v>0</v>
      </c>
      <c r="H130" s="33" t="str">
        <f aca="false">IFERROR(IF(C130="","",aufround(A130/12,0)),"")</f>
        <v/>
      </c>
    </row>
    <row r="131" customFormat="false" ht="15.75" hidden="false" customHeight="true" outlineLevel="0" collapsed="false">
      <c r="A131" s="29" t="n">
        <v>126</v>
      </c>
      <c r="B131" s="30" t="str">
        <f aca="false">IFERROR(edatum(datwert(Tilgungsrechner!C12),125),"")</f>
        <v/>
      </c>
      <c r="C131" s="31" t="n">
        <f aca="false">IF(F130&lt;=0,"",F130)</f>
        <v>115656.45</v>
      </c>
      <c r="D131" s="31" t="n">
        <f aca="false">IFERROR(IF(C131="","",ROUND(C131*Tilgungsrechner!C8/12,2)),"")</f>
        <v>337.33</v>
      </c>
      <c r="E131" s="31" t="n">
        <f aca="false">IFERROR(IF(C131="","",MIN(ROUND(Tilgungsrechner!F7-D131,2),C131)),"")</f>
        <v>808.5</v>
      </c>
      <c r="F131" s="31" t="n">
        <f aca="false">IFERROR(IF(C131="","",MAX(0, C131-E131-IF(MOD(A131,12)=0,Tilgungsrechner!C10,0))),"")</f>
        <v>114847.95</v>
      </c>
      <c r="G131" s="32" t="n">
        <f aca="false">IFERROR(IF(C131="","",IF(MOD(A131,12)=0,MIN(Tilgungsrechner!C10,MAX(0,C131-E131)),0)),"")</f>
        <v>0</v>
      </c>
      <c r="H131" s="33" t="str">
        <f aca="false">IFERROR(IF(C131="","",aufround(A131/12,0)),"")</f>
        <v/>
      </c>
    </row>
    <row r="132" customFormat="false" ht="15.75" hidden="false" customHeight="true" outlineLevel="0" collapsed="false">
      <c r="A132" s="29" t="n">
        <v>127</v>
      </c>
      <c r="B132" s="30" t="str">
        <f aca="false">IFERROR(edatum(datwert(Tilgungsrechner!C12),126),"")</f>
        <v/>
      </c>
      <c r="C132" s="31" t="n">
        <f aca="false">IF(F131&lt;=0,"",F131)</f>
        <v>114847.95</v>
      </c>
      <c r="D132" s="31" t="n">
        <f aca="false">IFERROR(IF(C132="","",ROUND(C132*Tilgungsrechner!C8/12,2)),"")</f>
        <v>334.97</v>
      </c>
      <c r="E132" s="31" t="n">
        <f aca="false">IFERROR(IF(C132="","",MIN(ROUND(Tilgungsrechner!F7-D132,2),C132)),"")</f>
        <v>810.86</v>
      </c>
      <c r="F132" s="31" t="n">
        <f aca="false">IFERROR(IF(C132="","",MAX(0, C132-E132-IF(MOD(A132,12)=0,Tilgungsrechner!C10,0))),"")</f>
        <v>114037.09</v>
      </c>
      <c r="G132" s="32" t="n">
        <f aca="false">IFERROR(IF(C132="","",IF(MOD(A132,12)=0,MIN(Tilgungsrechner!C10,MAX(0,C132-E132)),0)),"")</f>
        <v>0</v>
      </c>
      <c r="H132" s="33" t="str">
        <f aca="false">IFERROR(IF(C132="","",aufround(A132/12,0)),"")</f>
        <v/>
      </c>
    </row>
    <row r="133" customFormat="false" ht="15.75" hidden="false" customHeight="true" outlineLevel="0" collapsed="false">
      <c r="A133" s="29" t="n">
        <v>128</v>
      </c>
      <c r="B133" s="30" t="str">
        <f aca="false">IFERROR(edatum(datwert(Tilgungsrechner!C12),127),"")</f>
        <v/>
      </c>
      <c r="C133" s="31" t="n">
        <f aca="false">IF(F132&lt;=0,"",F132)</f>
        <v>114037.09</v>
      </c>
      <c r="D133" s="31" t="n">
        <f aca="false">IFERROR(IF(C133="","",ROUND(C133*Tilgungsrechner!C8/12,2)),"")</f>
        <v>332.61</v>
      </c>
      <c r="E133" s="31" t="n">
        <f aca="false">IFERROR(IF(C133="","",MIN(ROUND(Tilgungsrechner!F7-D133,2),C133)),"")</f>
        <v>813.22</v>
      </c>
      <c r="F133" s="31" t="n">
        <f aca="false">IFERROR(IF(C133="","",MAX(0, C133-E133-IF(MOD(A133,12)=0,Tilgungsrechner!C10,0))),"")</f>
        <v>113223.87</v>
      </c>
      <c r="G133" s="32" t="n">
        <f aca="false">IFERROR(IF(C133="","",IF(MOD(A133,12)=0,MIN(Tilgungsrechner!C10,MAX(0,C133-E133)),0)),"")</f>
        <v>0</v>
      </c>
      <c r="H133" s="33" t="str">
        <f aca="false">IFERROR(IF(C133="","",aufround(A133/12,0)),"")</f>
        <v/>
      </c>
    </row>
    <row r="134" customFormat="false" ht="15.75" hidden="false" customHeight="true" outlineLevel="0" collapsed="false">
      <c r="A134" s="29" t="n">
        <v>129</v>
      </c>
      <c r="B134" s="30" t="str">
        <f aca="false">IFERROR(edatum(datwert(Tilgungsrechner!C12),128),"")</f>
        <v/>
      </c>
      <c r="C134" s="31" t="n">
        <f aca="false">IF(F133&lt;=0,"",F133)</f>
        <v>113223.87</v>
      </c>
      <c r="D134" s="31" t="n">
        <f aca="false">IFERROR(IF(C134="","",ROUND(C134*Tilgungsrechner!C8/12,2)),"")</f>
        <v>330.24</v>
      </c>
      <c r="E134" s="31" t="n">
        <f aca="false">IFERROR(IF(C134="","",MIN(ROUND(Tilgungsrechner!F7-D134,2),C134)),"")</f>
        <v>815.59</v>
      </c>
      <c r="F134" s="31" t="n">
        <f aca="false">IFERROR(IF(C134="","",MAX(0, C134-E134-IF(MOD(A134,12)=0,Tilgungsrechner!C10,0))),"")</f>
        <v>112408.28</v>
      </c>
      <c r="G134" s="32" t="n">
        <f aca="false">IFERROR(IF(C134="","",IF(MOD(A134,12)=0,MIN(Tilgungsrechner!C10,MAX(0,C134-E134)),0)),"")</f>
        <v>0</v>
      </c>
      <c r="H134" s="33" t="str">
        <f aca="false">IFERROR(IF(C134="","",aufround(A134/12,0)),"")</f>
        <v/>
      </c>
    </row>
    <row r="135" customFormat="false" ht="15.75" hidden="false" customHeight="true" outlineLevel="0" collapsed="false">
      <c r="A135" s="29" t="n">
        <v>130</v>
      </c>
      <c r="B135" s="30" t="str">
        <f aca="false">IFERROR(edatum(datwert(Tilgungsrechner!C12),129),"")</f>
        <v/>
      </c>
      <c r="C135" s="31" t="n">
        <f aca="false">IF(F134&lt;=0,"",F134)</f>
        <v>112408.28</v>
      </c>
      <c r="D135" s="31" t="n">
        <f aca="false">IFERROR(IF(C135="","",ROUND(C135*Tilgungsrechner!C8/12,2)),"")</f>
        <v>327.86</v>
      </c>
      <c r="E135" s="31" t="n">
        <f aca="false">IFERROR(IF(C135="","",MIN(ROUND(Tilgungsrechner!F7-D135,2),C135)),"")</f>
        <v>817.97</v>
      </c>
      <c r="F135" s="31" t="n">
        <f aca="false">IFERROR(IF(C135="","",MAX(0, C135-E135-IF(MOD(A135,12)=0,Tilgungsrechner!C10,0))),"")</f>
        <v>111590.31</v>
      </c>
      <c r="G135" s="32" t="n">
        <f aca="false">IFERROR(IF(C135="","",IF(MOD(A135,12)=0,MIN(Tilgungsrechner!C10,MAX(0,C135-E135)),0)),"")</f>
        <v>0</v>
      </c>
      <c r="H135" s="33" t="str">
        <f aca="false">IFERROR(IF(C135="","",aufround(A135/12,0)),"")</f>
        <v/>
      </c>
    </row>
    <row r="136" customFormat="false" ht="15.75" hidden="false" customHeight="true" outlineLevel="0" collapsed="false">
      <c r="A136" s="29" t="n">
        <v>131</v>
      </c>
      <c r="B136" s="30" t="str">
        <f aca="false">IFERROR(edatum(datwert(Tilgungsrechner!C12),130),"")</f>
        <v/>
      </c>
      <c r="C136" s="31" t="n">
        <f aca="false">IF(F135&lt;=0,"",F135)</f>
        <v>111590.31</v>
      </c>
      <c r="D136" s="31" t="n">
        <f aca="false">IFERROR(IF(C136="","",ROUND(C136*Tilgungsrechner!C8/12,2)),"")</f>
        <v>325.47</v>
      </c>
      <c r="E136" s="31" t="n">
        <f aca="false">IFERROR(IF(C136="","",MIN(ROUND(Tilgungsrechner!F7-D136,2),C136)),"")</f>
        <v>820.36</v>
      </c>
      <c r="F136" s="31" t="n">
        <f aca="false">IFERROR(IF(C136="","",MAX(0, C136-E136-IF(MOD(A136,12)=0,Tilgungsrechner!C10,0))),"")</f>
        <v>110769.95</v>
      </c>
      <c r="G136" s="32" t="n">
        <f aca="false">IFERROR(IF(C136="","",IF(MOD(A136,12)=0,MIN(Tilgungsrechner!C10,MAX(0,C136-E136)),0)),"")</f>
        <v>0</v>
      </c>
      <c r="H136" s="33" t="str">
        <f aca="false">IFERROR(IF(C136="","",aufround(A136/12,0)),"")</f>
        <v/>
      </c>
    </row>
    <row r="137" customFormat="false" ht="15.75" hidden="false" customHeight="true" outlineLevel="0" collapsed="false">
      <c r="A137" s="29" t="n">
        <v>132</v>
      </c>
      <c r="B137" s="30" t="str">
        <f aca="false">IFERROR(edatum(datwert(Tilgungsrechner!C12),131),"")</f>
        <v/>
      </c>
      <c r="C137" s="31" t="n">
        <f aca="false">IF(F136&lt;=0,"",F136)</f>
        <v>110769.95</v>
      </c>
      <c r="D137" s="31" t="n">
        <f aca="false">IFERROR(IF(C137="","",ROUND(C137*Tilgungsrechner!C8/12,2)),"")</f>
        <v>323.08</v>
      </c>
      <c r="E137" s="31" t="n">
        <f aca="false">IFERROR(IF(C137="","",MIN(ROUND(Tilgungsrechner!F7-D137,2),C137)),"")</f>
        <v>822.75</v>
      </c>
      <c r="F137" s="31" t="n">
        <f aca="false">IFERROR(IF(C137="","",MAX(0, C137-E137-IF(MOD(A137,12)=0,Tilgungsrechner!C10,0))),"")</f>
        <v>103947.2</v>
      </c>
      <c r="G137" s="32" t="n">
        <f aca="false">IFERROR(IF(C137="","",IF(MOD(A137,12)=0,MIN(Tilgungsrechner!C10,MAX(0,C137-E137)),0)),"")</f>
        <v>6000</v>
      </c>
      <c r="H137" s="33" t="str">
        <f aca="false">IFERROR(IF(C137="","",aufround(A137/12,0)),"")</f>
        <v/>
      </c>
    </row>
    <row r="138" customFormat="false" ht="15.75" hidden="false" customHeight="true" outlineLevel="0" collapsed="false">
      <c r="A138" s="29" t="n">
        <v>133</v>
      </c>
      <c r="B138" s="30" t="str">
        <f aca="false">IFERROR(edatum(datwert(Tilgungsrechner!C12),132),"")</f>
        <v/>
      </c>
      <c r="C138" s="31" t="n">
        <f aca="false">IF(F137&lt;=0,"",F137)</f>
        <v>103947.2</v>
      </c>
      <c r="D138" s="31" t="n">
        <f aca="false">IFERROR(IF(C138="","",ROUND(C138*Tilgungsrechner!C8/12,2)),"")</f>
        <v>303.18</v>
      </c>
      <c r="E138" s="31" t="n">
        <f aca="false">IFERROR(IF(C138="","",MIN(ROUND(Tilgungsrechner!F7-D138,2),C138)),"")</f>
        <v>842.65</v>
      </c>
      <c r="F138" s="31" t="n">
        <f aca="false">IFERROR(IF(C138="","",MAX(0, C138-E138-IF(MOD(A138,12)=0,Tilgungsrechner!C10,0))),"")</f>
        <v>103104.55</v>
      </c>
      <c r="G138" s="32" t="n">
        <f aca="false">IFERROR(IF(C138="","",IF(MOD(A138,12)=0,MIN(Tilgungsrechner!C10,MAX(0,C138-E138)),0)),"")</f>
        <v>0</v>
      </c>
      <c r="H138" s="33" t="str">
        <f aca="false">IFERROR(IF(C138="","",aufround(A138/12,0)),"")</f>
        <v/>
      </c>
    </row>
    <row r="139" customFormat="false" ht="15.75" hidden="false" customHeight="true" outlineLevel="0" collapsed="false">
      <c r="A139" s="29" t="n">
        <v>134</v>
      </c>
      <c r="B139" s="30" t="str">
        <f aca="false">IFERROR(edatum(datwert(Tilgungsrechner!C12),133),"")</f>
        <v/>
      </c>
      <c r="C139" s="31" t="n">
        <f aca="false">IF(F138&lt;=0,"",F138)</f>
        <v>103104.55</v>
      </c>
      <c r="D139" s="31" t="n">
        <f aca="false">IFERROR(IF(C139="","",ROUND(C139*Tilgungsrechner!C8/12,2)),"")</f>
        <v>300.72</v>
      </c>
      <c r="E139" s="31" t="n">
        <f aca="false">IFERROR(IF(C139="","",MIN(ROUND(Tilgungsrechner!F7-D139,2),C139)),"")</f>
        <v>845.11</v>
      </c>
      <c r="F139" s="31" t="n">
        <f aca="false">IFERROR(IF(C139="","",MAX(0, C139-E139-IF(MOD(A139,12)=0,Tilgungsrechner!C10,0))),"")</f>
        <v>102259.44</v>
      </c>
      <c r="G139" s="32" t="n">
        <f aca="false">IFERROR(IF(C139="","",IF(MOD(A139,12)=0,MIN(Tilgungsrechner!C10,MAX(0,C139-E139)),0)),"")</f>
        <v>0</v>
      </c>
      <c r="H139" s="33" t="str">
        <f aca="false">IFERROR(IF(C139="","",aufround(A139/12,0)),"")</f>
        <v/>
      </c>
    </row>
    <row r="140" customFormat="false" ht="15.75" hidden="false" customHeight="true" outlineLevel="0" collapsed="false">
      <c r="A140" s="29" t="n">
        <v>135</v>
      </c>
      <c r="B140" s="30" t="str">
        <f aca="false">IFERROR(edatum(datwert(Tilgungsrechner!C12),134),"")</f>
        <v/>
      </c>
      <c r="C140" s="31" t="n">
        <f aca="false">IF(F139&lt;=0,"",F139)</f>
        <v>102259.44</v>
      </c>
      <c r="D140" s="31" t="n">
        <f aca="false">IFERROR(IF(C140="","",ROUND(C140*Tilgungsrechner!C8/12,2)),"")</f>
        <v>298.26</v>
      </c>
      <c r="E140" s="31" t="n">
        <f aca="false">IFERROR(IF(C140="","",MIN(ROUND(Tilgungsrechner!F7-D140,2),C140)),"")</f>
        <v>847.57</v>
      </c>
      <c r="F140" s="31" t="n">
        <f aca="false">IFERROR(IF(C140="","",MAX(0, C140-E140-IF(MOD(A140,12)=0,Tilgungsrechner!C10,0))),"")</f>
        <v>101411.87</v>
      </c>
      <c r="G140" s="32" t="n">
        <f aca="false">IFERROR(IF(C140="","",IF(MOD(A140,12)=0,MIN(Tilgungsrechner!C10,MAX(0,C140-E140)),0)),"")</f>
        <v>0</v>
      </c>
      <c r="H140" s="33" t="str">
        <f aca="false">IFERROR(IF(C140="","",aufround(A140/12,0)),"")</f>
        <v/>
      </c>
    </row>
    <row r="141" customFormat="false" ht="15.75" hidden="false" customHeight="true" outlineLevel="0" collapsed="false">
      <c r="A141" s="29" t="n">
        <v>136</v>
      </c>
      <c r="B141" s="30" t="str">
        <f aca="false">IFERROR(edatum(datwert(Tilgungsrechner!C12),135),"")</f>
        <v/>
      </c>
      <c r="C141" s="31" t="n">
        <f aca="false">IF(F140&lt;=0,"",F140)</f>
        <v>101411.87</v>
      </c>
      <c r="D141" s="31" t="n">
        <f aca="false">IFERROR(IF(C141="","",ROUND(C141*Tilgungsrechner!C8/12,2)),"")</f>
        <v>295.78</v>
      </c>
      <c r="E141" s="31" t="n">
        <f aca="false">IFERROR(IF(C141="","",MIN(ROUND(Tilgungsrechner!F7-D141,2),C141)),"")</f>
        <v>850.05</v>
      </c>
      <c r="F141" s="31" t="n">
        <f aca="false">IFERROR(IF(C141="","",MAX(0, C141-E141-IF(MOD(A141,12)=0,Tilgungsrechner!C10,0))),"")</f>
        <v>100561.82</v>
      </c>
      <c r="G141" s="32" t="n">
        <f aca="false">IFERROR(IF(C141="","",IF(MOD(A141,12)=0,MIN(Tilgungsrechner!C10,MAX(0,C141-E141)),0)),"")</f>
        <v>0</v>
      </c>
      <c r="H141" s="33" t="str">
        <f aca="false">IFERROR(IF(C141="","",aufround(A141/12,0)),"")</f>
        <v/>
      </c>
    </row>
    <row r="142" customFormat="false" ht="15.75" hidden="false" customHeight="true" outlineLevel="0" collapsed="false">
      <c r="A142" s="29" t="n">
        <v>137</v>
      </c>
      <c r="B142" s="30" t="str">
        <f aca="false">IFERROR(edatum(datwert(Tilgungsrechner!C12),136),"")</f>
        <v/>
      </c>
      <c r="C142" s="31" t="n">
        <f aca="false">IF(F141&lt;=0,"",F141)</f>
        <v>100561.82</v>
      </c>
      <c r="D142" s="31" t="n">
        <f aca="false">IFERROR(IF(C142="","",ROUND(C142*Tilgungsrechner!C8/12,2)),"")</f>
        <v>293.31</v>
      </c>
      <c r="E142" s="31" t="n">
        <f aca="false">IFERROR(IF(C142="","",MIN(ROUND(Tilgungsrechner!F7-D142,2),C142)),"")</f>
        <v>852.52</v>
      </c>
      <c r="F142" s="31" t="n">
        <f aca="false">IFERROR(IF(C142="","",MAX(0, C142-E142-IF(MOD(A142,12)=0,Tilgungsrechner!C10,0))),"")</f>
        <v>99709.3</v>
      </c>
      <c r="G142" s="32" t="n">
        <f aca="false">IFERROR(IF(C142="","",IF(MOD(A142,12)=0,MIN(Tilgungsrechner!C10,MAX(0,C142-E142)),0)),"")</f>
        <v>0</v>
      </c>
      <c r="H142" s="33" t="str">
        <f aca="false">IFERROR(IF(C142="","",aufround(A142/12,0)),"")</f>
        <v/>
      </c>
    </row>
    <row r="143" customFormat="false" ht="15.75" hidden="false" customHeight="true" outlineLevel="0" collapsed="false">
      <c r="A143" s="29" t="n">
        <v>138</v>
      </c>
      <c r="B143" s="30" t="str">
        <f aca="false">IFERROR(edatum(datwert(Tilgungsrechner!C12),137),"")</f>
        <v/>
      </c>
      <c r="C143" s="31" t="n">
        <f aca="false">IF(F142&lt;=0,"",F142)</f>
        <v>99709.3</v>
      </c>
      <c r="D143" s="31" t="n">
        <f aca="false">IFERROR(IF(C143="","",ROUND(C143*Tilgungsrechner!C8/12,2)),"")</f>
        <v>290.82</v>
      </c>
      <c r="E143" s="31" t="n">
        <f aca="false">IFERROR(IF(C143="","",MIN(ROUND(Tilgungsrechner!F7-D143,2),C143)),"")</f>
        <v>855.01</v>
      </c>
      <c r="F143" s="31" t="n">
        <f aca="false">IFERROR(IF(C143="","",MAX(0, C143-E143-IF(MOD(A143,12)=0,Tilgungsrechner!C10,0))),"")</f>
        <v>98854.29</v>
      </c>
      <c r="G143" s="32" t="n">
        <f aca="false">IFERROR(IF(C143="","",IF(MOD(A143,12)=0,MIN(Tilgungsrechner!C10,MAX(0,C143-E143)),0)),"")</f>
        <v>0</v>
      </c>
      <c r="H143" s="33" t="str">
        <f aca="false">IFERROR(IF(C143="","",aufround(A143/12,0)),"")</f>
        <v/>
      </c>
    </row>
    <row r="144" customFormat="false" ht="15.75" hidden="false" customHeight="true" outlineLevel="0" collapsed="false">
      <c r="A144" s="29" t="n">
        <v>139</v>
      </c>
      <c r="B144" s="30" t="str">
        <f aca="false">IFERROR(edatum(datwert(Tilgungsrechner!C12),138),"")</f>
        <v/>
      </c>
      <c r="C144" s="31" t="n">
        <f aca="false">IF(F143&lt;=0,"",F143)</f>
        <v>98854.29</v>
      </c>
      <c r="D144" s="31" t="n">
        <f aca="false">IFERROR(IF(C144="","",ROUND(C144*Tilgungsrechner!C8/12,2)),"")</f>
        <v>288.33</v>
      </c>
      <c r="E144" s="31" t="n">
        <f aca="false">IFERROR(IF(C144="","",MIN(ROUND(Tilgungsrechner!F7-D144,2),C144)),"")</f>
        <v>857.5</v>
      </c>
      <c r="F144" s="31" t="n">
        <f aca="false">IFERROR(IF(C144="","",MAX(0, C144-E144-IF(MOD(A144,12)=0,Tilgungsrechner!C10,0))),"")</f>
        <v>97996.79</v>
      </c>
      <c r="G144" s="32" t="n">
        <f aca="false">IFERROR(IF(C144="","",IF(MOD(A144,12)=0,MIN(Tilgungsrechner!C10,MAX(0,C144-E144)),0)),"")</f>
        <v>0</v>
      </c>
      <c r="H144" s="33" t="str">
        <f aca="false">IFERROR(IF(C144="","",aufround(A144/12,0)),"")</f>
        <v/>
      </c>
    </row>
    <row r="145" customFormat="false" ht="15.75" hidden="false" customHeight="true" outlineLevel="0" collapsed="false">
      <c r="A145" s="29" t="n">
        <v>140</v>
      </c>
      <c r="B145" s="30" t="str">
        <f aca="false">IFERROR(edatum(datwert(Tilgungsrechner!C12),139),"")</f>
        <v/>
      </c>
      <c r="C145" s="31" t="n">
        <f aca="false">IF(F144&lt;=0,"",F144)</f>
        <v>97996.79</v>
      </c>
      <c r="D145" s="31" t="n">
        <f aca="false">IFERROR(IF(C145="","",ROUND(C145*Tilgungsrechner!C8/12,2)),"")</f>
        <v>285.82</v>
      </c>
      <c r="E145" s="31" t="n">
        <f aca="false">IFERROR(IF(C145="","",MIN(ROUND(Tilgungsrechner!F7-D145,2),C145)),"")</f>
        <v>860.01</v>
      </c>
      <c r="F145" s="31" t="n">
        <f aca="false">IFERROR(IF(C145="","",MAX(0, C145-E145-IF(MOD(A145,12)=0,Tilgungsrechner!C10,0))),"")</f>
        <v>97136.78</v>
      </c>
      <c r="G145" s="32" t="n">
        <f aca="false">IFERROR(IF(C145="","",IF(MOD(A145,12)=0,MIN(Tilgungsrechner!C10,MAX(0,C145-E145)),0)),"")</f>
        <v>0</v>
      </c>
      <c r="H145" s="33" t="str">
        <f aca="false">IFERROR(IF(C145="","",aufround(A145/12,0)),"")</f>
        <v/>
      </c>
    </row>
    <row r="146" customFormat="false" ht="15.75" hidden="false" customHeight="true" outlineLevel="0" collapsed="false">
      <c r="A146" s="29" t="n">
        <v>141</v>
      </c>
      <c r="B146" s="30" t="str">
        <f aca="false">IFERROR(edatum(datwert(Tilgungsrechner!C12),140),"")</f>
        <v/>
      </c>
      <c r="C146" s="31" t="n">
        <f aca="false">IF(F145&lt;=0,"",F145)</f>
        <v>97136.78</v>
      </c>
      <c r="D146" s="31" t="n">
        <f aca="false">IFERROR(IF(C146="","",ROUND(C146*Tilgungsrechner!C8/12,2)),"")</f>
        <v>283.32</v>
      </c>
      <c r="E146" s="31" t="n">
        <f aca="false">IFERROR(IF(C146="","",MIN(ROUND(Tilgungsrechner!F7-D146,2),C146)),"")</f>
        <v>862.51</v>
      </c>
      <c r="F146" s="31" t="n">
        <f aca="false">IFERROR(IF(C146="","",MAX(0, C146-E146-IF(MOD(A146,12)=0,Tilgungsrechner!C10,0))),"")</f>
        <v>96274.27</v>
      </c>
      <c r="G146" s="32" t="n">
        <f aca="false">IFERROR(IF(C146="","",IF(MOD(A146,12)=0,MIN(Tilgungsrechner!C10,MAX(0,C146-E146)),0)),"")</f>
        <v>0</v>
      </c>
      <c r="H146" s="33" t="str">
        <f aca="false">IFERROR(IF(C146="","",aufround(A146/12,0)),"")</f>
        <v/>
      </c>
    </row>
    <row r="147" customFormat="false" ht="15.75" hidden="false" customHeight="true" outlineLevel="0" collapsed="false">
      <c r="A147" s="29" t="n">
        <v>142</v>
      </c>
      <c r="B147" s="30" t="str">
        <f aca="false">IFERROR(edatum(datwert(Tilgungsrechner!C12),141),"")</f>
        <v/>
      </c>
      <c r="C147" s="31" t="n">
        <f aca="false">IF(F146&lt;=0,"",F146)</f>
        <v>96274.27</v>
      </c>
      <c r="D147" s="31" t="n">
        <f aca="false">IFERROR(IF(C147="","",ROUND(C147*Tilgungsrechner!C8/12,2)),"")</f>
        <v>280.8</v>
      </c>
      <c r="E147" s="31" t="n">
        <f aca="false">IFERROR(IF(C147="","",MIN(ROUND(Tilgungsrechner!F7-D147,2),C147)),"")</f>
        <v>865.03</v>
      </c>
      <c r="F147" s="31" t="n">
        <f aca="false">IFERROR(IF(C147="","",MAX(0, C147-E147-IF(MOD(A147,12)=0,Tilgungsrechner!C10,0))),"")</f>
        <v>95409.24</v>
      </c>
      <c r="G147" s="32" t="n">
        <f aca="false">IFERROR(IF(C147="","",IF(MOD(A147,12)=0,MIN(Tilgungsrechner!C10,MAX(0,C147-E147)),0)),"")</f>
        <v>0</v>
      </c>
      <c r="H147" s="33" t="str">
        <f aca="false">IFERROR(IF(C147="","",aufround(A147/12,0)),"")</f>
        <v/>
      </c>
    </row>
    <row r="148" customFormat="false" ht="15.75" hidden="false" customHeight="true" outlineLevel="0" collapsed="false">
      <c r="A148" s="29" t="n">
        <v>143</v>
      </c>
      <c r="B148" s="30" t="str">
        <f aca="false">IFERROR(edatum(datwert(Tilgungsrechner!C12),142),"")</f>
        <v/>
      </c>
      <c r="C148" s="31" t="n">
        <f aca="false">IF(F147&lt;=0,"",F147)</f>
        <v>95409.24</v>
      </c>
      <c r="D148" s="31" t="n">
        <f aca="false">IFERROR(IF(C148="","",ROUND(C148*Tilgungsrechner!C8/12,2)),"")</f>
        <v>278.28</v>
      </c>
      <c r="E148" s="31" t="n">
        <f aca="false">IFERROR(IF(C148="","",MIN(ROUND(Tilgungsrechner!F7-D148,2),C148)),"")</f>
        <v>867.55</v>
      </c>
      <c r="F148" s="31" t="n">
        <f aca="false">IFERROR(IF(C148="","",MAX(0, C148-E148-IF(MOD(A148,12)=0,Tilgungsrechner!C10,0))),"")</f>
        <v>94541.69</v>
      </c>
      <c r="G148" s="32" t="n">
        <f aca="false">IFERROR(IF(C148="","",IF(MOD(A148,12)=0,MIN(Tilgungsrechner!C10,MAX(0,C148-E148)),0)),"")</f>
        <v>0</v>
      </c>
      <c r="H148" s="33" t="str">
        <f aca="false">IFERROR(IF(C148="","",aufround(A148/12,0)),"")</f>
        <v/>
      </c>
    </row>
    <row r="149" customFormat="false" ht="15.75" hidden="false" customHeight="true" outlineLevel="0" collapsed="false">
      <c r="A149" s="29" t="n">
        <v>144</v>
      </c>
      <c r="B149" s="30" t="str">
        <f aca="false">IFERROR(edatum(datwert(Tilgungsrechner!C12),143),"")</f>
        <v/>
      </c>
      <c r="C149" s="31" t="n">
        <f aca="false">IF(F148&lt;=0,"",F148)</f>
        <v>94541.69</v>
      </c>
      <c r="D149" s="31" t="n">
        <f aca="false">IFERROR(IF(C149="","",ROUND(C149*Tilgungsrechner!C8/12,2)),"")</f>
        <v>275.75</v>
      </c>
      <c r="E149" s="31" t="n">
        <f aca="false">IFERROR(IF(C149="","",MIN(ROUND(Tilgungsrechner!F7-D149,2),C149)),"")</f>
        <v>870.08</v>
      </c>
      <c r="F149" s="31" t="n">
        <f aca="false">IFERROR(IF(C149="","",MAX(0, C149-E149-IF(MOD(A149,12)=0,Tilgungsrechner!C10,0))),"")</f>
        <v>87671.61</v>
      </c>
      <c r="G149" s="32" t="n">
        <f aca="false">IFERROR(IF(C149="","",IF(MOD(A149,12)=0,MIN(Tilgungsrechner!C10,MAX(0,C149-E149)),0)),"")</f>
        <v>6000</v>
      </c>
      <c r="H149" s="33" t="str">
        <f aca="false">IFERROR(IF(C149="","",aufround(A149/12,0)),"")</f>
        <v/>
      </c>
    </row>
    <row r="150" customFormat="false" ht="15.75" hidden="false" customHeight="true" outlineLevel="0" collapsed="false">
      <c r="A150" s="29" t="n">
        <v>145</v>
      </c>
      <c r="B150" s="30" t="str">
        <f aca="false">IFERROR(edatum(datwert(Tilgungsrechner!C12),144),"")</f>
        <v/>
      </c>
      <c r="C150" s="31" t="n">
        <f aca="false">IF(F149&lt;=0,"",F149)</f>
        <v>87671.61</v>
      </c>
      <c r="D150" s="31" t="n">
        <f aca="false">IFERROR(IF(C150="","",ROUND(C150*Tilgungsrechner!C8/12,2)),"")</f>
        <v>255.71</v>
      </c>
      <c r="E150" s="31" t="n">
        <f aca="false">IFERROR(IF(C150="","",MIN(ROUND(Tilgungsrechner!F7-D150,2),C150)),"")</f>
        <v>890.12</v>
      </c>
      <c r="F150" s="31" t="n">
        <f aca="false">IFERROR(IF(C150="","",MAX(0, C150-E150-IF(MOD(A150,12)=0,Tilgungsrechner!C10,0))),"")</f>
        <v>86781.49</v>
      </c>
      <c r="G150" s="32" t="n">
        <f aca="false">IFERROR(IF(C150="","",IF(MOD(A150,12)=0,MIN(Tilgungsrechner!C10,MAX(0,C150-E150)),0)),"")</f>
        <v>0</v>
      </c>
      <c r="H150" s="33" t="str">
        <f aca="false">IFERROR(IF(C150="","",aufround(A150/12,0)),"")</f>
        <v/>
      </c>
    </row>
    <row r="151" customFormat="false" ht="15.75" hidden="false" customHeight="true" outlineLevel="0" collapsed="false">
      <c r="A151" s="29" t="n">
        <v>146</v>
      </c>
      <c r="B151" s="30" t="str">
        <f aca="false">IFERROR(edatum(datwert(Tilgungsrechner!C12),145),"")</f>
        <v/>
      </c>
      <c r="C151" s="31" t="n">
        <f aca="false">IF(F150&lt;=0,"",F150)</f>
        <v>86781.49</v>
      </c>
      <c r="D151" s="31" t="n">
        <f aca="false">IFERROR(IF(C151="","",ROUND(C151*Tilgungsrechner!C8/12,2)),"")</f>
        <v>253.11</v>
      </c>
      <c r="E151" s="31" t="n">
        <f aca="false">IFERROR(IF(C151="","",MIN(ROUND(Tilgungsrechner!F7-D151,2),C151)),"")</f>
        <v>892.72</v>
      </c>
      <c r="F151" s="31" t="n">
        <f aca="false">IFERROR(IF(C151="","",MAX(0, C151-E151-IF(MOD(A151,12)=0,Tilgungsrechner!C10,0))),"")</f>
        <v>85888.77</v>
      </c>
      <c r="G151" s="32" t="n">
        <f aca="false">IFERROR(IF(C151="","",IF(MOD(A151,12)=0,MIN(Tilgungsrechner!C10,MAX(0,C151-E151)),0)),"")</f>
        <v>0</v>
      </c>
      <c r="H151" s="33" t="str">
        <f aca="false">IFERROR(IF(C151="","",aufround(A151/12,0)),"")</f>
        <v/>
      </c>
    </row>
    <row r="152" customFormat="false" ht="15.75" hidden="false" customHeight="true" outlineLevel="0" collapsed="false">
      <c r="A152" s="29" t="n">
        <v>147</v>
      </c>
      <c r="B152" s="30" t="str">
        <f aca="false">IFERROR(edatum(datwert(Tilgungsrechner!C12),146),"")</f>
        <v/>
      </c>
      <c r="C152" s="31" t="n">
        <f aca="false">IF(F151&lt;=0,"",F151)</f>
        <v>85888.77</v>
      </c>
      <c r="D152" s="31" t="n">
        <f aca="false">IFERROR(IF(C152="","",ROUND(C152*Tilgungsrechner!C8/12,2)),"")</f>
        <v>250.51</v>
      </c>
      <c r="E152" s="31" t="n">
        <f aca="false">IFERROR(IF(C152="","",MIN(ROUND(Tilgungsrechner!F7-D152,2),C152)),"")</f>
        <v>895.32</v>
      </c>
      <c r="F152" s="31" t="n">
        <f aca="false">IFERROR(IF(C152="","",MAX(0, C152-E152-IF(MOD(A152,12)=0,Tilgungsrechner!C10,0))),"")</f>
        <v>84993.45</v>
      </c>
      <c r="G152" s="32" t="n">
        <f aca="false">IFERROR(IF(C152="","",IF(MOD(A152,12)=0,MIN(Tilgungsrechner!C10,MAX(0,C152-E152)),0)),"")</f>
        <v>0</v>
      </c>
      <c r="H152" s="33" t="str">
        <f aca="false">IFERROR(IF(C152="","",aufround(A152/12,0)),"")</f>
        <v/>
      </c>
    </row>
    <row r="153" customFormat="false" ht="15.75" hidden="false" customHeight="true" outlineLevel="0" collapsed="false">
      <c r="A153" s="29" t="n">
        <v>148</v>
      </c>
      <c r="B153" s="30" t="str">
        <f aca="false">IFERROR(edatum(datwert(Tilgungsrechner!C12),147),"")</f>
        <v/>
      </c>
      <c r="C153" s="31" t="n">
        <f aca="false">IF(F152&lt;=0,"",F152)</f>
        <v>84993.45</v>
      </c>
      <c r="D153" s="31" t="n">
        <f aca="false">IFERROR(IF(C153="","",ROUND(C153*Tilgungsrechner!C8/12,2)),"")</f>
        <v>247.9</v>
      </c>
      <c r="E153" s="31" t="n">
        <f aca="false">IFERROR(IF(C153="","",MIN(ROUND(Tilgungsrechner!F7-D153,2),C153)),"")</f>
        <v>897.93</v>
      </c>
      <c r="F153" s="31" t="n">
        <f aca="false">IFERROR(IF(C153="","",MAX(0, C153-E153-IF(MOD(A153,12)=0,Tilgungsrechner!C10,0))),"")</f>
        <v>84095.52</v>
      </c>
      <c r="G153" s="32" t="n">
        <f aca="false">IFERROR(IF(C153="","",IF(MOD(A153,12)=0,MIN(Tilgungsrechner!C10,MAX(0,C153-E153)),0)),"")</f>
        <v>0</v>
      </c>
      <c r="H153" s="33" t="str">
        <f aca="false">IFERROR(IF(C153="","",aufround(A153/12,0)),"")</f>
        <v/>
      </c>
    </row>
    <row r="154" customFormat="false" ht="15.75" hidden="false" customHeight="true" outlineLevel="0" collapsed="false">
      <c r="A154" s="29" t="n">
        <v>149</v>
      </c>
      <c r="B154" s="30" t="str">
        <f aca="false">IFERROR(edatum(datwert(Tilgungsrechner!C12),148),"")</f>
        <v/>
      </c>
      <c r="C154" s="31" t="n">
        <f aca="false">IF(F153&lt;=0,"",F153)</f>
        <v>84095.52</v>
      </c>
      <c r="D154" s="31" t="n">
        <f aca="false">IFERROR(IF(C154="","",ROUND(C154*Tilgungsrechner!C8/12,2)),"")</f>
        <v>245.28</v>
      </c>
      <c r="E154" s="31" t="n">
        <f aca="false">IFERROR(IF(C154="","",MIN(ROUND(Tilgungsrechner!F7-D154,2),C154)),"")</f>
        <v>900.55</v>
      </c>
      <c r="F154" s="31" t="n">
        <f aca="false">IFERROR(IF(C154="","",MAX(0, C154-E154-IF(MOD(A154,12)=0,Tilgungsrechner!C10,0))),"")</f>
        <v>83194.97</v>
      </c>
      <c r="G154" s="32" t="n">
        <f aca="false">IFERROR(IF(C154="","",IF(MOD(A154,12)=0,MIN(Tilgungsrechner!C10,MAX(0,C154-E154)),0)),"")</f>
        <v>0</v>
      </c>
      <c r="H154" s="33" t="str">
        <f aca="false">IFERROR(IF(C154="","",aufround(A154/12,0)),"")</f>
        <v/>
      </c>
    </row>
    <row r="155" customFormat="false" ht="15.75" hidden="false" customHeight="true" outlineLevel="0" collapsed="false">
      <c r="A155" s="29" t="n">
        <v>150</v>
      </c>
      <c r="B155" s="30" t="str">
        <f aca="false">IFERROR(edatum(datwert(Tilgungsrechner!C12),149),"")</f>
        <v/>
      </c>
      <c r="C155" s="31" t="n">
        <f aca="false">IF(F154&lt;=0,"",F154)</f>
        <v>83194.97</v>
      </c>
      <c r="D155" s="31" t="n">
        <f aca="false">IFERROR(IF(C155="","",ROUND(C155*Tilgungsrechner!C8/12,2)),"")</f>
        <v>242.65</v>
      </c>
      <c r="E155" s="31" t="n">
        <f aca="false">IFERROR(IF(C155="","",MIN(ROUND(Tilgungsrechner!F7-D155,2),C155)),"")</f>
        <v>903.18</v>
      </c>
      <c r="F155" s="31" t="n">
        <f aca="false">IFERROR(IF(C155="","",MAX(0, C155-E155-IF(MOD(A155,12)=0,Tilgungsrechner!C10,0))),"")</f>
        <v>82291.79</v>
      </c>
      <c r="G155" s="32" t="n">
        <f aca="false">IFERROR(IF(C155="","",IF(MOD(A155,12)=0,MIN(Tilgungsrechner!C10,MAX(0,C155-E155)),0)),"")</f>
        <v>0</v>
      </c>
      <c r="H155" s="33" t="str">
        <f aca="false">IFERROR(IF(C155="","",aufround(A155/12,0)),"")</f>
        <v/>
      </c>
    </row>
    <row r="156" customFormat="false" ht="15.75" hidden="false" customHeight="true" outlineLevel="0" collapsed="false">
      <c r="A156" s="29" t="n">
        <v>151</v>
      </c>
      <c r="B156" s="30" t="str">
        <f aca="false">IFERROR(edatum(datwert(Tilgungsrechner!C12),150),"")</f>
        <v/>
      </c>
      <c r="C156" s="31" t="n">
        <f aca="false">IF(F155&lt;=0,"",F155)</f>
        <v>82291.79</v>
      </c>
      <c r="D156" s="31" t="n">
        <f aca="false">IFERROR(IF(C156="","",ROUND(C156*Tilgungsrechner!C8/12,2)),"")</f>
        <v>240.02</v>
      </c>
      <c r="E156" s="31" t="n">
        <f aca="false">IFERROR(IF(C156="","",MIN(ROUND(Tilgungsrechner!F7-D156,2),C156)),"")</f>
        <v>905.81</v>
      </c>
      <c r="F156" s="31" t="n">
        <f aca="false">IFERROR(IF(C156="","",MAX(0, C156-E156-IF(MOD(A156,12)=0,Tilgungsrechner!C10,0))),"")</f>
        <v>81385.98</v>
      </c>
      <c r="G156" s="32" t="n">
        <f aca="false">IFERROR(IF(C156="","",IF(MOD(A156,12)=0,MIN(Tilgungsrechner!C10,MAX(0,C156-E156)),0)),"")</f>
        <v>0</v>
      </c>
      <c r="H156" s="33" t="str">
        <f aca="false">IFERROR(IF(C156="","",aufround(A156/12,0)),"")</f>
        <v/>
      </c>
    </row>
    <row r="157" customFormat="false" ht="15.75" hidden="false" customHeight="true" outlineLevel="0" collapsed="false">
      <c r="A157" s="29" t="n">
        <v>152</v>
      </c>
      <c r="B157" s="30" t="str">
        <f aca="false">IFERROR(edatum(datwert(Tilgungsrechner!C12),151),"")</f>
        <v/>
      </c>
      <c r="C157" s="31" t="n">
        <f aca="false">IF(F156&lt;=0,"",F156)</f>
        <v>81385.98</v>
      </c>
      <c r="D157" s="31" t="n">
        <f aca="false">IFERROR(IF(C157="","",ROUND(C157*Tilgungsrechner!C8/12,2)),"")</f>
        <v>237.38</v>
      </c>
      <c r="E157" s="31" t="n">
        <f aca="false">IFERROR(IF(C157="","",MIN(ROUND(Tilgungsrechner!F7-D157,2),C157)),"")</f>
        <v>908.45</v>
      </c>
      <c r="F157" s="31" t="n">
        <f aca="false">IFERROR(IF(C157="","",MAX(0, C157-E157-IF(MOD(A157,12)=0,Tilgungsrechner!C10,0))),"")</f>
        <v>80477.53</v>
      </c>
      <c r="G157" s="32" t="n">
        <f aca="false">IFERROR(IF(C157="","",IF(MOD(A157,12)=0,MIN(Tilgungsrechner!C10,MAX(0,C157-E157)),0)),"")</f>
        <v>0</v>
      </c>
      <c r="H157" s="33" t="str">
        <f aca="false">IFERROR(IF(C157="","",aufround(A157/12,0)),"")</f>
        <v/>
      </c>
    </row>
    <row r="158" customFormat="false" ht="15.75" hidden="false" customHeight="true" outlineLevel="0" collapsed="false">
      <c r="A158" s="29" t="n">
        <v>153</v>
      </c>
      <c r="B158" s="30" t="str">
        <f aca="false">IFERROR(edatum(datwert(Tilgungsrechner!C12),152),"")</f>
        <v/>
      </c>
      <c r="C158" s="31" t="n">
        <f aca="false">IF(F157&lt;=0,"",F157)</f>
        <v>80477.53</v>
      </c>
      <c r="D158" s="31" t="n">
        <f aca="false">IFERROR(IF(C158="","",ROUND(C158*Tilgungsrechner!C8/12,2)),"")</f>
        <v>234.73</v>
      </c>
      <c r="E158" s="31" t="n">
        <f aca="false">IFERROR(IF(C158="","",MIN(ROUND(Tilgungsrechner!F7-D158,2),C158)),"")</f>
        <v>911.1</v>
      </c>
      <c r="F158" s="31" t="n">
        <f aca="false">IFERROR(IF(C158="","",MAX(0, C158-E158-IF(MOD(A158,12)=0,Tilgungsrechner!C10,0))),"")</f>
        <v>79566.43</v>
      </c>
      <c r="G158" s="32" t="n">
        <f aca="false">IFERROR(IF(C158="","",IF(MOD(A158,12)=0,MIN(Tilgungsrechner!C10,MAX(0,C158-E158)),0)),"")</f>
        <v>0</v>
      </c>
      <c r="H158" s="33" t="str">
        <f aca="false">IFERROR(IF(C158="","",aufround(A158/12,0)),"")</f>
        <v/>
      </c>
    </row>
    <row r="159" customFormat="false" ht="15.75" hidden="false" customHeight="true" outlineLevel="0" collapsed="false">
      <c r="A159" s="29" t="n">
        <v>154</v>
      </c>
      <c r="B159" s="30" t="str">
        <f aca="false">IFERROR(edatum(datwert(Tilgungsrechner!C12),153),"")</f>
        <v/>
      </c>
      <c r="C159" s="31" t="n">
        <f aca="false">IF(F158&lt;=0,"",F158)</f>
        <v>79566.43</v>
      </c>
      <c r="D159" s="31" t="n">
        <f aca="false">IFERROR(IF(C159="","",ROUND(C159*Tilgungsrechner!C8/12,2)),"")</f>
        <v>232.07</v>
      </c>
      <c r="E159" s="31" t="n">
        <f aca="false">IFERROR(IF(C159="","",MIN(ROUND(Tilgungsrechner!F7-D159,2),C159)),"")</f>
        <v>913.76</v>
      </c>
      <c r="F159" s="31" t="n">
        <f aca="false">IFERROR(IF(C159="","",MAX(0, C159-E159-IF(MOD(A159,12)=0,Tilgungsrechner!C10,0))),"")</f>
        <v>78652.67</v>
      </c>
      <c r="G159" s="32" t="n">
        <f aca="false">IFERROR(IF(C159="","",IF(MOD(A159,12)=0,MIN(Tilgungsrechner!C10,MAX(0,C159-E159)),0)),"")</f>
        <v>0</v>
      </c>
      <c r="H159" s="33" t="str">
        <f aca="false">IFERROR(IF(C159="","",aufround(A159/12,0)),"")</f>
        <v/>
      </c>
    </row>
    <row r="160" customFormat="false" ht="15.75" hidden="false" customHeight="true" outlineLevel="0" collapsed="false">
      <c r="A160" s="29" t="n">
        <v>155</v>
      </c>
      <c r="B160" s="30" t="str">
        <f aca="false">IFERROR(edatum(datwert(Tilgungsrechner!C12),154),"")</f>
        <v/>
      </c>
      <c r="C160" s="31" t="n">
        <f aca="false">IF(F159&lt;=0,"",F159)</f>
        <v>78652.67</v>
      </c>
      <c r="D160" s="31" t="n">
        <f aca="false">IFERROR(IF(C160="","",ROUND(C160*Tilgungsrechner!C8/12,2)),"")</f>
        <v>229.4</v>
      </c>
      <c r="E160" s="31" t="n">
        <f aca="false">IFERROR(IF(C160="","",MIN(ROUND(Tilgungsrechner!F7-D160,2),C160)),"")</f>
        <v>916.43</v>
      </c>
      <c r="F160" s="31" t="n">
        <f aca="false">IFERROR(IF(C160="","",MAX(0, C160-E160-IF(MOD(A160,12)=0,Tilgungsrechner!C10,0))),"")</f>
        <v>77736.24</v>
      </c>
      <c r="G160" s="32" t="n">
        <f aca="false">IFERROR(IF(C160="","",IF(MOD(A160,12)=0,MIN(Tilgungsrechner!C10,MAX(0,C160-E160)),0)),"")</f>
        <v>0</v>
      </c>
      <c r="H160" s="33" t="str">
        <f aca="false">IFERROR(IF(C160="","",aufround(A160/12,0)),"")</f>
        <v/>
      </c>
    </row>
    <row r="161" customFormat="false" ht="15.75" hidden="false" customHeight="true" outlineLevel="0" collapsed="false">
      <c r="A161" s="29" t="n">
        <v>156</v>
      </c>
      <c r="B161" s="30" t="str">
        <f aca="false">IFERROR(edatum(datwert(Tilgungsrechner!C12),155),"")</f>
        <v/>
      </c>
      <c r="C161" s="31" t="n">
        <f aca="false">IF(F160&lt;=0,"",F160)</f>
        <v>77736.24</v>
      </c>
      <c r="D161" s="31" t="n">
        <f aca="false">IFERROR(IF(C161="","",ROUND(C161*Tilgungsrechner!C8/12,2)),"")</f>
        <v>226.73</v>
      </c>
      <c r="E161" s="31" t="n">
        <f aca="false">IFERROR(IF(C161="","",MIN(ROUND(Tilgungsrechner!F7-D161,2),C161)),"")</f>
        <v>919.1</v>
      </c>
      <c r="F161" s="31" t="n">
        <f aca="false">IFERROR(IF(C161="","",MAX(0, C161-E161-IF(MOD(A161,12)=0,Tilgungsrechner!C10,0))),"")</f>
        <v>70817.14</v>
      </c>
      <c r="G161" s="32" t="n">
        <f aca="false">IFERROR(IF(C161="","",IF(MOD(A161,12)=0,MIN(Tilgungsrechner!C10,MAX(0,C161-E161)),0)),"")</f>
        <v>6000</v>
      </c>
      <c r="H161" s="33" t="str">
        <f aca="false">IFERROR(IF(C161="","",aufround(A161/12,0)),"")</f>
        <v/>
      </c>
    </row>
    <row r="162" customFormat="false" ht="15.75" hidden="false" customHeight="true" outlineLevel="0" collapsed="false">
      <c r="A162" s="29" t="n">
        <v>157</v>
      </c>
      <c r="B162" s="30" t="str">
        <f aca="false">IFERROR(edatum(datwert(Tilgungsrechner!C12),156),"")</f>
        <v/>
      </c>
      <c r="C162" s="31" t="n">
        <f aca="false">IF(F161&lt;=0,"",F161)</f>
        <v>70817.14</v>
      </c>
      <c r="D162" s="31" t="n">
        <f aca="false">IFERROR(IF(C162="","",ROUND(C162*Tilgungsrechner!C8/12,2)),"")</f>
        <v>206.55</v>
      </c>
      <c r="E162" s="31" t="n">
        <f aca="false">IFERROR(IF(C162="","",MIN(ROUND(Tilgungsrechner!F7-D162,2),C162)),"")</f>
        <v>939.28</v>
      </c>
      <c r="F162" s="31" t="n">
        <f aca="false">IFERROR(IF(C162="","",MAX(0, C162-E162-IF(MOD(A162,12)=0,Tilgungsrechner!C10,0))),"")</f>
        <v>69877.86</v>
      </c>
      <c r="G162" s="32" t="n">
        <f aca="false">IFERROR(IF(C162="","",IF(MOD(A162,12)=0,MIN(Tilgungsrechner!C10,MAX(0,C162-E162)),0)),"")</f>
        <v>0</v>
      </c>
      <c r="H162" s="33" t="str">
        <f aca="false">IFERROR(IF(C162="","",aufround(A162/12,0)),"")</f>
        <v/>
      </c>
    </row>
    <row r="163" customFormat="false" ht="15.75" hidden="false" customHeight="true" outlineLevel="0" collapsed="false">
      <c r="A163" s="29" t="n">
        <v>158</v>
      </c>
      <c r="B163" s="30" t="str">
        <f aca="false">IFERROR(edatum(datwert(Tilgungsrechner!C12),157),"")</f>
        <v/>
      </c>
      <c r="C163" s="31" t="n">
        <f aca="false">IF(F162&lt;=0,"",F162)</f>
        <v>69877.86</v>
      </c>
      <c r="D163" s="31" t="n">
        <f aca="false">IFERROR(IF(C163="","",ROUND(C163*Tilgungsrechner!C8/12,2)),"")</f>
        <v>203.81</v>
      </c>
      <c r="E163" s="31" t="n">
        <f aca="false">IFERROR(IF(C163="","",MIN(ROUND(Tilgungsrechner!F7-D163,2),C163)),"")</f>
        <v>942.02</v>
      </c>
      <c r="F163" s="31" t="n">
        <f aca="false">IFERROR(IF(C163="","",MAX(0, C163-E163-IF(MOD(A163,12)=0,Tilgungsrechner!C10,0))),"")</f>
        <v>68935.84</v>
      </c>
      <c r="G163" s="32" t="n">
        <f aca="false">IFERROR(IF(C163="","",IF(MOD(A163,12)=0,MIN(Tilgungsrechner!C10,MAX(0,C163-E163)),0)),"")</f>
        <v>0</v>
      </c>
      <c r="H163" s="33" t="str">
        <f aca="false">IFERROR(IF(C163="","",aufround(A163/12,0)),"")</f>
        <v/>
      </c>
    </row>
    <row r="164" customFormat="false" ht="15.75" hidden="false" customHeight="true" outlineLevel="0" collapsed="false">
      <c r="A164" s="29" t="n">
        <v>159</v>
      </c>
      <c r="B164" s="30" t="str">
        <f aca="false">IFERROR(edatum(datwert(Tilgungsrechner!C12),158),"")</f>
        <v/>
      </c>
      <c r="C164" s="31" t="n">
        <f aca="false">IF(F163&lt;=0,"",F163)</f>
        <v>68935.84</v>
      </c>
      <c r="D164" s="31" t="n">
        <f aca="false">IFERROR(IF(C164="","",ROUND(C164*Tilgungsrechner!C8/12,2)),"")</f>
        <v>201.06</v>
      </c>
      <c r="E164" s="31" t="n">
        <f aca="false">IFERROR(IF(C164="","",MIN(ROUND(Tilgungsrechner!F7-D164,2),C164)),"")</f>
        <v>944.77</v>
      </c>
      <c r="F164" s="31" t="n">
        <f aca="false">IFERROR(IF(C164="","",MAX(0, C164-E164-IF(MOD(A164,12)=0,Tilgungsrechner!C10,0))),"")</f>
        <v>67991.07</v>
      </c>
      <c r="G164" s="32" t="n">
        <f aca="false">IFERROR(IF(C164="","",IF(MOD(A164,12)=0,MIN(Tilgungsrechner!C10,MAX(0,C164-E164)),0)),"")</f>
        <v>0</v>
      </c>
      <c r="H164" s="33" t="str">
        <f aca="false">IFERROR(IF(C164="","",aufround(A164/12,0)),"")</f>
        <v/>
      </c>
    </row>
    <row r="165" customFormat="false" ht="15.75" hidden="false" customHeight="true" outlineLevel="0" collapsed="false">
      <c r="A165" s="29" t="n">
        <v>160</v>
      </c>
      <c r="B165" s="30" t="str">
        <f aca="false">IFERROR(edatum(datwert(Tilgungsrechner!C12),159),"")</f>
        <v/>
      </c>
      <c r="C165" s="31" t="n">
        <f aca="false">IF(F164&lt;=0,"",F164)</f>
        <v>67991.07</v>
      </c>
      <c r="D165" s="31" t="n">
        <f aca="false">IFERROR(IF(C165="","",ROUND(C165*Tilgungsrechner!C8/12,2)),"")</f>
        <v>198.31</v>
      </c>
      <c r="E165" s="31" t="n">
        <f aca="false">IFERROR(IF(C165="","",MIN(ROUND(Tilgungsrechner!F7-D165,2),C165)),"")</f>
        <v>947.52</v>
      </c>
      <c r="F165" s="31" t="n">
        <f aca="false">IFERROR(IF(C165="","",MAX(0, C165-E165-IF(MOD(A165,12)=0,Tilgungsrechner!C10,0))),"")</f>
        <v>67043.55</v>
      </c>
      <c r="G165" s="32" t="n">
        <f aca="false">IFERROR(IF(C165="","",IF(MOD(A165,12)=0,MIN(Tilgungsrechner!C10,MAX(0,C165-E165)),0)),"")</f>
        <v>0</v>
      </c>
      <c r="H165" s="33" t="str">
        <f aca="false">IFERROR(IF(C165="","",aufround(A165/12,0)),"")</f>
        <v/>
      </c>
    </row>
    <row r="166" customFormat="false" ht="15.75" hidden="false" customHeight="true" outlineLevel="0" collapsed="false">
      <c r="A166" s="29" t="n">
        <v>161</v>
      </c>
      <c r="B166" s="30" t="str">
        <f aca="false">IFERROR(edatum(datwert(Tilgungsrechner!C12),160),"")</f>
        <v/>
      </c>
      <c r="C166" s="31" t="n">
        <f aca="false">IF(F165&lt;=0,"",F165)</f>
        <v>67043.55</v>
      </c>
      <c r="D166" s="31" t="n">
        <f aca="false">IFERROR(IF(C166="","",ROUND(C166*Tilgungsrechner!C8/12,2)),"")</f>
        <v>195.54</v>
      </c>
      <c r="E166" s="31" t="n">
        <f aca="false">IFERROR(IF(C166="","",MIN(ROUND(Tilgungsrechner!F7-D166,2),C166)),"")</f>
        <v>950.29</v>
      </c>
      <c r="F166" s="31" t="n">
        <f aca="false">IFERROR(IF(C166="","",MAX(0, C166-E166-IF(MOD(A166,12)=0,Tilgungsrechner!C10,0))),"")</f>
        <v>66093.26</v>
      </c>
      <c r="G166" s="32" t="n">
        <f aca="false">IFERROR(IF(C166="","",IF(MOD(A166,12)=0,MIN(Tilgungsrechner!C10,MAX(0,C166-E166)),0)),"")</f>
        <v>0</v>
      </c>
      <c r="H166" s="33" t="str">
        <f aca="false">IFERROR(IF(C166="","",aufround(A166/12,0)),"")</f>
        <v/>
      </c>
    </row>
    <row r="167" customFormat="false" ht="15.75" hidden="false" customHeight="true" outlineLevel="0" collapsed="false">
      <c r="A167" s="29" t="n">
        <v>162</v>
      </c>
      <c r="B167" s="30" t="str">
        <f aca="false">IFERROR(edatum(datwert(Tilgungsrechner!C12),161),"")</f>
        <v/>
      </c>
      <c r="C167" s="31" t="n">
        <f aca="false">IF(F166&lt;=0,"",F166)</f>
        <v>66093.26</v>
      </c>
      <c r="D167" s="31" t="n">
        <f aca="false">IFERROR(IF(C167="","",ROUND(C167*Tilgungsrechner!C8/12,2)),"")</f>
        <v>192.77</v>
      </c>
      <c r="E167" s="31" t="n">
        <f aca="false">IFERROR(IF(C167="","",MIN(ROUND(Tilgungsrechner!F7-D167,2),C167)),"")</f>
        <v>953.06</v>
      </c>
      <c r="F167" s="31" t="n">
        <f aca="false">IFERROR(IF(C167="","",MAX(0, C167-E167-IF(MOD(A167,12)=0,Tilgungsrechner!C10,0))),"")</f>
        <v>65140.2</v>
      </c>
      <c r="G167" s="32" t="n">
        <f aca="false">IFERROR(IF(C167="","",IF(MOD(A167,12)=0,MIN(Tilgungsrechner!C10,MAX(0,C167-E167)),0)),"")</f>
        <v>0</v>
      </c>
      <c r="H167" s="33" t="str">
        <f aca="false">IFERROR(IF(C167="","",aufround(A167/12,0)),"")</f>
        <v/>
      </c>
    </row>
    <row r="168" customFormat="false" ht="15.75" hidden="false" customHeight="true" outlineLevel="0" collapsed="false">
      <c r="A168" s="29" t="n">
        <v>163</v>
      </c>
      <c r="B168" s="30" t="str">
        <f aca="false">IFERROR(edatum(datwert(Tilgungsrechner!C12),162),"")</f>
        <v/>
      </c>
      <c r="C168" s="31" t="n">
        <f aca="false">IF(F167&lt;=0,"",F167)</f>
        <v>65140.2</v>
      </c>
      <c r="D168" s="31" t="n">
        <f aca="false">IFERROR(IF(C168="","",ROUND(C168*Tilgungsrechner!C8/12,2)),"")</f>
        <v>189.99</v>
      </c>
      <c r="E168" s="31" t="n">
        <f aca="false">IFERROR(IF(C168="","",MIN(ROUND(Tilgungsrechner!F7-D168,2),C168)),"")</f>
        <v>955.84</v>
      </c>
      <c r="F168" s="31" t="n">
        <f aca="false">IFERROR(IF(C168="","",MAX(0, C168-E168-IF(MOD(A168,12)=0,Tilgungsrechner!C10,0))),"")</f>
        <v>64184.36</v>
      </c>
      <c r="G168" s="32" t="n">
        <f aca="false">IFERROR(IF(C168="","",IF(MOD(A168,12)=0,MIN(Tilgungsrechner!C10,MAX(0,C168-E168)),0)),"")</f>
        <v>0</v>
      </c>
      <c r="H168" s="33" t="str">
        <f aca="false">IFERROR(IF(C168="","",aufround(A168/12,0)),"")</f>
        <v/>
      </c>
    </row>
    <row r="169" customFormat="false" ht="15.75" hidden="false" customHeight="true" outlineLevel="0" collapsed="false">
      <c r="A169" s="29" t="n">
        <v>164</v>
      </c>
      <c r="B169" s="30" t="str">
        <f aca="false">IFERROR(edatum(datwert(Tilgungsrechner!C12),163),"")</f>
        <v/>
      </c>
      <c r="C169" s="31" t="n">
        <f aca="false">IF(F168&lt;=0,"",F168)</f>
        <v>64184.36</v>
      </c>
      <c r="D169" s="31" t="n">
        <f aca="false">IFERROR(IF(C169="","",ROUND(C169*Tilgungsrechner!C8/12,2)),"")</f>
        <v>187.2</v>
      </c>
      <c r="E169" s="31" t="n">
        <f aca="false">IFERROR(IF(C169="","",MIN(ROUND(Tilgungsrechner!F7-D169,2),C169)),"")</f>
        <v>958.63</v>
      </c>
      <c r="F169" s="31" t="n">
        <f aca="false">IFERROR(IF(C169="","",MAX(0, C169-E169-IF(MOD(A169,12)=0,Tilgungsrechner!C10,0))),"")</f>
        <v>63225.73</v>
      </c>
      <c r="G169" s="32" t="n">
        <f aca="false">IFERROR(IF(C169="","",IF(MOD(A169,12)=0,MIN(Tilgungsrechner!C10,MAX(0,C169-E169)),0)),"")</f>
        <v>0</v>
      </c>
      <c r="H169" s="33" t="str">
        <f aca="false">IFERROR(IF(C169="","",aufround(A169/12,0)),"")</f>
        <v/>
      </c>
    </row>
    <row r="170" customFormat="false" ht="15.75" hidden="false" customHeight="true" outlineLevel="0" collapsed="false">
      <c r="A170" s="29" t="n">
        <v>165</v>
      </c>
      <c r="B170" s="30" t="str">
        <f aca="false">IFERROR(edatum(datwert(Tilgungsrechner!C12),164),"")</f>
        <v/>
      </c>
      <c r="C170" s="31" t="n">
        <f aca="false">IF(F169&lt;=0,"",F169)</f>
        <v>63225.73</v>
      </c>
      <c r="D170" s="31" t="n">
        <f aca="false">IFERROR(IF(C170="","",ROUND(C170*Tilgungsrechner!C8/12,2)),"")</f>
        <v>184.41</v>
      </c>
      <c r="E170" s="31" t="n">
        <f aca="false">IFERROR(IF(C170="","",MIN(ROUND(Tilgungsrechner!F7-D170,2),C170)),"")</f>
        <v>961.42</v>
      </c>
      <c r="F170" s="31" t="n">
        <f aca="false">IFERROR(IF(C170="","",MAX(0, C170-E170-IF(MOD(A170,12)=0,Tilgungsrechner!C10,0))),"")</f>
        <v>62264.31</v>
      </c>
      <c r="G170" s="32" t="n">
        <f aca="false">IFERROR(IF(C170="","",IF(MOD(A170,12)=0,MIN(Tilgungsrechner!C10,MAX(0,C170-E170)),0)),"")</f>
        <v>0</v>
      </c>
      <c r="H170" s="33" t="str">
        <f aca="false">IFERROR(IF(C170="","",aufround(A170/12,0)),"")</f>
        <v/>
      </c>
    </row>
    <row r="171" customFormat="false" ht="15.75" hidden="false" customHeight="true" outlineLevel="0" collapsed="false">
      <c r="A171" s="29" t="n">
        <v>166</v>
      </c>
      <c r="B171" s="30" t="str">
        <f aca="false">IFERROR(edatum(datwert(Tilgungsrechner!C12),165),"")</f>
        <v/>
      </c>
      <c r="C171" s="31" t="n">
        <f aca="false">IF(F170&lt;=0,"",F170)</f>
        <v>62264.31</v>
      </c>
      <c r="D171" s="31" t="n">
        <f aca="false">IFERROR(IF(C171="","",ROUND(C171*Tilgungsrechner!C8/12,2)),"")</f>
        <v>181.6</v>
      </c>
      <c r="E171" s="31" t="n">
        <f aca="false">IFERROR(IF(C171="","",MIN(ROUND(Tilgungsrechner!F7-D171,2),C171)),"")</f>
        <v>964.23</v>
      </c>
      <c r="F171" s="31" t="n">
        <f aca="false">IFERROR(IF(C171="","",MAX(0, C171-E171-IF(MOD(A171,12)=0,Tilgungsrechner!C10,0))),"")</f>
        <v>61300.08</v>
      </c>
      <c r="G171" s="32" t="n">
        <f aca="false">IFERROR(IF(C171="","",IF(MOD(A171,12)=0,MIN(Tilgungsrechner!C10,MAX(0,C171-E171)),0)),"")</f>
        <v>0</v>
      </c>
      <c r="H171" s="33" t="str">
        <f aca="false">IFERROR(IF(C171="","",aufround(A171/12,0)),"")</f>
        <v/>
      </c>
    </row>
    <row r="172" customFormat="false" ht="15.75" hidden="false" customHeight="true" outlineLevel="0" collapsed="false">
      <c r="A172" s="29" t="n">
        <v>167</v>
      </c>
      <c r="B172" s="30" t="str">
        <f aca="false">IFERROR(edatum(datwert(Tilgungsrechner!C12),166),"")</f>
        <v/>
      </c>
      <c r="C172" s="31" t="n">
        <f aca="false">IF(F171&lt;=0,"",F171)</f>
        <v>61300.08</v>
      </c>
      <c r="D172" s="31" t="n">
        <f aca="false">IFERROR(IF(C172="","",ROUND(C172*Tilgungsrechner!C8/12,2)),"")</f>
        <v>178.79</v>
      </c>
      <c r="E172" s="31" t="n">
        <f aca="false">IFERROR(IF(C172="","",MIN(ROUND(Tilgungsrechner!F7-D172,2),C172)),"")</f>
        <v>967.04</v>
      </c>
      <c r="F172" s="31" t="n">
        <f aca="false">IFERROR(IF(C172="","",MAX(0, C172-E172-IF(MOD(A172,12)=0,Tilgungsrechner!C10,0))),"")</f>
        <v>60333.04</v>
      </c>
      <c r="G172" s="32" t="n">
        <f aca="false">IFERROR(IF(C172="","",IF(MOD(A172,12)=0,MIN(Tilgungsrechner!C10,MAX(0,C172-E172)),0)),"")</f>
        <v>0</v>
      </c>
      <c r="H172" s="33" t="str">
        <f aca="false">IFERROR(IF(C172="","",aufround(A172/12,0)),"")</f>
        <v/>
      </c>
    </row>
    <row r="173" customFormat="false" ht="15.75" hidden="false" customHeight="true" outlineLevel="0" collapsed="false">
      <c r="A173" s="29" t="n">
        <v>168</v>
      </c>
      <c r="B173" s="30" t="str">
        <f aca="false">IFERROR(edatum(datwert(Tilgungsrechner!C12),167),"")</f>
        <v/>
      </c>
      <c r="C173" s="31" t="n">
        <f aca="false">IF(F172&lt;=0,"",F172)</f>
        <v>60333.04</v>
      </c>
      <c r="D173" s="31" t="n">
        <f aca="false">IFERROR(IF(C173="","",ROUND(C173*Tilgungsrechner!C8/12,2)),"")</f>
        <v>175.97</v>
      </c>
      <c r="E173" s="31" t="n">
        <f aca="false">IFERROR(IF(C173="","",MIN(ROUND(Tilgungsrechner!F7-D173,2),C173)),"")</f>
        <v>969.86</v>
      </c>
      <c r="F173" s="31" t="n">
        <f aca="false">IFERROR(IF(C173="","",MAX(0, C173-E173-IF(MOD(A173,12)=0,Tilgungsrechner!C10,0))),"")</f>
        <v>53363.18</v>
      </c>
      <c r="G173" s="32" t="n">
        <f aca="false">IFERROR(IF(C173="","",IF(MOD(A173,12)=0,MIN(Tilgungsrechner!C10,MAX(0,C173-E173)),0)),"")</f>
        <v>6000</v>
      </c>
      <c r="H173" s="33" t="str">
        <f aca="false">IFERROR(IF(C173="","",aufround(A173/12,0)),"")</f>
        <v/>
      </c>
    </row>
    <row r="174" customFormat="false" ht="15.75" hidden="false" customHeight="true" outlineLevel="0" collapsed="false">
      <c r="A174" s="29" t="n">
        <v>169</v>
      </c>
      <c r="B174" s="30" t="str">
        <f aca="false">IFERROR(edatum(datwert(Tilgungsrechner!C12),168),"")</f>
        <v/>
      </c>
      <c r="C174" s="31" t="n">
        <f aca="false">IF(F173&lt;=0,"",F173)</f>
        <v>53363.18</v>
      </c>
      <c r="D174" s="31" t="n">
        <f aca="false">IFERROR(IF(C174="","",ROUND(C174*Tilgungsrechner!C8/12,2)),"")</f>
        <v>155.64</v>
      </c>
      <c r="E174" s="31" t="n">
        <f aca="false">IFERROR(IF(C174="","",MIN(ROUND(Tilgungsrechner!F7-D174,2),C174)),"")</f>
        <v>990.19</v>
      </c>
      <c r="F174" s="31" t="n">
        <f aca="false">IFERROR(IF(C174="","",MAX(0, C174-E174-IF(MOD(A174,12)=0,Tilgungsrechner!C10,0))),"")</f>
        <v>52372.99</v>
      </c>
      <c r="G174" s="32" t="n">
        <f aca="false">IFERROR(IF(C174="","",IF(MOD(A174,12)=0,MIN(Tilgungsrechner!C10,MAX(0,C174-E174)),0)),"")</f>
        <v>0</v>
      </c>
      <c r="H174" s="33" t="str">
        <f aca="false">IFERROR(IF(C174="","",aufround(A174/12,0)),"")</f>
        <v/>
      </c>
    </row>
    <row r="175" customFormat="false" ht="15.75" hidden="false" customHeight="true" outlineLevel="0" collapsed="false">
      <c r="A175" s="29" t="n">
        <v>170</v>
      </c>
      <c r="B175" s="30" t="str">
        <f aca="false">IFERROR(edatum(datwert(Tilgungsrechner!C12),169),"")</f>
        <v/>
      </c>
      <c r="C175" s="31" t="n">
        <f aca="false">IF(F174&lt;=0,"",F174)</f>
        <v>52372.99</v>
      </c>
      <c r="D175" s="31" t="n">
        <f aca="false">IFERROR(IF(C175="","",ROUND(C175*Tilgungsrechner!C8/12,2)),"")</f>
        <v>152.75</v>
      </c>
      <c r="E175" s="31" t="n">
        <f aca="false">IFERROR(IF(C175="","",MIN(ROUND(Tilgungsrechner!F7-D175,2),C175)),"")</f>
        <v>993.08</v>
      </c>
      <c r="F175" s="31" t="n">
        <f aca="false">IFERROR(IF(C175="","",MAX(0, C175-E175-IF(MOD(A175,12)=0,Tilgungsrechner!C10,0))),"")</f>
        <v>51379.91</v>
      </c>
      <c r="G175" s="32" t="n">
        <f aca="false">IFERROR(IF(C175="","",IF(MOD(A175,12)=0,MIN(Tilgungsrechner!C10,MAX(0,C175-E175)),0)),"")</f>
        <v>0</v>
      </c>
      <c r="H175" s="33" t="str">
        <f aca="false">IFERROR(IF(C175="","",aufround(A175/12,0)),"")</f>
        <v/>
      </c>
    </row>
    <row r="176" customFormat="false" ht="15.75" hidden="false" customHeight="true" outlineLevel="0" collapsed="false">
      <c r="A176" s="29" t="n">
        <v>171</v>
      </c>
      <c r="B176" s="30" t="str">
        <f aca="false">IFERROR(edatum(datwert(Tilgungsrechner!C12),170),"")</f>
        <v/>
      </c>
      <c r="C176" s="31" t="n">
        <f aca="false">IF(F175&lt;=0,"",F175)</f>
        <v>51379.91</v>
      </c>
      <c r="D176" s="31" t="n">
        <f aca="false">IFERROR(IF(C176="","",ROUND(C176*Tilgungsrechner!C8/12,2)),"")</f>
        <v>149.86</v>
      </c>
      <c r="E176" s="31" t="n">
        <f aca="false">IFERROR(IF(C176="","",MIN(ROUND(Tilgungsrechner!F7-D176,2),C176)),"")</f>
        <v>995.97</v>
      </c>
      <c r="F176" s="31" t="n">
        <f aca="false">IFERROR(IF(C176="","",MAX(0, C176-E176-IF(MOD(A176,12)=0,Tilgungsrechner!C10,0))),"")</f>
        <v>50383.94</v>
      </c>
      <c r="G176" s="32" t="n">
        <f aca="false">IFERROR(IF(C176="","",IF(MOD(A176,12)=0,MIN(Tilgungsrechner!C10,MAX(0,C176-E176)),0)),"")</f>
        <v>0</v>
      </c>
      <c r="H176" s="33" t="str">
        <f aca="false">IFERROR(IF(C176="","",aufround(A176/12,0)),"")</f>
        <v/>
      </c>
    </row>
    <row r="177" customFormat="false" ht="15.75" hidden="false" customHeight="true" outlineLevel="0" collapsed="false">
      <c r="A177" s="29" t="n">
        <v>172</v>
      </c>
      <c r="B177" s="30" t="str">
        <f aca="false">IFERROR(edatum(datwert(Tilgungsrechner!C12),171),"")</f>
        <v/>
      </c>
      <c r="C177" s="31" t="n">
        <f aca="false">IF(F176&lt;=0,"",F176)</f>
        <v>50383.94</v>
      </c>
      <c r="D177" s="31" t="n">
        <f aca="false">IFERROR(IF(C177="","",ROUND(C177*Tilgungsrechner!C8/12,2)),"")</f>
        <v>146.95</v>
      </c>
      <c r="E177" s="31" t="n">
        <f aca="false">IFERROR(IF(C177="","",MIN(ROUND(Tilgungsrechner!F7-D177,2),C177)),"")</f>
        <v>998.88</v>
      </c>
      <c r="F177" s="31" t="n">
        <f aca="false">IFERROR(IF(C177="","",MAX(0, C177-E177-IF(MOD(A177,12)=0,Tilgungsrechner!C10,0))),"")</f>
        <v>49385.06</v>
      </c>
      <c r="G177" s="32" t="n">
        <f aca="false">IFERROR(IF(C177="","",IF(MOD(A177,12)=0,MIN(Tilgungsrechner!C10,MAX(0,C177-E177)),0)),"")</f>
        <v>0</v>
      </c>
      <c r="H177" s="33" t="str">
        <f aca="false">IFERROR(IF(C177="","",aufround(A177/12,0)),"")</f>
        <v/>
      </c>
    </row>
    <row r="178" customFormat="false" ht="15.75" hidden="false" customHeight="true" outlineLevel="0" collapsed="false">
      <c r="A178" s="29" t="n">
        <v>173</v>
      </c>
      <c r="B178" s="30" t="str">
        <f aca="false">IFERROR(edatum(datwert(Tilgungsrechner!C12),172),"")</f>
        <v/>
      </c>
      <c r="C178" s="31" t="n">
        <f aca="false">IF(F177&lt;=0,"",F177)</f>
        <v>49385.06</v>
      </c>
      <c r="D178" s="31" t="n">
        <f aca="false">IFERROR(IF(C178="","",ROUND(C178*Tilgungsrechner!C8/12,2)),"")</f>
        <v>144.04</v>
      </c>
      <c r="E178" s="31" t="n">
        <f aca="false">IFERROR(IF(C178="","",MIN(ROUND(Tilgungsrechner!F7-D178,2),C178)),"")</f>
        <v>1001.79</v>
      </c>
      <c r="F178" s="31" t="n">
        <f aca="false">IFERROR(IF(C178="","",MAX(0, C178-E178-IF(MOD(A178,12)=0,Tilgungsrechner!C10,0))),"")</f>
        <v>48383.27</v>
      </c>
      <c r="G178" s="32" t="n">
        <f aca="false">IFERROR(IF(C178="","",IF(MOD(A178,12)=0,MIN(Tilgungsrechner!C10,MAX(0,C178-E178)),0)),"")</f>
        <v>0</v>
      </c>
      <c r="H178" s="33" t="str">
        <f aca="false">IFERROR(IF(C178="","",aufround(A178/12,0)),"")</f>
        <v/>
      </c>
    </row>
    <row r="179" customFormat="false" ht="15.75" hidden="false" customHeight="true" outlineLevel="0" collapsed="false">
      <c r="A179" s="29" t="n">
        <v>174</v>
      </c>
      <c r="B179" s="30" t="str">
        <f aca="false">IFERROR(edatum(datwert(Tilgungsrechner!C12),173),"")</f>
        <v/>
      </c>
      <c r="C179" s="31" t="n">
        <f aca="false">IF(F178&lt;=0,"",F178)</f>
        <v>48383.27</v>
      </c>
      <c r="D179" s="31" t="n">
        <f aca="false">IFERROR(IF(C179="","",ROUND(C179*Tilgungsrechner!C8/12,2)),"")</f>
        <v>141.12</v>
      </c>
      <c r="E179" s="31" t="n">
        <f aca="false">IFERROR(IF(C179="","",MIN(ROUND(Tilgungsrechner!F7-D179,2),C179)),"")</f>
        <v>1004.71</v>
      </c>
      <c r="F179" s="31" t="n">
        <f aca="false">IFERROR(IF(C179="","",MAX(0, C179-E179-IF(MOD(A179,12)=0,Tilgungsrechner!C10,0))),"")</f>
        <v>47378.56</v>
      </c>
      <c r="G179" s="32" t="n">
        <f aca="false">IFERROR(IF(C179="","",IF(MOD(A179,12)=0,MIN(Tilgungsrechner!C10,MAX(0,C179-E179)),0)),"")</f>
        <v>0</v>
      </c>
      <c r="H179" s="33" t="str">
        <f aca="false">IFERROR(IF(C179="","",aufround(A179/12,0)),"")</f>
        <v/>
      </c>
    </row>
    <row r="180" customFormat="false" ht="15.75" hidden="false" customHeight="true" outlineLevel="0" collapsed="false">
      <c r="A180" s="29" t="n">
        <v>175</v>
      </c>
      <c r="B180" s="30" t="str">
        <f aca="false">IFERROR(edatum(datwert(Tilgungsrechner!C12),174),"")</f>
        <v/>
      </c>
      <c r="C180" s="31" t="n">
        <f aca="false">IF(F179&lt;=0,"",F179)</f>
        <v>47378.56</v>
      </c>
      <c r="D180" s="31" t="n">
        <f aca="false">IFERROR(IF(C180="","",ROUND(C180*Tilgungsrechner!C8/12,2)),"")</f>
        <v>138.19</v>
      </c>
      <c r="E180" s="31" t="n">
        <f aca="false">IFERROR(IF(C180="","",MIN(ROUND(Tilgungsrechner!F7-D180,2),C180)),"")</f>
        <v>1007.64</v>
      </c>
      <c r="F180" s="31" t="n">
        <f aca="false">IFERROR(IF(C180="","",MAX(0, C180-E180-IF(MOD(A180,12)=0,Tilgungsrechner!C10,0))),"")</f>
        <v>46370.92</v>
      </c>
      <c r="G180" s="32" t="n">
        <f aca="false">IFERROR(IF(C180="","",IF(MOD(A180,12)=0,MIN(Tilgungsrechner!C10,MAX(0,C180-E180)),0)),"")</f>
        <v>0</v>
      </c>
      <c r="H180" s="33" t="str">
        <f aca="false">IFERROR(IF(C180="","",aufround(A180/12,0)),"")</f>
        <v/>
      </c>
    </row>
    <row r="181" customFormat="false" ht="15.75" hidden="false" customHeight="true" outlineLevel="0" collapsed="false">
      <c r="A181" s="29" t="n">
        <v>176</v>
      </c>
      <c r="B181" s="30" t="str">
        <f aca="false">IFERROR(edatum(datwert(Tilgungsrechner!C12),175),"")</f>
        <v/>
      </c>
      <c r="C181" s="31" t="n">
        <f aca="false">IF(F180&lt;=0,"",F180)</f>
        <v>46370.92</v>
      </c>
      <c r="D181" s="31" t="n">
        <f aca="false">IFERROR(IF(C181="","",ROUND(C181*Tilgungsrechner!C8/12,2)),"")</f>
        <v>135.25</v>
      </c>
      <c r="E181" s="31" t="n">
        <f aca="false">IFERROR(IF(C181="","",MIN(ROUND(Tilgungsrechner!F7-D181,2),C181)),"")</f>
        <v>1010.58</v>
      </c>
      <c r="F181" s="31" t="n">
        <f aca="false">IFERROR(IF(C181="","",MAX(0, C181-E181-IF(MOD(A181,12)=0,Tilgungsrechner!C10,0))),"")</f>
        <v>45360.34</v>
      </c>
      <c r="G181" s="32" t="n">
        <f aca="false">IFERROR(IF(C181="","",IF(MOD(A181,12)=0,MIN(Tilgungsrechner!C10,MAX(0,C181-E181)),0)),"")</f>
        <v>0</v>
      </c>
      <c r="H181" s="33" t="str">
        <f aca="false">IFERROR(IF(C181="","",aufround(A181/12,0)),"")</f>
        <v/>
      </c>
    </row>
    <row r="182" customFormat="false" ht="15.75" hidden="false" customHeight="true" outlineLevel="0" collapsed="false">
      <c r="A182" s="29" t="n">
        <v>177</v>
      </c>
      <c r="B182" s="30" t="str">
        <f aca="false">IFERROR(edatum(datwert(Tilgungsrechner!C12),176),"")</f>
        <v/>
      </c>
      <c r="C182" s="31" t="n">
        <f aca="false">IF(F181&lt;=0,"",F181)</f>
        <v>45360.34</v>
      </c>
      <c r="D182" s="31" t="n">
        <f aca="false">IFERROR(IF(C182="","",ROUND(C182*Tilgungsrechner!C8/12,2)),"")</f>
        <v>132.3</v>
      </c>
      <c r="E182" s="31" t="n">
        <f aca="false">IFERROR(IF(C182="","",MIN(ROUND(Tilgungsrechner!F7-D182,2),C182)),"")</f>
        <v>1013.53</v>
      </c>
      <c r="F182" s="31" t="n">
        <f aca="false">IFERROR(IF(C182="","",MAX(0, C182-E182-IF(MOD(A182,12)=0,Tilgungsrechner!C10,0))),"")</f>
        <v>44346.81</v>
      </c>
      <c r="G182" s="32" t="n">
        <f aca="false">IFERROR(IF(C182="","",IF(MOD(A182,12)=0,MIN(Tilgungsrechner!C10,MAX(0,C182-E182)),0)),"")</f>
        <v>0</v>
      </c>
      <c r="H182" s="33" t="str">
        <f aca="false">IFERROR(IF(C182="","",aufround(A182/12,0)),"")</f>
        <v/>
      </c>
    </row>
    <row r="183" customFormat="false" ht="15.75" hidden="false" customHeight="true" outlineLevel="0" collapsed="false">
      <c r="A183" s="29" t="n">
        <v>178</v>
      </c>
      <c r="B183" s="30" t="str">
        <f aca="false">IFERROR(edatum(datwert(Tilgungsrechner!C12),177),"")</f>
        <v/>
      </c>
      <c r="C183" s="31" t="n">
        <f aca="false">IF(F182&lt;=0,"",F182)</f>
        <v>44346.81</v>
      </c>
      <c r="D183" s="31" t="n">
        <f aca="false">IFERROR(IF(C183="","",ROUND(C183*Tilgungsrechner!C8/12,2)),"")</f>
        <v>129.34</v>
      </c>
      <c r="E183" s="31" t="n">
        <f aca="false">IFERROR(IF(C183="","",MIN(ROUND(Tilgungsrechner!F7-D183,2),C183)),"")</f>
        <v>1016.49</v>
      </c>
      <c r="F183" s="31" t="n">
        <f aca="false">IFERROR(IF(C183="","",MAX(0, C183-E183-IF(MOD(A183,12)=0,Tilgungsrechner!C10,0))),"")</f>
        <v>43330.32</v>
      </c>
      <c r="G183" s="32" t="n">
        <f aca="false">IFERROR(IF(C183="","",IF(MOD(A183,12)=0,MIN(Tilgungsrechner!C10,MAX(0,C183-E183)),0)),"")</f>
        <v>0</v>
      </c>
      <c r="H183" s="33" t="str">
        <f aca="false">IFERROR(IF(C183="","",aufround(A183/12,0)),"")</f>
        <v/>
      </c>
    </row>
    <row r="184" customFormat="false" ht="15.75" hidden="false" customHeight="true" outlineLevel="0" collapsed="false">
      <c r="A184" s="29" t="n">
        <v>179</v>
      </c>
      <c r="B184" s="30" t="str">
        <f aca="false">IFERROR(edatum(datwert(Tilgungsrechner!C12),178),"")</f>
        <v/>
      </c>
      <c r="C184" s="31" t="n">
        <f aca="false">IF(F183&lt;=0,"",F183)</f>
        <v>43330.32</v>
      </c>
      <c r="D184" s="31" t="n">
        <f aca="false">IFERROR(IF(C184="","",ROUND(C184*Tilgungsrechner!C8/12,2)),"")</f>
        <v>126.38</v>
      </c>
      <c r="E184" s="31" t="n">
        <f aca="false">IFERROR(IF(C184="","",MIN(ROUND(Tilgungsrechner!F7-D184,2),C184)),"")</f>
        <v>1019.45</v>
      </c>
      <c r="F184" s="31" t="n">
        <f aca="false">IFERROR(IF(C184="","",MAX(0, C184-E184-IF(MOD(A184,12)=0,Tilgungsrechner!C10,0))),"")</f>
        <v>42310.87</v>
      </c>
      <c r="G184" s="32" t="n">
        <f aca="false">IFERROR(IF(C184="","",IF(MOD(A184,12)=0,MIN(Tilgungsrechner!C10,MAX(0,C184-E184)),0)),"")</f>
        <v>0</v>
      </c>
      <c r="H184" s="33" t="str">
        <f aca="false">IFERROR(IF(C184="","",aufround(A184/12,0)),"")</f>
        <v/>
      </c>
    </row>
    <row r="185" customFormat="false" ht="15.75" hidden="false" customHeight="true" outlineLevel="0" collapsed="false">
      <c r="A185" s="29" t="n">
        <v>180</v>
      </c>
      <c r="B185" s="30" t="str">
        <f aca="false">IFERROR(edatum(datwert(Tilgungsrechner!C12),179),"")</f>
        <v/>
      </c>
      <c r="C185" s="31" t="n">
        <f aca="false">IF(F184&lt;=0,"",F184)</f>
        <v>42310.87</v>
      </c>
      <c r="D185" s="31" t="n">
        <f aca="false">IFERROR(IF(C185="","",ROUND(C185*Tilgungsrechner!C8/12,2)),"")</f>
        <v>123.41</v>
      </c>
      <c r="E185" s="31" t="n">
        <f aca="false">IFERROR(IF(C185="","",MIN(ROUND(Tilgungsrechner!F7-D185,2),C185)),"")</f>
        <v>1022.42</v>
      </c>
      <c r="F185" s="31" t="n">
        <f aca="false">IFERROR(IF(C185="","",MAX(0, C185-E185-IF(MOD(A185,12)=0,Tilgungsrechner!C10,0))),"")</f>
        <v>35288.45</v>
      </c>
      <c r="G185" s="32" t="n">
        <f aca="false">IFERROR(IF(C185="","",IF(MOD(A185,12)=0,MIN(Tilgungsrechner!C10,MAX(0,C185-E185)),0)),"")</f>
        <v>6000</v>
      </c>
      <c r="H185" s="33" t="str">
        <f aca="false">IFERROR(IF(C185="","",aufround(A185/12,0)),"")</f>
        <v/>
      </c>
    </row>
    <row r="186" customFormat="false" ht="15.75" hidden="false" customHeight="true" outlineLevel="0" collapsed="false">
      <c r="A186" s="29" t="n">
        <v>181</v>
      </c>
      <c r="B186" s="30" t="str">
        <f aca="false">IFERROR(edatum(datwert(Tilgungsrechner!C12),180),"")</f>
        <v/>
      </c>
      <c r="C186" s="31" t="n">
        <f aca="false">IF(F185&lt;=0,"",F185)</f>
        <v>35288.45</v>
      </c>
      <c r="D186" s="31" t="n">
        <f aca="false">IFERROR(IF(C186="","",ROUND(C186*Tilgungsrechner!C8/12,2)),"")</f>
        <v>102.92</v>
      </c>
      <c r="E186" s="31" t="n">
        <f aca="false">IFERROR(IF(C186="","",MIN(ROUND(Tilgungsrechner!F7-D186,2),C186)),"")</f>
        <v>1042.91</v>
      </c>
      <c r="F186" s="31" t="n">
        <f aca="false">IFERROR(IF(C186="","",MAX(0, C186-E186-IF(MOD(A186,12)=0,Tilgungsrechner!C10,0))),"")</f>
        <v>34245.54</v>
      </c>
      <c r="G186" s="32" t="n">
        <f aca="false">IFERROR(IF(C186="","",IF(MOD(A186,12)=0,MIN(Tilgungsrechner!C10,MAX(0,C186-E186)),0)),"")</f>
        <v>0</v>
      </c>
      <c r="H186" s="33" t="str">
        <f aca="false">IFERROR(IF(C186="","",aufround(A186/12,0)),"")</f>
        <v/>
      </c>
    </row>
    <row r="187" customFormat="false" ht="15.75" hidden="false" customHeight="true" outlineLevel="0" collapsed="false">
      <c r="A187" s="29" t="n">
        <v>182</v>
      </c>
      <c r="B187" s="30" t="str">
        <f aca="false">IFERROR(edatum(datwert(Tilgungsrechner!C12),181),"")</f>
        <v/>
      </c>
      <c r="C187" s="31" t="n">
        <f aca="false">IF(F186&lt;=0,"",F186)</f>
        <v>34245.54</v>
      </c>
      <c r="D187" s="31" t="n">
        <f aca="false">IFERROR(IF(C187="","",ROUND(C187*Tilgungsrechner!C8/12,2)),"")</f>
        <v>99.88</v>
      </c>
      <c r="E187" s="31" t="n">
        <f aca="false">IFERROR(IF(C187="","",MIN(ROUND(Tilgungsrechner!F7-D187,2),C187)),"")</f>
        <v>1045.95</v>
      </c>
      <c r="F187" s="31" t="n">
        <f aca="false">IFERROR(IF(C187="","",MAX(0, C187-E187-IF(MOD(A187,12)=0,Tilgungsrechner!C10,0))),"")</f>
        <v>33199.59</v>
      </c>
      <c r="G187" s="32" t="n">
        <f aca="false">IFERROR(IF(C187="","",IF(MOD(A187,12)=0,MIN(Tilgungsrechner!C10,MAX(0,C187-E187)),0)),"")</f>
        <v>0</v>
      </c>
      <c r="H187" s="33" t="str">
        <f aca="false">IFERROR(IF(C187="","",aufround(A187/12,0)),"")</f>
        <v/>
      </c>
    </row>
    <row r="188" customFormat="false" ht="15.75" hidden="false" customHeight="true" outlineLevel="0" collapsed="false">
      <c r="A188" s="29" t="n">
        <v>183</v>
      </c>
      <c r="B188" s="30" t="str">
        <f aca="false">IFERROR(edatum(datwert(Tilgungsrechner!C12),182),"")</f>
        <v/>
      </c>
      <c r="C188" s="31" t="n">
        <f aca="false">IF(F187&lt;=0,"",F187)</f>
        <v>33199.59</v>
      </c>
      <c r="D188" s="31" t="n">
        <f aca="false">IFERROR(IF(C188="","",ROUND(C188*Tilgungsrechner!C8/12,2)),"")</f>
        <v>96.83</v>
      </c>
      <c r="E188" s="31" t="n">
        <f aca="false">IFERROR(IF(C188="","",MIN(ROUND(Tilgungsrechner!F7-D188,2),C188)),"")</f>
        <v>1049</v>
      </c>
      <c r="F188" s="31" t="n">
        <f aca="false">IFERROR(IF(C188="","",MAX(0, C188-E188-IF(MOD(A188,12)=0,Tilgungsrechner!C10,0))),"")</f>
        <v>32150.59</v>
      </c>
      <c r="G188" s="32" t="n">
        <f aca="false">IFERROR(IF(C188="","",IF(MOD(A188,12)=0,MIN(Tilgungsrechner!C10,MAX(0,C188-E188)),0)),"")</f>
        <v>0</v>
      </c>
      <c r="H188" s="33" t="str">
        <f aca="false">IFERROR(IF(C188="","",aufround(A188/12,0)),"")</f>
        <v/>
      </c>
    </row>
    <row r="189" customFormat="false" ht="15.75" hidden="false" customHeight="true" outlineLevel="0" collapsed="false">
      <c r="A189" s="29" t="n">
        <v>184</v>
      </c>
      <c r="B189" s="30" t="str">
        <f aca="false">IFERROR(edatum(datwert(Tilgungsrechner!C12),183),"")</f>
        <v/>
      </c>
      <c r="C189" s="31" t="n">
        <f aca="false">IF(F188&lt;=0,"",F188)</f>
        <v>32150.59</v>
      </c>
      <c r="D189" s="31" t="n">
        <f aca="false">IFERROR(IF(C189="","",ROUND(C189*Tilgungsrechner!C8/12,2)),"")</f>
        <v>93.77</v>
      </c>
      <c r="E189" s="31" t="n">
        <f aca="false">IFERROR(IF(C189="","",MIN(ROUND(Tilgungsrechner!F7-D189,2),C189)),"")</f>
        <v>1052.06</v>
      </c>
      <c r="F189" s="31" t="n">
        <f aca="false">IFERROR(IF(C189="","",MAX(0, C189-E189-IF(MOD(A189,12)=0,Tilgungsrechner!C10,0))),"")</f>
        <v>31098.53</v>
      </c>
      <c r="G189" s="32" t="n">
        <f aca="false">IFERROR(IF(C189="","",IF(MOD(A189,12)=0,MIN(Tilgungsrechner!C10,MAX(0,C189-E189)),0)),"")</f>
        <v>0</v>
      </c>
      <c r="H189" s="33" t="str">
        <f aca="false">IFERROR(IF(C189="","",aufround(A189/12,0)),"")</f>
        <v/>
      </c>
    </row>
    <row r="190" customFormat="false" ht="15.75" hidden="false" customHeight="true" outlineLevel="0" collapsed="false">
      <c r="A190" s="29" t="n">
        <v>185</v>
      </c>
      <c r="B190" s="30" t="str">
        <f aca="false">IFERROR(edatum(datwert(Tilgungsrechner!C12),184),"")</f>
        <v/>
      </c>
      <c r="C190" s="31" t="n">
        <f aca="false">IF(F189&lt;=0,"",F189)</f>
        <v>31098.53</v>
      </c>
      <c r="D190" s="31" t="n">
        <f aca="false">IFERROR(IF(C190="","",ROUND(C190*Tilgungsrechner!C8/12,2)),"")</f>
        <v>90.7</v>
      </c>
      <c r="E190" s="31" t="n">
        <f aca="false">IFERROR(IF(C190="","",MIN(ROUND(Tilgungsrechner!F7-D190,2),C190)),"")</f>
        <v>1055.13</v>
      </c>
      <c r="F190" s="31" t="n">
        <f aca="false">IFERROR(IF(C190="","",MAX(0, C190-E190-IF(MOD(A190,12)=0,Tilgungsrechner!C10,0))),"")</f>
        <v>30043.4</v>
      </c>
      <c r="G190" s="32" t="n">
        <f aca="false">IFERROR(IF(C190="","",IF(MOD(A190,12)=0,MIN(Tilgungsrechner!C10,MAX(0,C190-E190)),0)),"")</f>
        <v>0</v>
      </c>
      <c r="H190" s="33" t="str">
        <f aca="false">IFERROR(IF(C190="","",aufround(A190/12,0)),"")</f>
        <v/>
      </c>
    </row>
    <row r="191" customFormat="false" ht="15.75" hidden="false" customHeight="true" outlineLevel="0" collapsed="false">
      <c r="A191" s="29" t="n">
        <v>186</v>
      </c>
      <c r="B191" s="30" t="str">
        <f aca="false">IFERROR(edatum(datwert(Tilgungsrechner!C12),185),"")</f>
        <v/>
      </c>
      <c r="C191" s="31" t="n">
        <f aca="false">IF(F190&lt;=0,"",F190)</f>
        <v>30043.4</v>
      </c>
      <c r="D191" s="31" t="n">
        <f aca="false">IFERROR(IF(C191="","",ROUND(C191*Tilgungsrechner!C8/12,2)),"")</f>
        <v>87.63</v>
      </c>
      <c r="E191" s="31" t="n">
        <f aca="false">IFERROR(IF(C191="","",MIN(ROUND(Tilgungsrechner!F7-D191,2),C191)),"")</f>
        <v>1058.2</v>
      </c>
      <c r="F191" s="31" t="n">
        <f aca="false">IFERROR(IF(C191="","",MAX(0, C191-E191-IF(MOD(A191,12)=0,Tilgungsrechner!C10,0))),"")</f>
        <v>28985.2</v>
      </c>
      <c r="G191" s="32" t="n">
        <f aca="false">IFERROR(IF(C191="","",IF(MOD(A191,12)=0,MIN(Tilgungsrechner!C10,MAX(0,C191-E191)),0)),"")</f>
        <v>0</v>
      </c>
      <c r="H191" s="33" t="str">
        <f aca="false">IFERROR(IF(C191="","",aufround(A191/12,0)),"")</f>
        <v/>
      </c>
    </row>
    <row r="192" customFormat="false" ht="15.75" hidden="false" customHeight="true" outlineLevel="0" collapsed="false">
      <c r="A192" s="29" t="n">
        <v>187</v>
      </c>
      <c r="B192" s="30" t="str">
        <f aca="false">IFERROR(edatum(datwert(Tilgungsrechner!C12),186),"")</f>
        <v/>
      </c>
      <c r="C192" s="31" t="n">
        <f aca="false">IF(F191&lt;=0,"",F191)</f>
        <v>28985.2</v>
      </c>
      <c r="D192" s="31" t="n">
        <f aca="false">IFERROR(IF(C192="","",ROUND(C192*Tilgungsrechner!C8/12,2)),"")</f>
        <v>84.54</v>
      </c>
      <c r="E192" s="31" t="n">
        <f aca="false">IFERROR(IF(C192="","",MIN(ROUND(Tilgungsrechner!F7-D192,2),C192)),"")</f>
        <v>1061.29</v>
      </c>
      <c r="F192" s="31" t="n">
        <f aca="false">IFERROR(IF(C192="","",MAX(0, C192-E192-IF(MOD(A192,12)=0,Tilgungsrechner!C10,0))),"")</f>
        <v>27923.91</v>
      </c>
      <c r="G192" s="32" t="n">
        <f aca="false">IFERROR(IF(C192="","",IF(MOD(A192,12)=0,MIN(Tilgungsrechner!C10,MAX(0,C192-E192)),0)),"")</f>
        <v>0</v>
      </c>
      <c r="H192" s="33" t="str">
        <f aca="false">IFERROR(IF(C192="","",aufround(A192/12,0)),"")</f>
        <v/>
      </c>
    </row>
    <row r="193" customFormat="false" ht="15.75" hidden="false" customHeight="true" outlineLevel="0" collapsed="false">
      <c r="A193" s="29" t="n">
        <v>188</v>
      </c>
      <c r="B193" s="30" t="str">
        <f aca="false">IFERROR(edatum(datwert(Tilgungsrechner!C12),187),"")</f>
        <v/>
      </c>
      <c r="C193" s="31" t="n">
        <f aca="false">IF(F192&lt;=0,"",F192)</f>
        <v>27923.91</v>
      </c>
      <c r="D193" s="31" t="n">
        <f aca="false">IFERROR(IF(C193="","",ROUND(C193*Tilgungsrechner!C8/12,2)),"")</f>
        <v>81.44</v>
      </c>
      <c r="E193" s="31" t="n">
        <f aca="false">IFERROR(IF(C193="","",MIN(ROUND(Tilgungsrechner!F7-D193,2),C193)),"")</f>
        <v>1064.39</v>
      </c>
      <c r="F193" s="31" t="n">
        <f aca="false">IFERROR(IF(C193="","",MAX(0, C193-E193-IF(MOD(A193,12)=0,Tilgungsrechner!C10,0))),"")</f>
        <v>26859.52</v>
      </c>
      <c r="G193" s="32" t="n">
        <f aca="false">IFERROR(IF(C193="","",IF(MOD(A193,12)=0,MIN(Tilgungsrechner!C10,MAX(0,C193-E193)),0)),"")</f>
        <v>0</v>
      </c>
      <c r="H193" s="33" t="str">
        <f aca="false">IFERROR(IF(C193="","",aufround(A193/12,0)),"")</f>
        <v/>
      </c>
    </row>
    <row r="194" customFormat="false" ht="15.75" hidden="false" customHeight="true" outlineLevel="0" collapsed="false">
      <c r="A194" s="29" t="n">
        <v>189</v>
      </c>
      <c r="B194" s="30" t="str">
        <f aca="false">IFERROR(edatum(datwert(Tilgungsrechner!C12),188),"")</f>
        <v/>
      </c>
      <c r="C194" s="31" t="n">
        <f aca="false">IF(F193&lt;=0,"",F193)</f>
        <v>26859.52</v>
      </c>
      <c r="D194" s="31" t="n">
        <f aca="false">IFERROR(IF(C194="","",ROUND(C194*Tilgungsrechner!C8/12,2)),"")</f>
        <v>78.34</v>
      </c>
      <c r="E194" s="31" t="n">
        <f aca="false">IFERROR(IF(C194="","",MIN(ROUND(Tilgungsrechner!F7-D194,2),C194)),"")</f>
        <v>1067.49</v>
      </c>
      <c r="F194" s="31" t="n">
        <f aca="false">IFERROR(IF(C194="","",MAX(0, C194-E194-IF(MOD(A194,12)=0,Tilgungsrechner!C10,0))),"")</f>
        <v>25792.03</v>
      </c>
      <c r="G194" s="32" t="n">
        <f aca="false">IFERROR(IF(C194="","",IF(MOD(A194,12)=0,MIN(Tilgungsrechner!C10,MAX(0,C194-E194)),0)),"")</f>
        <v>0</v>
      </c>
      <c r="H194" s="33" t="str">
        <f aca="false">IFERROR(IF(C194="","",aufround(A194/12,0)),"")</f>
        <v/>
      </c>
    </row>
    <row r="195" customFormat="false" ht="15.75" hidden="false" customHeight="true" outlineLevel="0" collapsed="false">
      <c r="A195" s="29" t="n">
        <v>190</v>
      </c>
      <c r="B195" s="30" t="str">
        <f aca="false">IFERROR(edatum(datwert(Tilgungsrechner!C12),189),"")</f>
        <v/>
      </c>
      <c r="C195" s="31" t="n">
        <f aca="false">IF(F194&lt;=0,"",F194)</f>
        <v>25792.03</v>
      </c>
      <c r="D195" s="31" t="n">
        <f aca="false">IFERROR(IF(C195="","",ROUND(C195*Tilgungsrechner!C8/12,2)),"")</f>
        <v>75.23</v>
      </c>
      <c r="E195" s="31" t="n">
        <f aca="false">IFERROR(IF(C195="","",MIN(ROUND(Tilgungsrechner!F7-D195,2),C195)),"")</f>
        <v>1070.6</v>
      </c>
      <c r="F195" s="31" t="n">
        <f aca="false">IFERROR(IF(C195="","",MAX(0, C195-E195-IF(MOD(A195,12)=0,Tilgungsrechner!C10,0))),"")</f>
        <v>24721.43</v>
      </c>
      <c r="G195" s="32" t="n">
        <f aca="false">IFERROR(IF(C195="","",IF(MOD(A195,12)=0,MIN(Tilgungsrechner!C10,MAX(0,C195-E195)),0)),"")</f>
        <v>0</v>
      </c>
      <c r="H195" s="33" t="str">
        <f aca="false">IFERROR(IF(C195="","",aufround(A195/12,0)),"")</f>
        <v/>
      </c>
    </row>
    <row r="196" customFormat="false" ht="15.75" hidden="false" customHeight="true" outlineLevel="0" collapsed="false">
      <c r="A196" s="29" t="n">
        <v>191</v>
      </c>
      <c r="B196" s="30" t="str">
        <f aca="false">IFERROR(edatum(datwert(Tilgungsrechner!C12),190),"")</f>
        <v/>
      </c>
      <c r="C196" s="31" t="n">
        <f aca="false">IF(F195&lt;=0,"",F195)</f>
        <v>24721.43</v>
      </c>
      <c r="D196" s="31" t="n">
        <f aca="false">IFERROR(IF(C196="","",ROUND(C196*Tilgungsrechner!C8/12,2)),"")</f>
        <v>72.1</v>
      </c>
      <c r="E196" s="31" t="n">
        <f aca="false">IFERROR(IF(C196="","",MIN(ROUND(Tilgungsrechner!F7-D196,2),C196)),"")</f>
        <v>1073.73</v>
      </c>
      <c r="F196" s="31" t="n">
        <f aca="false">IFERROR(IF(C196="","",MAX(0, C196-E196-IF(MOD(A196,12)=0,Tilgungsrechner!C10,0))),"")</f>
        <v>23647.7</v>
      </c>
      <c r="G196" s="32" t="n">
        <f aca="false">IFERROR(IF(C196="","",IF(MOD(A196,12)=0,MIN(Tilgungsrechner!C10,MAX(0,C196-E196)),0)),"")</f>
        <v>0</v>
      </c>
      <c r="H196" s="33" t="str">
        <f aca="false">IFERROR(IF(C196="","",aufround(A196/12,0)),"")</f>
        <v/>
      </c>
    </row>
    <row r="197" customFormat="false" ht="15.75" hidden="false" customHeight="true" outlineLevel="0" collapsed="false">
      <c r="A197" s="29" t="n">
        <v>192</v>
      </c>
      <c r="B197" s="30" t="str">
        <f aca="false">IFERROR(edatum(datwert(Tilgungsrechner!C12),191),"")</f>
        <v/>
      </c>
      <c r="C197" s="31" t="n">
        <f aca="false">IF(F196&lt;=0,"",F196)</f>
        <v>23647.7</v>
      </c>
      <c r="D197" s="31" t="n">
        <f aca="false">IFERROR(IF(C197="","",ROUND(C197*Tilgungsrechner!C8/12,2)),"")</f>
        <v>68.97</v>
      </c>
      <c r="E197" s="31" t="n">
        <f aca="false">IFERROR(IF(C197="","",MIN(ROUND(Tilgungsrechner!F7-D197,2),C197)),"")</f>
        <v>1076.86</v>
      </c>
      <c r="F197" s="31" t="n">
        <f aca="false">IFERROR(IF(C197="","",MAX(0, C197-E197-IF(MOD(A197,12)=0,Tilgungsrechner!C10,0))),"")</f>
        <v>16570.84</v>
      </c>
      <c r="G197" s="32" t="n">
        <f aca="false">IFERROR(IF(C197="","",IF(MOD(A197,12)=0,MIN(Tilgungsrechner!C10,MAX(0,C197-E197)),0)),"")</f>
        <v>6000</v>
      </c>
      <c r="H197" s="33" t="str">
        <f aca="false">IFERROR(IF(C197="","",aufround(A197/12,0)),"")</f>
        <v/>
      </c>
    </row>
    <row r="198" customFormat="false" ht="15.75" hidden="false" customHeight="true" outlineLevel="0" collapsed="false">
      <c r="A198" s="29" t="n">
        <v>193</v>
      </c>
      <c r="B198" s="30" t="str">
        <f aca="false">IFERROR(edatum(datwert(Tilgungsrechner!C12),192),"")</f>
        <v/>
      </c>
      <c r="C198" s="31" t="n">
        <f aca="false">IF(F197&lt;=0,"",F197)</f>
        <v>16570.84</v>
      </c>
      <c r="D198" s="31" t="n">
        <f aca="false">IFERROR(IF(C198="","",ROUND(C198*Tilgungsrechner!C8/12,2)),"")</f>
        <v>48.33</v>
      </c>
      <c r="E198" s="31" t="n">
        <f aca="false">IFERROR(IF(C198="","",MIN(ROUND(Tilgungsrechner!F7-D198,2),C198)),"")</f>
        <v>1097.5</v>
      </c>
      <c r="F198" s="31" t="n">
        <f aca="false">IFERROR(IF(C198="","",MAX(0, C198-E198-IF(MOD(A198,12)=0,Tilgungsrechner!C10,0))),"")</f>
        <v>15473.34</v>
      </c>
      <c r="G198" s="32" t="n">
        <f aca="false">IFERROR(IF(C198="","",IF(MOD(A198,12)=0,MIN(Tilgungsrechner!C10,MAX(0,C198-E198)),0)),"")</f>
        <v>0</v>
      </c>
      <c r="H198" s="33" t="str">
        <f aca="false">IFERROR(IF(C198="","",aufround(A198/12,0)),"")</f>
        <v/>
      </c>
    </row>
    <row r="199" customFormat="false" ht="15.75" hidden="false" customHeight="true" outlineLevel="0" collapsed="false">
      <c r="A199" s="29" t="n">
        <v>194</v>
      </c>
      <c r="B199" s="30" t="str">
        <f aca="false">IFERROR(edatum(datwert(Tilgungsrechner!C12),193),"")</f>
        <v/>
      </c>
      <c r="C199" s="31" t="n">
        <f aca="false">IF(F198&lt;=0,"",F198)</f>
        <v>15473.34</v>
      </c>
      <c r="D199" s="31" t="n">
        <f aca="false">IFERROR(IF(C199="","",ROUND(C199*Tilgungsrechner!C8/12,2)),"")</f>
        <v>45.13</v>
      </c>
      <c r="E199" s="31" t="n">
        <f aca="false">IFERROR(IF(C199="","",MIN(ROUND(Tilgungsrechner!F7-D199,2),C199)),"")</f>
        <v>1100.7</v>
      </c>
      <c r="F199" s="31" t="n">
        <f aca="false">IFERROR(IF(C199="","",MAX(0, C199-E199-IF(MOD(A199,12)=0,Tilgungsrechner!C10,0))),"")</f>
        <v>14372.64</v>
      </c>
      <c r="G199" s="32" t="n">
        <f aca="false">IFERROR(IF(C199="","",IF(MOD(A199,12)=0,MIN(Tilgungsrechner!C10,MAX(0,C199-E199)),0)),"")</f>
        <v>0</v>
      </c>
      <c r="H199" s="33" t="str">
        <f aca="false">IFERROR(IF(C199="","",aufround(A199/12,0)),"")</f>
        <v/>
      </c>
    </row>
    <row r="200" customFormat="false" ht="15.75" hidden="false" customHeight="true" outlineLevel="0" collapsed="false">
      <c r="A200" s="29" t="n">
        <v>195</v>
      </c>
      <c r="B200" s="30" t="str">
        <f aca="false">IFERROR(edatum(datwert(Tilgungsrechner!C12),194),"")</f>
        <v/>
      </c>
      <c r="C200" s="31" t="n">
        <f aca="false">IF(F199&lt;=0,"",F199)</f>
        <v>14372.64</v>
      </c>
      <c r="D200" s="31" t="n">
        <f aca="false">IFERROR(IF(C200="","",ROUND(C200*Tilgungsrechner!C8/12,2)),"")</f>
        <v>41.92</v>
      </c>
      <c r="E200" s="31" t="n">
        <f aca="false">IFERROR(IF(C200="","",MIN(ROUND(Tilgungsrechner!F7-D200,2),C200)),"")</f>
        <v>1103.91</v>
      </c>
      <c r="F200" s="31" t="n">
        <f aca="false">IFERROR(IF(C200="","",MAX(0, C200-E200-IF(MOD(A200,12)=0,Tilgungsrechner!C10,0))),"")</f>
        <v>13268.73</v>
      </c>
      <c r="G200" s="32" t="n">
        <f aca="false">IFERROR(IF(C200="","",IF(MOD(A200,12)=0,MIN(Tilgungsrechner!C10,MAX(0,C200-E200)),0)),"")</f>
        <v>0</v>
      </c>
      <c r="H200" s="33" t="str">
        <f aca="false">IFERROR(IF(C200="","",aufround(A200/12,0)),"")</f>
        <v/>
      </c>
    </row>
    <row r="201" customFormat="false" ht="15.75" hidden="false" customHeight="true" outlineLevel="0" collapsed="false">
      <c r="A201" s="29" t="n">
        <v>196</v>
      </c>
      <c r="B201" s="30" t="str">
        <f aca="false">IFERROR(edatum(datwert(Tilgungsrechner!C12),195),"")</f>
        <v/>
      </c>
      <c r="C201" s="31" t="n">
        <f aca="false">IF(F200&lt;=0,"",F200)</f>
        <v>13268.73</v>
      </c>
      <c r="D201" s="31" t="n">
        <f aca="false">IFERROR(IF(C201="","",ROUND(C201*Tilgungsrechner!C8/12,2)),"")</f>
        <v>38.7</v>
      </c>
      <c r="E201" s="31" t="n">
        <f aca="false">IFERROR(IF(C201="","",MIN(ROUND(Tilgungsrechner!F7-D201,2),C201)),"")</f>
        <v>1107.13</v>
      </c>
      <c r="F201" s="31" t="n">
        <f aca="false">IFERROR(IF(C201="","",MAX(0, C201-E201-IF(MOD(A201,12)=0,Tilgungsrechner!C10,0))),"")</f>
        <v>12161.6</v>
      </c>
      <c r="G201" s="32" t="n">
        <f aca="false">IFERROR(IF(C201="","",IF(MOD(A201,12)=0,MIN(Tilgungsrechner!C10,MAX(0,C201-E201)),0)),"")</f>
        <v>0</v>
      </c>
      <c r="H201" s="33" t="str">
        <f aca="false">IFERROR(IF(C201="","",aufround(A201/12,0)),"")</f>
        <v/>
      </c>
    </row>
    <row r="202" customFormat="false" ht="15.75" hidden="false" customHeight="true" outlineLevel="0" collapsed="false">
      <c r="A202" s="29" t="n">
        <v>197</v>
      </c>
      <c r="B202" s="30" t="str">
        <f aca="false">IFERROR(edatum(datwert(Tilgungsrechner!C12),196),"")</f>
        <v/>
      </c>
      <c r="C202" s="31" t="n">
        <f aca="false">IF(F201&lt;=0,"",F201)</f>
        <v>12161.6</v>
      </c>
      <c r="D202" s="31" t="n">
        <f aca="false">IFERROR(IF(C202="","",ROUND(C202*Tilgungsrechner!C8/12,2)),"")</f>
        <v>35.47</v>
      </c>
      <c r="E202" s="31" t="n">
        <f aca="false">IFERROR(IF(C202="","",MIN(ROUND(Tilgungsrechner!F7-D202,2),C202)),"")</f>
        <v>1110.36</v>
      </c>
      <c r="F202" s="31" t="n">
        <f aca="false">IFERROR(IF(C202="","",MAX(0, C202-E202-IF(MOD(A202,12)=0,Tilgungsrechner!C10,0))),"")</f>
        <v>11051.24</v>
      </c>
      <c r="G202" s="32" t="n">
        <f aca="false">IFERROR(IF(C202="","",IF(MOD(A202,12)=0,MIN(Tilgungsrechner!C10,MAX(0,C202-E202)),0)),"")</f>
        <v>0</v>
      </c>
      <c r="H202" s="33" t="str">
        <f aca="false">IFERROR(IF(C202="","",aufround(A202/12,0)),"")</f>
        <v/>
      </c>
    </row>
    <row r="203" customFormat="false" ht="15.75" hidden="false" customHeight="true" outlineLevel="0" collapsed="false">
      <c r="A203" s="29" t="n">
        <v>198</v>
      </c>
      <c r="B203" s="30" t="str">
        <f aca="false">IFERROR(edatum(datwert(Tilgungsrechner!C12),197),"")</f>
        <v/>
      </c>
      <c r="C203" s="31" t="n">
        <f aca="false">IF(F202&lt;=0,"",F202)</f>
        <v>11051.24</v>
      </c>
      <c r="D203" s="31" t="n">
        <f aca="false">IFERROR(IF(C203="","",ROUND(C203*Tilgungsrechner!C8/12,2)),"")</f>
        <v>32.23</v>
      </c>
      <c r="E203" s="31" t="n">
        <f aca="false">IFERROR(IF(C203="","",MIN(ROUND(Tilgungsrechner!F7-D203,2),C203)),"")</f>
        <v>1113.6</v>
      </c>
      <c r="F203" s="31" t="n">
        <f aca="false">IFERROR(IF(C203="","",MAX(0, C203-E203-IF(MOD(A203,12)=0,Tilgungsrechner!C10,0))),"")</f>
        <v>9937.63999999998</v>
      </c>
      <c r="G203" s="32" t="n">
        <f aca="false">IFERROR(IF(C203="","",IF(MOD(A203,12)=0,MIN(Tilgungsrechner!C10,MAX(0,C203-E203)),0)),"")</f>
        <v>0</v>
      </c>
      <c r="H203" s="33" t="str">
        <f aca="false">IFERROR(IF(C203="","",aufround(A203/12,0)),"")</f>
        <v/>
      </c>
    </row>
    <row r="204" customFormat="false" ht="15.75" hidden="false" customHeight="true" outlineLevel="0" collapsed="false">
      <c r="A204" s="29" t="n">
        <v>199</v>
      </c>
      <c r="B204" s="30" t="str">
        <f aca="false">IFERROR(edatum(datwert(Tilgungsrechner!C12),198),"")</f>
        <v/>
      </c>
      <c r="C204" s="31" t="n">
        <f aca="false">IF(F203&lt;=0,"",F203)</f>
        <v>9937.63999999998</v>
      </c>
      <c r="D204" s="31" t="n">
        <f aca="false">IFERROR(IF(C204="","",ROUND(C204*Tilgungsrechner!C8/12,2)),"")</f>
        <v>28.98</v>
      </c>
      <c r="E204" s="31" t="n">
        <f aca="false">IFERROR(IF(C204="","",MIN(ROUND(Tilgungsrechner!F7-D204,2),C204)),"")</f>
        <v>1116.85</v>
      </c>
      <c r="F204" s="31" t="n">
        <f aca="false">IFERROR(IF(C204="","",MAX(0, C204-E204-IF(MOD(A204,12)=0,Tilgungsrechner!C10,0))),"")</f>
        <v>8820.78999999998</v>
      </c>
      <c r="G204" s="32" t="n">
        <f aca="false">IFERROR(IF(C204="","",IF(MOD(A204,12)=0,MIN(Tilgungsrechner!C10,MAX(0,C204-E204)),0)),"")</f>
        <v>0</v>
      </c>
      <c r="H204" s="33" t="str">
        <f aca="false">IFERROR(IF(C204="","",aufround(A204/12,0)),"")</f>
        <v/>
      </c>
    </row>
    <row r="205" customFormat="false" ht="15.75" hidden="false" customHeight="true" outlineLevel="0" collapsed="false">
      <c r="A205" s="29" t="n">
        <v>200</v>
      </c>
      <c r="B205" s="30" t="str">
        <f aca="false">IFERROR(edatum(datwert(Tilgungsrechner!C12),199),"")</f>
        <v/>
      </c>
      <c r="C205" s="31" t="n">
        <f aca="false">IF(F204&lt;=0,"",F204)</f>
        <v>8820.78999999998</v>
      </c>
      <c r="D205" s="31" t="n">
        <f aca="false">IFERROR(IF(C205="","",ROUND(C205*Tilgungsrechner!C8/12,2)),"")</f>
        <v>25.73</v>
      </c>
      <c r="E205" s="31" t="n">
        <f aca="false">IFERROR(IF(C205="","",MIN(ROUND(Tilgungsrechner!F7-D205,2),C205)),"")</f>
        <v>1120.1</v>
      </c>
      <c r="F205" s="31" t="n">
        <f aca="false">IFERROR(IF(C205="","",MAX(0, C205-E205-IF(MOD(A205,12)=0,Tilgungsrechner!C10,0))),"")</f>
        <v>7700.68999999998</v>
      </c>
      <c r="G205" s="32" t="n">
        <f aca="false">IFERROR(IF(C205="","",IF(MOD(A205,12)=0,MIN(Tilgungsrechner!C10,MAX(0,C205-E205)),0)),"")</f>
        <v>0</v>
      </c>
      <c r="H205" s="33" t="str">
        <f aca="false">IFERROR(IF(C205="","",aufround(A205/12,0)),"")</f>
        <v/>
      </c>
    </row>
    <row r="206" customFormat="false" ht="15.75" hidden="false" customHeight="true" outlineLevel="0" collapsed="false">
      <c r="A206" s="29" t="n">
        <v>201</v>
      </c>
      <c r="B206" s="30" t="str">
        <f aca="false">IFERROR(edatum(datwert(Tilgungsrechner!C12),200),"")</f>
        <v/>
      </c>
      <c r="C206" s="31" t="n">
        <f aca="false">IF(F205&lt;=0,"",F205)</f>
        <v>7700.68999999998</v>
      </c>
      <c r="D206" s="31" t="n">
        <f aca="false">IFERROR(IF(C206="","",ROUND(C206*Tilgungsrechner!C8/12,2)),"")</f>
        <v>22.46</v>
      </c>
      <c r="E206" s="31" t="n">
        <f aca="false">IFERROR(IF(C206="","",MIN(ROUND(Tilgungsrechner!F7-D206,2),C206)),"")</f>
        <v>1123.37</v>
      </c>
      <c r="F206" s="31" t="n">
        <f aca="false">IFERROR(IF(C206="","",MAX(0, C206-E206-IF(MOD(A206,12)=0,Tilgungsrechner!C10,0))),"")</f>
        <v>6577.31999999998</v>
      </c>
      <c r="G206" s="32" t="n">
        <f aca="false">IFERROR(IF(C206="","",IF(MOD(A206,12)=0,MIN(Tilgungsrechner!C10,MAX(0,C206-E206)),0)),"")</f>
        <v>0</v>
      </c>
      <c r="H206" s="33" t="str">
        <f aca="false">IFERROR(IF(C206="","",aufround(A206/12,0)),"")</f>
        <v/>
      </c>
    </row>
    <row r="207" customFormat="false" ht="15.75" hidden="false" customHeight="true" outlineLevel="0" collapsed="false">
      <c r="A207" s="29" t="n">
        <v>202</v>
      </c>
      <c r="B207" s="30" t="str">
        <f aca="false">IFERROR(edatum(datwert(Tilgungsrechner!C12),201),"")</f>
        <v/>
      </c>
      <c r="C207" s="31" t="n">
        <f aca="false">IF(F206&lt;=0,"",F206)</f>
        <v>6577.31999999998</v>
      </c>
      <c r="D207" s="31" t="n">
        <f aca="false">IFERROR(IF(C207="","",ROUND(C207*Tilgungsrechner!C8/12,2)),"")</f>
        <v>19.18</v>
      </c>
      <c r="E207" s="31" t="n">
        <f aca="false">IFERROR(IF(C207="","",MIN(ROUND(Tilgungsrechner!F7-D207,2),C207)),"")</f>
        <v>1126.65</v>
      </c>
      <c r="F207" s="31" t="n">
        <f aca="false">IFERROR(IF(C207="","",MAX(0, C207-E207-IF(MOD(A207,12)=0,Tilgungsrechner!C10,0))),"")</f>
        <v>5450.66999999998</v>
      </c>
      <c r="G207" s="32" t="n">
        <f aca="false">IFERROR(IF(C207="","",IF(MOD(A207,12)=0,MIN(Tilgungsrechner!C10,MAX(0,C207-E207)),0)),"")</f>
        <v>0</v>
      </c>
      <c r="H207" s="33" t="str">
        <f aca="false">IFERROR(IF(C207="","",aufround(A207/12,0)),"")</f>
        <v/>
      </c>
    </row>
    <row r="208" customFormat="false" ht="15.75" hidden="false" customHeight="true" outlineLevel="0" collapsed="false">
      <c r="A208" s="29" t="n">
        <v>203</v>
      </c>
      <c r="B208" s="30" t="str">
        <f aca="false">IFERROR(edatum(datwert(Tilgungsrechner!C12),202),"")</f>
        <v/>
      </c>
      <c r="C208" s="31" t="n">
        <f aca="false">IF(F207&lt;=0,"",F207)</f>
        <v>5450.66999999998</v>
      </c>
      <c r="D208" s="31" t="n">
        <f aca="false">IFERROR(IF(C208="","",ROUND(C208*Tilgungsrechner!C8/12,2)),"")</f>
        <v>15.9</v>
      </c>
      <c r="E208" s="31" t="n">
        <f aca="false">IFERROR(IF(C208="","",MIN(ROUND(Tilgungsrechner!F7-D208,2),C208)),"")</f>
        <v>1129.93</v>
      </c>
      <c r="F208" s="31" t="n">
        <f aca="false">IFERROR(IF(C208="","",MAX(0, C208-E208-IF(MOD(A208,12)=0,Tilgungsrechner!C10,0))),"")</f>
        <v>4320.73999999998</v>
      </c>
      <c r="G208" s="32" t="n">
        <f aca="false">IFERROR(IF(C208="","",IF(MOD(A208,12)=0,MIN(Tilgungsrechner!C10,MAX(0,C208-E208)),0)),"")</f>
        <v>0</v>
      </c>
      <c r="H208" s="33" t="str">
        <f aca="false">IFERROR(IF(C208="","",aufround(A208/12,0)),"")</f>
        <v/>
      </c>
    </row>
    <row r="209" customFormat="false" ht="15.75" hidden="false" customHeight="true" outlineLevel="0" collapsed="false">
      <c r="A209" s="29" t="n">
        <v>204</v>
      </c>
      <c r="B209" s="30" t="str">
        <f aca="false">IFERROR(edatum(datwert(Tilgungsrechner!C12),203),"")</f>
        <v/>
      </c>
      <c r="C209" s="31" t="n">
        <f aca="false">IF(F208&lt;=0,"",F208)</f>
        <v>4320.73999999998</v>
      </c>
      <c r="D209" s="31" t="n">
        <f aca="false">IFERROR(IF(C209="","",ROUND(C209*Tilgungsrechner!C8/12,2)),"")</f>
        <v>12.6</v>
      </c>
      <c r="E209" s="31" t="n">
        <f aca="false">IFERROR(IF(C209="","",MIN(ROUND(Tilgungsrechner!F7-D209,2),C209)),"")</f>
        <v>1133.23</v>
      </c>
      <c r="F209" s="31" t="n">
        <f aca="false">IFERROR(IF(C209="","",MAX(0, C209-E209-IF(MOD(A209,12)=0,Tilgungsrechner!C10,0))),"")</f>
        <v>0</v>
      </c>
      <c r="G209" s="32" t="n">
        <f aca="false">IFERROR(IF(C209="","",IF(MOD(A209,12)=0,MIN(Tilgungsrechner!C10,MAX(0,C209-E209)),0)),"")</f>
        <v>3187.50999999998</v>
      </c>
      <c r="H209" s="33" t="str">
        <f aca="false">IFERROR(IF(C209="","",aufround(A209/12,0)),"")</f>
        <v/>
      </c>
    </row>
    <row r="210" customFormat="false" ht="15.75" hidden="false" customHeight="true" outlineLevel="0" collapsed="false">
      <c r="A210" s="29" t="n">
        <v>205</v>
      </c>
      <c r="B210" s="30" t="str">
        <f aca="false">IFERROR(edatum(datwert(Tilgungsrechner!C12),204),"")</f>
        <v/>
      </c>
      <c r="C210" s="31" t="str">
        <f aca="false">IF(F209&lt;=0,"",F209)</f>
        <v/>
      </c>
      <c r="D210" s="31" t="str">
        <f aca="false">IFERROR(IF(C210="","",ROUND(C210*Tilgungsrechner!C8/12,2)),"")</f>
        <v/>
      </c>
      <c r="E210" s="31" t="str">
        <f aca="false">IFERROR(IF(C210="","",MIN(ROUND(Tilgungsrechner!F7-D210,2),C210)),"")</f>
        <v/>
      </c>
      <c r="F210" s="31" t="str">
        <f aca="false">IFERROR(IF(C210="","",MAX(0, C210-E210-IF(MOD(A210,12)=0,Tilgungsrechner!C10,0))),"")</f>
        <v/>
      </c>
      <c r="G210" s="32" t="str">
        <f aca="false">IFERROR(IF(C210="","",IF(MOD(A210,12)=0,MIN(Tilgungsrechner!C10,MAX(0,C210-E210)),0)),"")</f>
        <v/>
      </c>
      <c r="H210" s="33" t="str">
        <f aca="false">IFERROR(IF(C210="","",aufround(A210/12,0)),"")</f>
        <v/>
      </c>
    </row>
    <row r="211" customFormat="false" ht="15.75" hidden="false" customHeight="true" outlineLevel="0" collapsed="false">
      <c r="A211" s="29" t="n">
        <v>206</v>
      </c>
      <c r="B211" s="30" t="str">
        <f aca="false">IFERROR(edatum(datwert(Tilgungsrechner!C12),205),"")</f>
        <v/>
      </c>
      <c r="C211" s="31" t="str">
        <f aca="false">IF(F210&lt;=0,"",F210)</f>
        <v/>
      </c>
      <c r="D211" s="31" t="str">
        <f aca="false">IFERROR(IF(C211="","",ROUND(C211*Tilgungsrechner!C8/12,2)),"")</f>
        <v/>
      </c>
      <c r="E211" s="31" t="str">
        <f aca="false">IFERROR(IF(C211="","",MIN(ROUND(Tilgungsrechner!F7-D211,2),C211)),"")</f>
        <v/>
      </c>
      <c r="F211" s="31" t="str">
        <f aca="false">IFERROR(IF(C211="","",MAX(0, C211-E211-IF(MOD(A211,12)=0,Tilgungsrechner!C10,0))),"")</f>
        <v/>
      </c>
      <c r="G211" s="32" t="str">
        <f aca="false">IFERROR(IF(C211="","",IF(MOD(A211,12)=0,MIN(Tilgungsrechner!C10,MAX(0,C211-E211)),0)),"")</f>
        <v/>
      </c>
      <c r="H211" s="33" t="str">
        <f aca="false">IFERROR(IF(C211="","",aufround(A211/12,0)),"")</f>
        <v/>
      </c>
    </row>
    <row r="212" customFormat="false" ht="15.75" hidden="false" customHeight="true" outlineLevel="0" collapsed="false">
      <c r="A212" s="29" t="n">
        <v>207</v>
      </c>
      <c r="B212" s="30" t="str">
        <f aca="false">IFERROR(edatum(datwert(Tilgungsrechner!C12),206),"")</f>
        <v/>
      </c>
      <c r="C212" s="31" t="str">
        <f aca="false">IF(F211&lt;=0,"",F211)</f>
        <v/>
      </c>
      <c r="D212" s="31" t="str">
        <f aca="false">IFERROR(IF(C212="","",ROUND(C212*Tilgungsrechner!C8/12,2)),"")</f>
        <v/>
      </c>
      <c r="E212" s="31" t="str">
        <f aca="false">IFERROR(IF(C212="","",MIN(ROUND(Tilgungsrechner!F7-D212,2),C212)),"")</f>
        <v/>
      </c>
      <c r="F212" s="31" t="str">
        <f aca="false">IFERROR(IF(C212="","",MAX(0, C212-E212-IF(MOD(A212,12)=0,Tilgungsrechner!C10,0))),"")</f>
        <v/>
      </c>
      <c r="G212" s="32" t="str">
        <f aca="false">IFERROR(IF(C212="","",IF(MOD(A212,12)=0,MIN(Tilgungsrechner!C10,MAX(0,C212-E212)),0)),"")</f>
        <v/>
      </c>
      <c r="H212" s="33" t="str">
        <f aca="false">IFERROR(IF(C212="","",aufround(A212/12,0)),"")</f>
        <v/>
      </c>
    </row>
    <row r="213" customFormat="false" ht="15.75" hidden="false" customHeight="true" outlineLevel="0" collapsed="false">
      <c r="A213" s="29" t="n">
        <v>208</v>
      </c>
      <c r="B213" s="30" t="str">
        <f aca="false">IFERROR(edatum(datwert(Tilgungsrechner!C12),207),"")</f>
        <v/>
      </c>
      <c r="C213" s="31" t="str">
        <f aca="false">IF(F212&lt;=0,"",F212)</f>
        <v/>
      </c>
      <c r="D213" s="31" t="str">
        <f aca="false">IFERROR(IF(C213="","",ROUND(C213*Tilgungsrechner!C8/12,2)),"")</f>
        <v/>
      </c>
      <c r="E213" s="31" t="str">
        <f aca="false">IFERROR(IF(C213="","",MIN(ROUND(Tilgungsrechner!F7-D213,2),C213)),"")</f>
        <v/>
      </c>
      <c r="F213" s="31" t="str">
        <f aca="false">IFERROR(IF(C213="","",MAX(0, C213-E213-IF(MOD(A213,12)=0,Tilgungsrechner!C10,0))),"")</f>
        <v/>
      </c>
      <c r="G213" s="32" t="str">
        <f aca="false">IFERROR(IF(C213="","",IF(MOD(A213,12)=0,MIN(Tilgungsrechner!C10,MAX(0,C213-E213)),0)),"")</f>
        <v/>
      </c>
      <c r="H213" s="33" t="str">
        <f aca="false">IFERROR(IF(C213="","",aufround(A213/12,0)),"")</f>
        <v/>
      </c>
    </row>
    <row r="214" customFormat="false" ht="15.75" hidden="false" customHeight="true" outlineLevel="0" collapsed="false">
      <c r="A214" s="29" t="n">
        <v>209</v>
      </c>
      <c r="B214" s="30" t="str">
        <f aca="false">IFERROR(edatum(datwert(Tilgungsrechner!C12),208),"")</f>
        <v/>
      </c>
      <c r="C214" s="31" t="str">
        <f aca="false">IF(F213&lt;=0,"",F213)</f>
        <v/>
      </c>
      <c r="D214" s="31" t="str">
        <f aca="false">IFERROR(IF(C214="","",ROUND(C214*Tilgungsrechner!C8/12,2)),"")</f>
        <v/>
      </c>
      <c r="E214" s="31" t="str">
        <f aca="false">IFERROR(IF(C214="","",MIN(ROUND(Tilgungsrechner!F7-D214,2),C214)),"")</f>
        <v/>
      </c>
      <c r="F214" s="31" t="str">
        <f aca="false">IFERROR(IF(C214="","",MAX(0, C214-E214-IF(MOD(A214,12)=0,Tilgungsrechner!C10,0))),"")</f>
        <v/>
      </c>
      <c r="G214" s="32" t="str">
        <f aca="false">IFERROR(IF(C214="","",IF(MOD(A214,12)=0,MIN(Tilgungsrechner!C10,MAX(0,C214-E214)),0)),"")</f>
        <v/>
      </c>
      <c r="H214" s="33" t="str">
        <f aca="false">IFERROR(IF(C214="","",aufround(A214/12,0)),"")</f>
        <v/>
      </c>
    </row>
    <row r="215" customFormat="false" ht="15.75" hidden="false" customHeight="true" outlineLevel="0" collapsed="false">
      <c r="A215" s="29" t="n">
        <v>210</v>
      </c>
      <c r="B215" s="30" t="str">
        <f aca="false">IFERROR(edatum(datwert(Tilgungsrechner!C12),209),"")</f>
        <v/>
      </c>
      <c r="C215" s="31" t="str">
        <f aca="false">IF(F214&lt;=0,"",F214)</f>
        <v/>
      </c>
      <c r="D215" s="31" t="str">
        <f aca="false">IFERROR(IF(C215="","",ROUND(C215*Tilgungsrechner!C8/12,2)),"")</f>
        <v/>
      </c>
      <c r="E215" s="31" t="str">
        <f aca="false">IFERROR(IF(C215="","",MIN(ROUND(Tilgungsrechner!F7-D215,2),C215)),"")</f>
        <v/>
      </c>
      <c r="F215" s="31" t="str">
        <f aca="false">IFERROR(IF(C215="","",MAX(0, C215-E215-IF(MOD(A215,12)=0,Tilgungsrechner!C10,0))),"")</f>
        <v/>
      </c>
      <c r="G215" s="32" t="str">
        <f aca="false">IFERROR(IF(C215="","",IF(MOD(A215,12)=0,MIN(Tilgungsrechner!C10,MAX(0,C215-E215)),0)),"")</f>
        <v/>
      </c>
      <c r="H215" s="33" t="str">
        <f aca="false">IFERROR(IF(C215="","",aufround(A215/12,0)),"")</f>
        <v/>
      </c>
    </row>
    <row r="216" customFormat="false" ht="15.75" hidden="false" customHeight="true" outlineLevel="0" collapsed="false">
      <c r="A216" s="29" t="n">
        <v>211</v>
      </c>
      <c r="B216" s="30" t="str">
        <f aca="false">IFERROR(edatum(datwert(Tilgungsrechner!C12),210),"")</f>
        <v/>
      </c>
      <c r="C216" s="31" t="str">
        <f aca="false">IF(F215&lt;=0,"",F215)</f>
        <v/>
      </c>
      <c r="D216" s="31" t="str">
        <f aca="false">IFERROR(IF(C216="","",ROUND(C216*Tilgungsrechner!C8/12,2)),"")</f>
        <v/>
      </c>
      <c r="E216" s="31" t="str">
        <f aca="false">IFERROR(IF(C216="","",MIN(ROUND(Tilgungsrechner!F7-D216,2),C216)),"")</f>
        <v/>
      </c>
      <c r="F216" s="31" t="str">
        <f aca="false">IFERROR(IF(C216="","",MAX(0, C216-E216-IF(MOD(A216,12)=0,Tilgungsrechner!C10,0))),"")</f>
        <v/>
      </c>
      <c r="G216" s="32" t="str">
        <f aca="false">IFERROR(IF(C216="","",IF(MOD(A216,12)=0,MIN(Tilgungsrechner!C10,MAX(0,C216-E216)),0)),"")</f>
        <v/>
      </c>
      <c r="H216" s="33" t="str">
        <f aca="false">IFERROR(IF(C216="","",aufround(A216/12,0)),"")</f>
        <v/>
      </c>
    </row>
    <row r="217" customFormat="false" ht="15.75" hidden="false" customHeight="true" outlineLevel="0" collapsed="false">
      <c r="A217" s="29" t="n">
        <v>212</v>
      </c>
      <c r="B217" s="30" t="str">
        <f aca="false">IFERROR(edatum(datwert(Tilgungsrechner!C12),211),"")</f>
        <v/>
      </c>
      <c r="C217" s="31" t="str">
        <f aca="false">IF(F216&lt;=0,"",F216)</f>
        <v/>
      </c>
      <c r="D217" s="31" t="str">
        <f aca="false">IFERROR(IF(C217="","",ROUND(C217*Tilgungsrechner!C8/12,2)),"")</f>
        <v/>
      </c>
      <c r="E217" s="31" t="str">
        <f aca="false">IFERROR(IF(C217="","",MIN(ROUND(Tilgungsrechner!F7-D217,2),C217)),"")</f>
        <v/>
      </c>
      <c r="F217" s="31" t="str">
        <f aca="false">IFERROR(IF(C217="","",MAX(0, C217-E217-IF(MOD(A217,12)=0,Tilgungsrechner!C10,0))),"")</f>
        <v/>
      </c>
      <c r="G217" s="32" t="str">
        <f aca="false">IFERROR(IF(C217="","",IF(MOD(A217,12)=0,MIN(Tilgungsrechner!C10,MAX(0,C217-E217)),0)),"")</f>
        <v/>
      </c>
      <c r="H217" s="33" t="str">
        <f aca="false">IFERROR(IF(C217="","",aufround(A217/12,0)),"")</f>
        <v/>
      </c>
    </row>
    <row r="218" customFormat="false" ht="15.75" hidden="false" customHeight="true" outlineLevel="0" collapsed="false">
      <c r="A218" s="29" t="n">
        <v>213</v>
      </c>
      <c r="B218" s="30" t="str">
        <f aca="false">IFERROR(edatum(datwert(Tilgungsrechner!C12),212),"")</f>
        <v/>
      </c>
      <c r="C218" s="31" t="str">
        <f aca="false">IF(F217&lt;=0,"",F217)</f>
        <v/>
      </c>
      <c r="D218" s="31" t="str">
        <f aca="false">IFERROR(IF(C218="","",ROUND(C218*Tilgungsrechner!C8/12,2)),"")</f>
        <v/>
      </c>
      <c r="E218" s="31" t="str">
        <f aca="false">IFERROR(IF(C218="","",MIN(ROUND(Tilgungsrechner!F7-D218,2),C218)),"")</f>
        <v/>
      </c>
      <c r="F218" s="31" t="str">
        <f aca="false">IFERROR(IF(C218="","",MAX(0, C218-E218-IF(MOD(A218,12)=0,Tilgungsrechner!C10,0))),"")</f>
        <v/>
      </c>
      <c r="G218" s="32" t="str">
        <f aca="false">IFERROR(IF(C218="","",IF(MOD(A218,12)=0,MIN(Tilgungsrechner!C10,MAX(0,C218-E218)),0)),"")</f>
        <v/>
      </c>
      <c r="H218" s="33" t="str">
        <f aca="false">IFERROR(IF(C218="","",aufround(A218/12,0)),"")</f>
        <v/>
      </c>
    </row>
    <row r="219" customFormat="false" ht="15.75" hidden="false" customHeight="true" outlineLevel="0" collapsed="false">
      <c r="A219" s="29" t="n">
        <v>214</v>
      </c>
      <c r="B219" s="30" t="str">
        <f aca="false">IFERROR(edatum(datwert(Tilgungsrechner!C12),213),"")</f>
        <v/>
      </c>
      <c r="C219" s="31" t="str">
        <f aca="false">IF(F218&lt;=0,"",F218)</f>
        <v/>
      </c>
      <c r="D219" s="31" t="str">
        <f aca="false">IFERROR(IF(C219="","",ROUND(C219*Tilgungsrechner!C8/12,2)),"")</f>
        <v/>
      </c>
      <c r="E219" s="31" t="str">
        <f aca="false">IFERROR(IF(C219="","",MIN(ROUND(Tilgungsrechner!F7-D219,2),C219)),"")</f>
        <v/>
      </c>
      <c r="F219" s="31" t="str">
        <f aca="false">IFERROR(IF(C219="","",MAX(0, C219-E219-IF(MOD(A219,12)=0,Tilgungsrechner!C10,0))),"")</f>
        <v/>
      </c>
      <c r="G219" s="32" t="str">
        <f aca="false">IFERROR(IF(C219="","",IF(MOD(A219,12)=0,MIN(Tilgungsrechner!C10,MAX(0,C219-E219)),0)),"")</f>
        <v/>
      </c>
      <c r="H219" s="33" t="str">
        <f aca="false">IFERROR(IF(C219="","",aufround(A219/12,0)),"")</f>
        <v/>
      </c>
    </row>
    <row r="220" customFormat="false" ht="15.75" hidden="false" customHeight="true" outlineLevel="0" collapsed="false">
      <c r="A220" s="29" t="n">
        <v>215</v>
      </c>
      <c r="B220" s="30" t="str">
        <f aca="false">IFERROR(edatum(datwert(Tilgungsrechner!C12),214),"")</f>
        <v/>
      </c>
      <c r="C220" s="31" t="str">
        <f aca="false">IF(F219&lt;=0,"",F219)</f>
        <v/>
      </c>
      <c r="D220" s="31" t="str">
        <f aca="false">IFERROR(IF(C220="","",ROUND(C220*Tilgungsrechner!C8/12,2)),"")</f>
        <v/>
      </c>
      <c r="E220" s="31" t="str">
        <f aca="false">IFERROR(IF(C220="","",MIN(ROUND(Tilgungsrechner!F7-D220,2),C220)),"")</f>
        <v/>
      </c>
      <c r="F220" s="31" t="str">
        <f aca="false">IFERROR(IF(C220="","",MAX(0, C220-E220-IF(MOD(A220,12)=0,Tilgungsrechner!C10,0))),"")</f>
        <v/>
      </c>
      <c r="G220" s="32" t="str">
        <f aca="false">IFERROR(IF(C220="","",IF(MOD(A220,12)=0,MIN(Tilgungsrechner!C10,MAX(0,C220-E220)),0)),"")</f>
        <v/>
      </c>
      <c r="H220" s="33" t="str">
        <f aca="false">IFERROR(IF(C220="","",aufround(A220/12,0)),"")</f>
        <v/>
      </c>
    </row>
    <row r="221" customFormat="false" ht="15.75" hidden="false" customHeight="true" outlineLevel="0" collapsed="false">
      <c r="A221" s="29" t="n">
        <v>216</v>
      </c>
      <c r="B221" s="30" t="str">
        <f aca="false">IFERROR(edatum(datwert(Tilgungsrechner!C12),215),"")</f>
        <v/>
      </c>
      <c r="C221" s="31" t="str">
        <f aca="false">IF(F220&lt;=0,"",F220)</f>
        <v/>
      </c>
      <c r="D221" s="31" t="str">
        <f aca="false">IFERROR(IF(C221="","",ROUND(C221*Tilgungsrechner!C8/12,2)),"")</f>
        <v/>
      </c>
      <c r="E221" s="31" t="str">
        <f aca="false">IFERROR(IF(C221="","",MIN(ROUND(Tilgungsrechner!F7-D221,2),C221)),"")</f>
        <v/>
      </c>
      <c r="F221" s="31" t="str">
        <f aca="false">IFERROR(IF(C221="","",MAX(0, C221-E221-IF(MOD(A221,12)=0,Tilgungsrechner!C10,0))),"")</f>
        <v/>
      </c>
      <c r="G221" s="32" t="str">
        <f aca="false">IFERROR(IF(C221="","",IF(MOD(A221,12)=0,MIN(Tilgungsrechner!C10,MAX(0,C221-E221)),0)),"")</f>
        <v/>
      </c>
      <c r="H221" s="33" t="str">
        <f aca="false">IFERROR(IF(C221="","",aufround(A221/12,0)),"")</f>
        <v/>
      </c>
    </row>
    <row r="222" customFormat="false" ht="15.75" hidden="false" customHeight="true" outlineLevel="0" collapsed="false">
      <c r="A222" s="29" t="n">
        <v>217</v>
      </c>
      <c r="B222" s="30" t="str">
        <f aca="false">IFERROR(edatum(datwert(Tilgungsrechner!C12),216),"")</f>
        <v/>
      </c>
      <c r="C222" s="31" t="str">
        <f aca="false">IF(F221&lt;=0,"",F221)</f>
        <v/>
      </c>
      <c r="D222" s="31" t="str">
        <f aca="false">IFERROR(IF(C222="","",ROUND(C222*Tilgungsrechner!C8/12,2)),"")</f>
        <v/>
      </c>
      <c r="E222" s="31" t="str">
        <f aca="false">IFERROR(IF(C222="","",MIN(ROUND(Tilgungsrechner!F7-D222,2),C222)),"")</f>
        <v/>
      </c>
      <c r="F222" s="31" t="str">
        <f aca="false">IFERROR(IF(C222="","",MAX(0, C222-E222-IF(MOD(A222,12)=0,Tilgungsrechner!C10,0))),"")</f>
        <v/>
      </c>
      <c r="G222" s="32" t="str">
        <f aca="false">IFERROR(IF(C222="","",IF(MOD(A222,12)=0,MIN(Tilgungsrechner!C10,MAX(0,C222-E222)),0)),"")</f>
        <v/>
      </c>
      <c r="H222" s="33" t="str">
        <f aca="false">IFERROR(IF(C222="","",aufround(A222/12,0)),"")</f>
        <v/>
      </c>
    </row>
    <row r="223" customFormat="false" ht="15.75" hidden="false" customHeight="true" outlineLevel="0" collapsed="false">
      <c r="A223" s="29" t="n">
        <v>218</v>
      </c>
      <c r="B223" s="30" t="str">
        <f aca="false">IFERROR(edatum(datwert(Tilgungsrechner!C12),217),"")</f>
        <v/>
      </c>
      <c r="C223" s="31" t="str">
        <f aca="false">IF(F222&lt;=0,"",F222)</f>
        <v/>
      </c>
      <c r="D223" s="31" t="str">
        <f aca="false">IFERROR(IF(C223="","",ROUND(C223*Tilgungsrechner!C8/12,2)),"")</f>
        <v/>
      </c>
      <c r="E223" s="31" t="str">
        <f aca="false">IFERROR(IF(C223="","",MIN(ROUND(Tilgungsrechner!F7-D223,2),C223)),"")</f>
        <v/>
      </c>
      <c r="F223" s="31" t="str">
        <f aca="false">IFERROR(IF(C223="","",MAX(0, C223-E223-IF(MOD(A223,12)=0,Tilgungsrechner!C10,0))),"")</f>
        <v/>
      </c>
      <c r="G223" s="32" t="str">
        <f aca="false">IFERROR(IF(C223="","",IF(MOD(A223,12)=0,MIN(Tilgungsrechner!C10,MAX(0,C223-E223)),0)),"")</f>
        <v/>
      </c>
      <c r="H223" s="33" t="str">
        <f aca="false">IFERROR(IF(C223="","",aufround(A223/12,0)),"")</f>
        <v/>
      </c>
    </row>
    <row r="224" customFormat="false" ht="15.75" hidden="false" customHeight="true" outlineLevel="0" collapsed="false">
      <c r="A224" s="29" t="n">
        <v>219</v>
      </c>
      <c r="B224" s="30" t="str">
        <f aca="false">IFERROR(edatum(datwert(Tilgungsrechner!C12),218),"")</f>
        <v/>
      </c>
      <c r="C224" s="31" t="str">
        <f aca="false">IF(F223&lt;=0,"",F223)</f>
        <v/>
      </c>
      <c r="D224" s="31" t="str">
        <f aca="false">IFERROR(IF(C224="","",ROUND(C224*Tilgungsrechner!C8/12,2)),"")</f>
        <v/>
      </c>
      <c r="E224" s="31" t="str">
        <f aca="false">IFERROR(IF(C224="","",MIN(ROUND(Tilgungsrechner!F7-D224,2),C224)),"")</f>
        <v/>
      </c>
      <c r="F224" s="31" t="str">
        <f aca="false">IFERROR(IF(C224="","",MAX(0, C224-E224-IF(MOD(A224,12)=0,Tilgungsrechner!C10,0))),"")</f>
        <v/>
      </c>
      <c r="G224" s="32" t="str">
        <f aca="false">IFERROR(IF(C224="","",IF(MOD(A224,12)=0,MIN(Tilgungsrechner!C10,MAX(0,C224-E224)),0)),"")</f>
        <v/>
      </c>
      <c r="H224" s="33" t="str">
        <f aca="false">IFERROR(IF(C224="","",aufround(A224/12,0)),"")</f>
        <v/>
      </c>
    </row>
    <row r="225" customFormat="false" ht="15.75" hidden="false" customHeight="true" outlineLevel="0" collapsed="false">
      <c r="A225" s="29" t="n">
        <v>220</v>
      </c>
      <c r="B225" s="30" t="str">
        <f aca="false">IFERROR(edatum(datwert(Tilgungsrechner!C12),219),"")</f>
        <v/>
      </c>
      <c r="C225" s="31" t="str">
        <f aca="false">IF(F224&lt;=0,"",F224)</f>
        <v/>
      </c>
      <c r="D225" s="31" t="str">
        <f aca="false">IFERROR(IF(C225="","",ROUND(C225*Tilgungsrechner!C8/12,2)),"")</f>
        <v/>
      </c>
      <c r="E225" s="31" t="str">
        <f aca="false">IFERROR(IF(C225="","",MIN(ROUND(Tilgungsrechner!F7-D225,2),C225)),"")</f>
        <v/>
      </c>
      <c r="F225" s="31" t="str">
        <f aca="false">IFERROR(IF(C225="","",MAX(0, C225-E225-IF(MOD(A225,12)=0,Tilgungsrechner!C10,0))),"")</f>
        <v/>
      </c>
      <c r="G225" s="32" t="str">
        <f aca="false">IFERROR(IF(C225="","",IF(MOD(A225,12)=0,MIN(Tilgungsrechner!C10,MAX(0,C225-E225)),0)),"")</f>
        <v/>
      </c>
      <c r="H225" s="33" t="str">
        <f aca="false">IFERROR(IF(C225="","",aufround(A225/12,0)),"")</f>
        <v/>
      </c>
    </row>
    <row r="226" customFormat="false" ht="15.75" hidden="false" customHeight="true" outlineLevel="0" collapsed="false">
      <c r="A226" s="29" t="n">
        <v>221</v>
      </c>
      <c r="B226" s="30" t="str">
        <f aca="false">IFERROR(edatum(datwert(Tilgungsrechner!C12),220),"")</f>
        <v/>
      </c>
      <c r="C226" s="31" t="str">
        <f aca="false">IF(F225&lt;=0,"",F225)</f>
        <v/>
      </c>
      <c r="D226" s="31" t="str">
        <f aca="false">IFERROR(IF(C226="","",ROUND(C226*Tilgungsrechner!C8/12,2)),"")</f>
        <v/>
      </c>
      <c r="E226" s="31" t="str">
        <f aca="false">IFERROR(IF(C226="","",MIN(ROUND(Tilgungsrechner!F7-D226,2),C226)),"")</f>
        <v/>
      </c>
      <c r="F226" s="31" t="str">
        <f aca="false">IFERROR(IF(C226="","",MAX(0, C226-E226-IF(MOD(A226,12)=0,Tilgungsrechner!C10,0))),"")</f>
        <v/>
      </c>
      <c r="G226" s="32" t="str">
        <f aca="false">IFERROR(IF(C226="","",IF(MOD(A226,12)=0,MIN(Tilgungsrechner!C10,MAX(0,C226-E226)),0)),"")</f>
        <v/>
      </c>
      <c r="H226" s="33" t="str">
        <f aca="false">IFERROR(IF(C226="","",aufround(A226/12,0)),"")</f>
        <v/>
      </c>
    </row>
    <row r="227" customFormat="false" ht="15.75" hidden="false" customHeight="true" outlineLevel="0" collapsed="false">
      <c r="A227" s="29" t="n">
        <v>222</v>
      </c>
      <c r="B227" s="30" t="str">
        <f aca="false">IFERROR(edatum(datwert(Tilgungsrechner!C12),221),"")</f>
        <v/>
      </c>
      <c r="C227" s="31" t="str">
        <f aca="false">IF(F226&lt;=0,"",F226)</f>
        <v/>
      </c>
      <c r="D227" s="31" t="str">
        <f aca="false">IFERROR(IF(C227="","",ROUND(C227*Tilgungsrechner!C8/12,2)),"")</f>
        <v/>
      </c>
      <c r="E227" s="31" t="str">
        <f aca="false">IFERROR(IF(C227="","",MIN(ROUND(Tilgungsrechner!F7-D227,2),C227)),"")</f>
        <v/>
      </c>
      <c r="F227" s="31" t="str">
        <f aca="false">IFERROR(IF(C227="","",MAX(0, C227-E227-IF(MOD(A227,12)=0,Tilgungsrechner!C10,0))),"")</f>
        <v/>
      </c>
      <c r="G227" s="32" t="str">
        <f aca="false">IFERROR(IF(C227="","",IF(MOD(A227,12)=0,MIN(Tilgungsrechner!C10,MAX(0,C227-E227)),0)),"")</f>
        <v/>
      </c>
      <c r="H227" s="33" t="str">
        <f aca="false">IFERROR(IF(C227="","",aufround(A227/12,0)),"")</f>
        <v/>
      </c>
    </row>
    <row r="228" customFormat="false" ht="15.75" hidden="false" customHeight="true" outlineLevel="0" collapsed="false">
      <c r="A228" s="29" t="n">
        <v>223</v>
      </c>
      <c r="B228" s="30" t="str">
        <f aca="false">IFERROR(edatum(datwert(Tilgungsrechner!C12),222),"")</f>
        <v/>
      </c>
      <c r="C228" s="31" t="str">
        <f aca="false">IF(F227&lt;=0,"",F227)</f>
        <v/>
      </c>
      <c r="D228" s="31" t="str">
        <f aca="false">IFERROR(IF(C228="","",ROUND(C228*Tilgungsrechner!C8/12,2)),"")</f>
        <v/>
      </c>
      <c r="E228" s="31" t="str">
        <f aca="false">IFERROR(IF(C228="","",MIN(ROUND(Tilgungsrechner!F7-D228,2),C228)),"")</f>
        <v/>
      </c>
      <c r="F228" s="31" t="str">
        <f aca="false">IFERROR(IF(C228="","",MAX(0, C228-E228-IF(MOD(A228,12)=0,Tilgungsrechner!C10,0))),"")</f>
        <v/>
      </c>
      <c r="G228" s="32" t="str">
        <f aca="false">IFERROR(IF(C228="","",IF(MOD(A228,12)=0,MIN(Tilgungsrechner!C10,MAX(0,C228-E228)),0)),"")</f>
        <v/>
      </c>
      <c r="H228" s="33" t="str">
        <f aca="false">IFERROR(IF(C228="","",aufround(A228/12,0)),"")</f>
        <v/>
      </c>
    </row>
    <row r="229" customFormat="false" ht="15.75" hidden="false" customHeight="true" outlineLevel="0" collapsed="false">
      <c r="A229" s="29" t="n">
        <v>224</v>
      </c>
      <c r="B229" s="30" t="str">
        <f aca="false">IFERROR(edatum(datwert(Tilgungsrechner!C12),223),"")</f>
        <v/>
      </c>
      <c r="C229" s="31" t="str">
        <f aca="false">IF(F228&lt;=0,"",F228)</f>
        <v/>
      </c>
      <c r="D229" s="31" t="str">
        <f aca="false">IFERROR(IF(C229="","",ROUND(C229*Tilgungsrechner!C8/12,2)),"")</f>
        <v/>
      </c>
      <c r="E229" s="31" t="str">
        <f aca="false">IFERROR(IF(C229="","",MIN(ROUND(Tilgungsrechner!F7-D229,2),C229)),"")</f>
        <v/>
      </c>
      <c r="F229" s="31" t="str">
        <f aca="false">IFERROR(IF(C229="","",MAX(0, C229-E229-IF(MOD(A229,12)=0,Tilgungsrechner!C10,0))),"")</f>
        <v/>
      </c>
      <c r="G229" s="32" t="str">
        <f aca="false">IFERROR(IF(C229="","",IF(MOD(A229,12)=0,MIN(Tilgungsrechner!C10,MAX(0,C229-E229)),0)),"")</f>
        <v/>
      </c>
      <c r="H229" s="33" t="str">
        <f aca="false">IFERROR(IF(C229="","",aufround(A229/12,0)),"")</f>
        <v/>
      </c>
    </row>
    <row r="230" customFormat="false" ht="15.75" hidden="false" customHeight="true" outlineLevel="0" collapsed="false">
      <c r="A230" s="29" t="n">
        <v>225</v>
      </c>
      <c r="B230" s="30" t="str">
        <f aca="false">IFERROR(edatum(datwert(Tilgungsrechner!C12),224),"")</f>
        <v/>
      </c>
      <c r="C230" s="31" t="str">
        <f aca="false">IF(F229&lt;=0,"",F229)</f>
        <v/>
      </c>
      <c r="D230" s="31" t="str">
        <f aca="false">IFERROR(IF(C230="","",ROUND(C230*Tilgungsrechner!C8/12,2)),"")</f>
        <v/>
      </c>
      <c r="E230" s="31" t="str">
        <f aca="false">IFERROR(IF(C230="","",MIN(ROUND(Tilgungsrechner!F7-D230,2),C230)),"")</f>
        <v/>
      </c>
      <c r="F230" s="31" t="str">
        <f aca="false">IFERROR(IF(C230="","",MAX(0, C230-E230-IF(MOD(A230,12)=0,Tilgungsrechner!C10,0))),"")</f>
        <v/>
      </c>
      <c r="G230" s="32" t="str">
        <f aca="false">IFERROR(IF(C230="","",IF(MOD(A230,12)=0,MIN(Tilgungsrechner!C10,MAX(0,C230-E230)),0)),"")</f>
        <v/>
      </c>
      <c r="H230" s="33" t="str">
        <f aca="false">IFERROR(IF(C230="","",aufround(A230/12,0)),"")</f>
        <v/>
      </c>
    </row>
    <row r="231" customFormat="false" ht="15.75" hidden="false" customHeight="true" outlineLevel="0" collapsed="false">
      <c r="A231" s="29" t="n">
        <v>226</v>
      </c>
      <c r="B231" s="30" t="str">
        <f aca="false">IFERROR(edatum(datwert(Tilgungsrechner!C12),225),"")</f>
        <v/>
      </c>
      <c r="C231" s="31" t="str">
        <f aca="false">IF(F230&lt;=0,"",F230)</f>
        <v/>
      </c>
      <c r="D231" s="31" t="str">
        <f aca="false">IFERROR(IF(C231="","",ROUND(C231*Tilgungsrechner!C8/12,2)),"")</f>
        <v/>
      </c>
      <c r="E231" s="31" t="str">
        <f aca="false">IFERROR(IF(C231="","",MIN(ROUND(Tilgungsrechner!F7-D231,2),C231)),"")</f>
        <v/>
      </c>
      <c r="F231" s="31" t="str">
        <f aca="false">IFERROR(IF(C231="","",MAX(0, C231-E231-IF(MOD(A231,12)=0,Tilgungsrechner!C10,0))),"")</f>
        <v/>
      </c>
      <c r="G231" s="32" t="str">
        <f aca="false">IFERROR(IF(C231="","",IF(MOD(A231,12)=0,MIN(Tilgungsrechner!C10,MAX(0,C231-E231)),0)),"")</f>
        <v/>
      </c>
      <c r="H231" s="33" t="str">
        <f aca="false">IFERROR(IF(C231="","",aufround(A231/12,0)),"")</f>
        <v/>
      </c>
    </row>
    <row r="232" customFormat="false" ht="15.75" hidden="false" customHeight="true" outlineLevel="0" collapsed="false">
      <c r="A232" s="29" t="n">
        <v>227</v>
      </c>
      <c r="B232" s="30" t="str">
        <f aca="false">IFERROR(edatum(datwert(Tilgungsrechner!C12),226),"")</f>
        <v/>
      </c>
      <c r="C232" s="31" t="str">
        <f aca="false">IF(F231&lt;=0,"",F231)</f>
        <v/>
      </c>
      <c r="D232" s="31" t="str">
        <f aca="false">IFERROR(IF(C232="","",ROUND(C232*Tilgungsrechner!C8/12,2)),"")</f>
        <v/>
      </c>
      <c r="E232" s="31" t="str">
        <f aca="false">IFERROR(IF(C232="","",MIN(ROUND(Tilgungsrechner!F7-D232,2),C232)),"")</f>
        <v/>
      </c>
      <c r="F232" s="31" t="str">
        <f aca="false">IFERROR(IF(C232="","",MAX(0, C232-E232-IF(MOD(A232,12)=0,Tilgungsrechner!C10,0))),"")</f>
        <v/>
      </c>
      <c r="G232" s="32" t="str">
        <f aca="false">IFERROR(IF(C232="","",IF(MOD(A232,12)=0,MIN(Tilgungsrechner!C10,MAX(0,C232-E232)),0)),"")</f>
        <v/>
      </c>
      <c r="H232" s="33" t="str">
        <f aca="false">IFERROR(IF(C232="","",aufround(A232/12,0)),"")</f>
        <v/>
      </c>
    </row>
    <row r="233" customFormat="false" ht="15.75" hidden="false" customHeight="true" outlineLevel="0" collapsed="false">
      <c r="A233" s="29" t="n">
        <v>228</v>
      </c>
      <c r="B233" s="30" t="str">
        <f aca="false">IFERROR(edatum(datwert(Tilgungsrechner!C12),227),"")</f>
        <v/>
      </c>
      <c r="C233" s="31" t="str">
        <f aca="false">IF(F232&lt;=0,"",F232)</f>
        <v/>
      </c>
      <c r="D233" s="31" t="str">
        <f aca="false">IFERROR(IF(C233="","",ROUND(C233*Tilgungsrechner!C8/12,2)),"")</f>
        <v/>
      </c>
      <c r="E233" s="31" t="str">
        <f aca="false">IFERROR(IF(C233="","",MIN(ROUND(Tilgungsrechner!F7-D233,2),C233)),"")</f>
        <v/>
      </c>
      <c r="F233" s="31" t="str">
        <f aca="false">IFERROR(IF(C233="","",MAX(0, C233-E233-IF(MOD(A233,12)=0,Tilgungsrechner!C10,0))),"")</f>
        <v/>
      </c>
      <c r="G233" s="32" t="str">
        <f aca="false">IFERROR(IF(C233="","",IF(MOD(A233,12)=0,MIN(Tilgungsrechner!C10,MAX(0,C233-E233)),0)),"")</f>
        <v/>
      </c>
      <c r="H233" s="33" t="str">
        <f aca="false">IFERROR(IF(C233="","",aufround(A233/12,0)),"")</f>
        <v/>
      </c>
    </row>
    <row r="234" customFormat="false" ht="15.75" hidden="false" customHeight="true" outlineLevel="0" collapsed="false">
      <c r="A234" s="29" t="n">
        <v>229</v>
      </c>
      <c r="B234" s="30" t="str">
        <f aca="false">IFERROR(edatum(datwert(Tilgungsrechner!C12),228),"")</f>
        <v/>
      </c>
      <c r="C234" s="31" t="str">
        <f aca="false">IF(F233&lt;=0,"",F233)</f>
        <v/>
      </c>
      <c r="D234" s="31" t="str">
        <f aca="false">IFERROR(IF(C234="","",ROUND(C234*Tilgungsrechner!C8/12,2)),"")</f>
        <v/>
      </c>
      <c r="E234" s="31" t="str">
        <f aca="false">IFERROR(IF(C234="","",MIN(ROUND(Tilgungsrechner!F7-D234,2),C234)),"")</f>
        <v/>
      </c>
      <c r="F234" s="31" t="str">
        <f aca="false">IFERROR(IF(C234="","",MAX(0, C234-E234-IF(MOD(A234,12)=0,Tilgungsrechner!C10,0))),"")</f>
        <v/>
      </c>
      <c r="G234" s="32" t="str">
        <f aca="false">IFERROR(IF(C234="","",IF(MOD(A234,12)=0,MIN(Tilgungsrechner!C10,MAX(0,C234-E234)),0)),"")</f>
        <v/>
      </c>
      <c r="H234" s="33" t="str">
        <f aca="false">IFERROR(IF(C234="","",aufround(A234/12,0)),"")</f>
        <v/>
      </c>
    </row>
    <row r="235" customFormat="false" ht="15.75" hidden="false" customHeight="true" outlineLevel="0" collapsed="false">
      <c r="A235" s="29" t="n">
        <v>230</v>
      </c>
      <c r="B235" s="30" t="str">
        <f aca="false">IFERROR(edatum(datwert(Tilgungsrechner!C12),229),"")</f>
        <v/>
      </c>
      <c r="C235" s="31" t="str">
        <f aca="false">IF(F234&lt;=0,"",F234)</f>
        <v/>
      </c>
      <c r="D235" s="31" t="str">
        <f aca="false">IFERROR(IF(C235="","",ROUND(C235*Tilgungsrechner!C8/12,2)),"")</f>
        <v/>
      </c>
      <c r="E235" s="31" t="str">
        <f aca="false">IFERROR(IF(C235="","",MIN(ROUND(Tilgungsrechner!F7-D235,2),C235)),"")</f>
        <v/>
      </c>
      <c r="F235" s="31" t="str">
        <f aca="false">IFERROR(IF(C235="","",MAX(0, C235-E235-IF(MOD(A235,12)=0,Tilgungsrechner!C10,0))),"")</f>
        <v/>
      </c>
      <c r="G235" s="32" t="str">
        <f aca="false">IFERROR(IF(C235="","",IF(MOD(A235,12)=0,MIN(Tilgungsrechner!C10,MAX(0,C235-E235)),0)),"")</f>
        <v/>
      </c>
      <c r="H235" s="33" t="str">
        <f aca="false">IFERROR(IF(C235="","",aufround(A235/12,0)),"")</f>
        <v/>
      </c>
    </row>
    <row r="236" customFormat="false" ht="15.75" hidden="false" customHeight="true" outlineLevel="0" collapsed="false">
      <c r="A236" s="29" t="n">
        <v>231</v>
      </c>
      <c r="B236" s="30" t="str">
        <f aca="false">IFERROR(edatum(datwert(Tilgungsrechner!C12),230),"")</f>
        <v/>
      </c>
      <c r="C236" s="31" t="str">
        <f aca="false">IF(F235&lt;=0,"",F235)</f>
        <v/>
      </c>
      <c r="D236" s="31" t="str">
        <f aca="false">IFERROR(IF(C236="","",ROUND(C236*Tilgungsrechner!C8/12,2)),"")</f>
        <v/>
      </c>
      <c r="E236" s="31" t="str">
        <f aca="false">IFERROR(IF(C236="","",MIN(ROUND(Tilgungsrechner!F7-D236,2),C236)),"")</f>
        <v/>
      </c>
      <c r="F236" s="31" t="str">
        <f aca="false">IFERROR(IF(C236="","",MAX(0, C236-E236-IF(MOD(A236,12)=0,Tilgungsrechner!C10,0))),"")</f>
        <v/>
      </c>
      <c r="G236" s="32" t="str">
        <f aca="false">IFERROR(IF(C236="","",IF(MOD(A236,12)=0,MIN(Tilgungsrechner!C10,MAX(0,C236-E236)),0)),"")</f>
        <v/>
      </c>
      <c r="H236" s="33" t="str">
        <f aca="false">IFERROR(IF(C236="","",aufround(A236/12,0)),"")</f>
        <v/>
      </c>
    </row>
    <row r="237" customFormat="false" ht="15.75" hidden="false" customHeight="true" outlineLevel="0" collapsed="false">
      <c r="A237" s="29" t="n">
        <v>232</v>
      </c>
      <c r="B237" s="30" t="str">
        <f aca="false">IFERROR(edatum(datwert(Tilgungsrechner!C12),231),"")</f>
        <v/>
      </c>
      <c r="C237" s="31" t="str">
        <f aca="false">IF(F236&lt;=0,"",F236)</f>
        <v/>
      </c>
      <c r="D237" s="31" t="str">
        <f aca="false">IFERROR(IF(C237="","",ROUND(C237*Tilgungsrechner!C8/12,2)),"")</f>
        <v/>
      </c>
      <c r="E237" s="31" t="str">
        <f aca="false">IFERROR(IF(C237="","",MIN(ROUND(Tilgungsrechner!F7-D237,2),C237)),"")</f>
        <v/>
      </c>
      <c r="F237" s="31" t="str">
        <f aca="false">IFERROR(IF(C237="","",MAX(0, C237-E237-IF(MOD(A237,12)=0,Tilgungsrechner!C10,0))),"")</f>
        <v/>
      </c>
      <c r="G237" s="32" t="str">
        <f aca="false">IFERROR(IF(C237="","",IF(MOD(A237,12)=0,MIN(Tilgungsrechner!C10,MAX(0,C237-E237)),0)),"")</f>
        <v/>
      </c>
      <c r="H237" s="33" t="str">
        <f aca="false">IFERROR(IF(C237="","",aufround(A237/12,0)),"")</f>
        <v/>
      </c>
    </row>
    <row r="238" customFormat="false" ht="15.75" hidden="false" customHeight="true" outlineLevel="0" collapsed="false">
      <c r="A238" s="29" t="n">
        <v>233</v>
      </c>
      <c r="B238" s="30" t="str">
        <f aca="false">IFERROR(edatum(datwert(Tilgungsrechner!C12),232),"")</f>
        <v/>
      </c>
      <c r="C238" s="31" t="str">
        <f aca="false">IF(F237&lt;=0,"",F237)</f>
        <v/>
      </c>
      <c r="D238" s="31" t="str">
        <f aca="false">IFERROR(IF(C238="","",ROUND(C238*Tilgungsrechner!C8/12,2)),"")</f>
        <v/>
      </c>
      <c r="E238" s="31" t="str">
        <f aca="false">IFERROR(IF(C238="","",MIN(ROUND(Tilgungsrechner!F7-D238,2),C238)),"")</f>
        <v/>
      </c>
      <c r="F238" s="31" t="str">
        <f aca="false">IFERROR(IF(C238="","",MAX(0, C238-E238-IF(MOD(A238,12)=0,Tilgungsrechner!C10,0))),"")</f>
        <v/>
      </c>
      <c r="G238" s="32" t="str">
        <f aca="false">IFERROR(IF(C238="","",IF(MOD(A238,12)=0,MIN(Tilgungsrechner!C10,MAX(0,C238-E238)),0)),"")</f>
        <v/>
      </c>
      <c r="H238" s="33" t="str">
        <f aca="false">IFERROR(IF(C238="","",aufround(A238/12,0)),"")</f>
        <v/>
      </c>
    </row>
    <row r="239" customFormat="false" ht="15.75" hidden="false" customHeight="true" outlineLevel="0" collapsed="false">
      <c r="A239" s="29" t="n">
        <v>234</v>
      </c>
      <c r="B239" s="30" t="str">
        <f aca="false">IFERROR(edatum(datwert(Tilgungsrechner!C12),233),"")</f>
        <v/>
      </c>
      <c r="C239" s="31" t="str">
        <f aca="false">IF(F238&lt;=0,"",F238)</f>
        <v/>
      </c>
      <c r="D239" s="31" t="str">
        <f aca="false">IFERROR(IF(C239="","",ROUND(C239*Tilgungsrechner!C8/12,2)),"")</f>
        <v/>
      </c>
      <c r="E239" s="31" t="str">
        <f aca="false">IFERROR(IF(C239="","",MIN(ROUND(Tilgungsrechner!F7-D239,2),C239)),"")</f>
        <v/>
      </c>
      <c r="F239" s="31" t="str">
        <f aca="false">IFERROR(IF(C239="","",MAX(0, C239-E239-IF(MOD(A239,12)=0,Tilgungsrechner!C10,0))),"")</f>
        <v/>
      </c>
      <c r="G239" s="32" t="str">
        <f aca="false">IFERROR(IF(C239="","",IF(MOD(A239,12)=0,MIN(Tilgungsrechner!C10,MAX(0,C239-E239)),0)),"")</f>
        <v/>
      </c>
      <c r="H239" s="33" t="str">
        <f aca="false">IFERROR(IF(C239="","",aufround(A239/12,0)),"")</f>
        <v/>
      </c>
    </row>
    <row r="240" customFormat="false" ht="15.75" hidden="false" customHeight="true" outlineLevel="0" collapsed="false">
      <c r="A240" s="29" t="n">
        <v>235</v>
      </c>
      <c r="B240" s="30" t="str">
        <f aca="false">IFERROR(edatum(datwert(Tilgungsrechner!C12),234),"")</f>
        <v/>
      </c>
      <c r="C240" s="31" t="str">
        <f aca="false">IF(F239&lt;=0,"",F239)</f>
        <v/>
      </c>
      <c r="D240" s="31" t="str">
        <f aca="false">IFERROR(IF(C240="","",ROUND(C240*Tilgungsrechner!C8/12,2)),"")</f>
        <v/>
      </c>
      <c r="E240" s="31" t="str">
        <f aca="false">IFERROR(IF(C240="","",MIN(ROUND(Tilgungsrechner!F7-D240,2),C240)),"")</f>
        <v/>
      </c>
      <c r="F240" s="31" t="str">
        <f aca="false">IFERROR(IF(C240="","",MAX(0, C240-E240-IF(MOD(A240,12)=0,Tilgungsrechner!C10,0))),"")</f>
        <v/>
      </c>
      <c r="G240" s="32" t="str">
        <f aca="false">IFERROR(IF(C240="","",IF(MOD(A240,12)=0,MIN(Tilgungsrechner!C10,MAX(0,C240-E240)),0)),"")</f>
        <v/>
      </c>
      <c r="H240" s="33" t="str">
        <f aca="false">IFERROR(IF(C240="","",aufround(A240/12,0)),"")</f>
        <v/>
      </c>
    </row>
    <row r="241" customFormat="false" ht="15.75" hidden="false" customHeight="true" outlineLevel="0" collapsed="false">
      <c r="A241" s="29" t="n">
        <v>236</v>
      </c>
      <c r="B241" s="30" t="str">
        <f aca="false">IFERROR(edatum(datwert(Tilgungsrechner!C12),235),"")</f>
        <v/>
      </c>
      <c r="C241" s="31" t="str">
        <f aca="false">IF(F240&lt;=0,"",F240)</f>
        <v/>
      </c>
      <c r="D241" s="31" t="str">
        <f aca="false">IFERROR(IF(C241="","",ROUND(C241*Tilgungsrechner!C8/12,2)),"")</f>
        <v/>
      </c>
      <c r="E241" s="31" t="str">
        <f aca="false">IFERROR(IF(C241="","",MIN(ROUND(Tilgungsrechner!F7-D241,2),C241)),"")</f>
        <v/>
      </c>
      <c r="F241" s="31" t="str">
        <f aca="false">IFERROR(IF(C241="","",MAX(0, C241-E241-IF(MOD(A241,12)=0,Tilgungsrechner!C10,0))),"")</f>
        <v/>
      </c>
      <c r="G241" s="32" t="str">
        <f aca="false">IFERROR(IF(C241="","",IF(MOD(A241,12)=0,MIN(Tilgungsrechner!C10,MAX(0,C241-E241)),0)),"")</f>
        <v/>
      </c>
      <c r="H241" s="33" t="str">
        <f aca="false">IFERROR(IF(C241="","",aufround(A241/12,0)),"")</f>
        <v/>
      </c>
    </row>
    <row r="242" customFormat="false" ht="15.75" hidden="false" customHeight="true" outlineLevel="0" collapsed="false">
      <c r="A242" s="29" t="n">
        <v>237</v>
      </c>
      <c r="B242" s="30" t="str">
        <f aca="false">IFERROR(edatum(datwert(Tilgungsrechner!C12),236),"")</f>
        <v/>
      </c>
      <c r="C242" s="31" t="str">
        <f aca="false">IF(F241&lt;=0,"",F241)</f>
        <v/>
      </c>
      <c r="D242" s="31" t="str">
        <f aca="false">IFERROR(IF(C242="","",ROUND(C242*Tilgungsrechner!C8/12,2)),"")</f>
        <v/>
      </c>
      <c r="E242" s="31" t="str">
        <f aca="false">IFERROR(IF(C242="","",MIN(ROUND(Tilgungsrechner!F7-D242,2),C242)),"")</f>
        <v/>
      </c>
      <c r="F242" s="31" t="str">
        <f aca="false">IFERROR(IF(C242="","",MAX(0, C242-E242-IF(MOD(A242,12)=0,Tilgungsrechner!C10,0))),"")</f>
        <v/>
      </c>
      <c r="G242" s="32" t="str">
        <f aca="false">IFERROR(IF(C242="","",IF(MOD(A242,12)=0,MIN(Tilgungsrechner!C10,MAX(0,C242-E242)),0)),"")</f>
        <v/>
      </c>
      <c r="H242" s="33" t="str">
        <f aca="false">IFERROR(IF(C242="","",aufround(A242/12,0)),"")</f>
        <v/>
      </c>
    </row>
    <row r="243" customFormat="false" ht="15.75" hidden="false" customHeight="true" outlineLevel="0" collapsed="false">
      <c r="A243" s="29" t="n">
        <v>238</v>
      </c>
      <c r="B243" s="30" t="str">
        <f aca="false">IFERROR(edatum(datwert(Tilgungsrechner!C12),237),"")</f>
        <v/>
      </c>
      <c r="C243" s="31" t="str">
        <f aca="false">IF(F242&lt;=0,"",F242)</f>
        <v/>
      </c>
      <c r="D243" s="31" t="str">
        <f aca="false">IFERROR(IF(C243="","",ROUND(C243*Tilgungsrechner!C8/12,2)),"")</f>
        <v/>
      </c>
      <c r="E243" s="31" t="str">
        <f aca="false">IFERROR(IF(C243="","",MIN(ROUND(Tilgungsrechner!F7-D243,2),C243)),"")</f>
        <v/>
      </c>
      <c r="F243" s="31" t="str">
        <f aca="false">IFERROR(IF(C243="","",MAX(0, C243-E243-IF(MOD(A243,12)=0,Tilgungsrechner!C10,0))),"")</f>
        <v/>
      </c>
      <c r="G243" s="32" t="str">
        <f aca="false">IFERROR(IF(C243="","",IF(MOD(A243,12)=0,MIN(Tilgungsrechner!C10,MAX(0,C243-E243)),0)),"")</f>
        <v/>
      </c>
      <c r="H243" s="33" t="str">
        <f aca="false">IFERROR(IF(C243="","",aufround(A243/12,0)),"")</f>
        <v/>
      </c>
    </row>
    <row r="244" customFormat="false" ht="15.75" hidden="false" customHeight="true" outlineLevel="0" collapsed="false">
      <c r="A244" s="29" t="n">
        <v>239</v>
      </c>
      <c r="B244" s="30" t="str">
        <f aca="false">IFERROR(edatum(datwert(Tilgungsrechner!C12),238),"")</f>
        <v/>
      </c>
      <c r="C244" s="31" t="str">
        <f aca="false">IF(F243&lt;=0,"",F243)</f>
        <v/>
      </c>
      <c r="D244" s="31" t="str">
        <f aca="false">IFERROR(IF(C244="","",ROUND(C244*Tilgungsrechner!C8/12,2)),"")</f>
        <v/>
      </c>
      <c r="E244" s="31" t="str">
        <f aca="false">IFERROR(IF(C244="","",MIN(ROUND(Tilgungsrechner!F7-D244,2),C244)),"")</f>
        <v/>
      </c>
      <c r="F244" s="31" t="str">
        <f aca="false">IFERROR(IF(C244="","",MAX(0, C244-E244-IF(MOD(A244,12)=0,Tilgungsrechner!C10,0))),"")</f>
        <v/>
      </c>
      <c r="G244" s="32" t="str">
        <f aca="false">IFERROR(IF(C244="","",IF(MOD(A244,12)=0,MIN(Tilgungsrechner!C10,MAX(0,C244-E244)),0)),"")</f>
        <v/>
      </c>
      <c r="H244" s="33" t="str">
        <f aca="false">IFERROR(IF(C244="","",aufround(A244/12,0)),"")</f>
        <v/>
      </c>
    </row>
    <row r="245" customFormat="false" ht="15.75" hidden="false" customHeight="true" outlineLevel="0" collapsed="false">
      <c r="A245" s="29" t="n">
        <v>240</v>
      </c>
      <c r="B245" s="30" t="str">
        <f aca="false">IFERROR(edatum(datwert(Tilgungsrechner!C12),239),"")</f>
        <v/>
      </c>
      <c r="C245" s="31" t="str">
        <f aca="false">IF(F244&lt;=0,"",F244)</f>
        <v/>
      </c>
      <c r="D245" s="31" t="str">
        <f aca="false">IFERROR(IF(C245="","",ROUND(C245*Tilgungsrechner!C8/12,2)),"")</f>
        <v/>
      </c>
      <c r="E245" s="31" t="str">
        <f aca="false">IFERROR(IF(C245="","",MIN(ROUND(Tilgungsrechner!F7-D245,2),C245)),"")</f>
        <v/>
      </c>
      <c r="F245" s="31" t="str">
        <f aca="false">IFERROR(IF(C245="","",MAX(0, C245-E245-IF(MOD(A245,12)=0,Tilgungsrechner!C10,0))),"")</f>
        <v/>
      </c>
      <c r="G245" s="32" t="str">
        <f aca="false">IFERROR(IF(C245="","",IF(MOD(A245,12)=0,MIN(Tilgungsrechner!C10,MAX(0,C245-E245)),0)),"")</f>
        <v/>
      </c>
      <c r="H245" s="33" t="str">
        <f aca="false">IFERROR(IF(C245="","",aufround(A245/12,0)),"")</f>
        <v/>
      </c>
    </row>
    <row r="246" customFormat="false" ht="15.75" hidden="false" customHeight="true" outlineLevel="0" collapsed="false">
      <c r="A246" s="29" t="n">
        <v>241</v>
      </c>
      <c r="B246" s="30" t="str">
        <f aca="false">IFERROR(edatum(datwert(Tilgungsrechner!C12),240),"")</f>
        <v/>
      </c>
      <c r="C246" s="31" t="str">
        <f aca="false">IF(F245&lt;=0,"",F245)</f>
        <v/>
      </c>
      <c r="D246" s="31" t="str">
        <f aca="false">IFERROR(IF(C246="","",ROUND(C246*Tilgungsrechner!C8/12,2)),"")</f>
        <v/>
      </c>
      <c r="E246" s="31" t="str">
        <f aca="false">IFERROR(IF(C246="","",MIN(ROUND(Tilgungsrechner!F7-D246,2),C246)),"")</f>
        <v/>
      </c>
      <c r="F246" s="31" t="str">
        <f aca="false">IFERROR(IF(C246="","",MAX(0, C246-E246-IF(MOD(A246,12)=0,Tilgungsrechner!C10,0))),"")</f>
        <v/>
      </c>
      <c r="G246" s="32" t="str">
        <f aca="false">IFERROR(IF(C246="","",IF(MOD(A246,12)=0,MIN(Tilgungsrechner!C10,MAX(0,C246-E246)),0)),"")</f>
        <v/>
      </c>
      <c r="H246" s="33" t="str">
        <f aca="false">IFERROR(IF(C246="","",aufround(A246/12,0)),"")</f>
        <v/>
      </c>
    </row>
    <row r="247" customFormat="false" ht="15.75" hidden="false" customHeight="true" outlineLevel="0" collapsed="false">
      <c r="A247" s="29" t="n">
        <v>242</v>
      </c>
      <c r="B247" s="30" t="str">
        <f aca="false">IFERROR(edatum(datwert(Tilgungsrechner!C12),241),"")</f>
        <v/>
      </c>
      <c r="C247" s="31" t="str">
        <f aca="false">IF(F246&lt;=0,"",F246)</f>
        <v/>
      </c>
      <c r="D247" s="31" t="str">
        <f aca="false">IFERROR(IF(C247="","",ROUND(C247*Tilgungsrechner!C8/12,2)),"")</f>
        <v/>
      </c>
      <c r="E247" s="31" t="str">
        <f aca="false">IFERROR(IF(C247="","",MIN(ROUND(Tilgungsrechner!F7-D247,2),C247)),"")</f>
        <v/>
      </c>
      <c r="F247" s="31" t="str">
        <f aca="false">IFERROR(IF(C247="","",MAX(0, C247-E247-IF(MOD(A247,12)=0,Tilgungsrechner!C10,0))),"")</f>
        <v/>
      </c>
      <c r="G247" s="32" t="str">
        <f aca="false">IFERROR(IF(C247="","",IF(MOD(A247,12)=0,MIN(Tilgungsrechner!C10,MAX(0,C247-E247)),0)),"")</f>
        <v/>
      </c>
      <c r="H247" s="33" t="str">
        <f aca="false">IFERROR(IF(C247="","",aufround(A247/12,0)),"")</f>
        <v/>
      </c>
    </row>
    <row r="248" customFormat="false" ht="15.75" hidden="false" customHeight="true" outlineLevel="0" collapsed="false">
      <c r="A248" s="29" t="n">
        <v>243</v>
      </c>
      <c r="B248" s="30" t="str">
        <f aca="false">IFERROR(edatum(datwert(Tilgungsrechner!C12),242),"")</f>
        <v/>
      </c>
      <c r="C248" s="31" t="str">
        <f aca="false">IF(F247&lt;=0,"",F247)</f>
        <v/>
      </c>
      <c r="D248" s="31" t="str">
        <f aca="false">IFERROR(IF(C248="","",ROUND(C248*Tilgungsrechner!C8/12,2)),"")</f>
        <v/>
      </c>
      <c r="E248" s="31" t="str">
        <f aca="false">IFERROR(IF(C248="","",MIN(ROUND(Tilgungsrechner!F7-D248,2),C248)),"")</f>
        <v/>
      </c>
      <c r="F248" s="31" t="str">
        <f aca="false">IFERROR(IF(C248="","",MAX(0, C248-E248-IF(MOD(A248,12)=0,Tilgungsrechner!C10,0))),"")</f>
        <v/>
      </c>
      <c r="G248" s="32" t="str">
        <f aca="false">IFERROR(IF(C248="","",IF(MOD(A248,12)=0,MIN(Tilgungsrechner!C10,MAX(0,C248-E248)),0)),"")</f>
        <v/>
      </c>
      <c r="H248" s="33" t="str">
        <f aca="false">IFERROR(IF(C248="","",aufround(A248/12,0)),"")</f>
        <v/>
      </c>
    </row>
    <row r="249" customFormat="false" ht="15.75" hidden="false" customHeight="true" outlineLevel="0" collapsed="false">
      <c r="A249" s="29" t="n">
        <v>244</v>
      </c>
      <c r="B249" s="30" t="str">
        <f aca="false">IFERROR(edatum(datwert(Tilgungsrechner!C12),243),"")</f>
        <v/>
      </c>
      <c r="C249" s="31" t="str">
        <f aca="false">IF(F248&lt;=0,"",F248)</f>
        <v/>
      </c>
      <c r="D249" s="31" t="str">
        <f aca="false">IFERROR(IF(C249="","",ROUND(C249*Tilgungsrechner!C8/12,2)),"")</f>
        <v/>
      </c>
      <c r="E249" s="31" t="str">
        <f aca="false">IFERROR(IF(C249="","",MIN(ROUND(Tilgungsrechner!F7-D249,2),C249)),"")</f>
        <v/>
      </c>
      <c r="F249" s="31" t="str">
        <f aca="false">IFERROR(IF(C249="","",MAX(0, C249-E249-IF(MOD(A249,12)=0,Tilgungsrechner!C10,0))),"")</f>
        <v/>
      </c>
      <c r="G249" s="32" t="str">
        <f aca="false">IFERROR(IF(C249="","",IF(MOD(A249,12)=0,MIN(Tilgungsrechner!C10,MAX(0,C249-E249)),0)),"")</f>
        <v/>
      </c>
      <c r="H249" s="33" t="str">
        <f aca="false">IFERROR(IF(C249="","",aufround(A249/12,0)),"")</f>
        <v/>
      </c>
    </row>
    <row r="250" customFormat="false" ht="15.75" hidden="false" customHeight="true" outlineLevel="0" collapsed="false">
      <c r="A250" s="29" t="n">
        <v>245</v>
      </c>
      <c r="B250" s="30" t="str">
        <f aca="false">IFERROR(edatum(datwert(Tilgungsrechner!C12),244),"")</f>
        <v/>
      </c>
      <c r="C250" s="31" t="str">
        <f aca="false">IF(F249&lt;=0,"",F249)</f>
        <v/>
      </c>
      <c r="D250" s="31" t="str">
        <f aca="false">IFERROR(IF(C250="","",ROUND(C250*Tilgungsrechner!C8/12,2)),"")</f>
        <v/>
      </c>
      <c r="E250" s="31" t="str">
        <f aca="false">IFERROR(IF(C250="","",MIN(ROUND(Tilgungsrechner!F7-D250,2),C250)),"")</f>
        <v/>
      </c>
      <c r="F250" s="31" t="str">
        <f aca="false">IFERROR(IF(C250="","",MAX(0, C250-E250-IF(MOD(A250,12)=0,Tilgungsrechner!C10,0))),"")</f>
        <v/>
      </c>
      <c r="G250" s="32" t="str">
        <f aca="false">IFERROR(IF(C250="","",IF(MOD(A250,12)=0,MIN(Tilgungsrechner!C10,MAX(0,C250-E250)),0)),"")</f>
        <v/>
      </c>
      <c r="H250" s="33" t="str">
        <f aca="false">IFERROR(IF(C250="","",aufround(A250/12,0)),"")</f>
        <v/>
      </c>
    </row>
    <row r="251" customFormat="false" ht="15.75" hidden="false" customHeight="true" outlineLevel="0" collapsed="false">
      <c r="A251" s="29" t="n">
        <v>246</v>
      </c>
      <c r="B251" s="30" t="str">
        <f aca="false">IFERROR(edatum(datwert(Tilgungsrechner!C12),245),"")</f>
        <v/>
      </c>
      <c r="C251" s="31" t="str">
        <f aca="false">IF(F250&lt;=0,"",F250)</f>
        <v/>
      </c>
      <c r="D251" s="31" t="str">
        <f aca="false">IFERROR(IF(C251="","",ROUND(C251*Tilgungsrechner!C8/12,2)),"")</f>
        <v/>
      </c>
      <c r="E251" s="31" t="str">
        <f aca="false">IFERROR(IF(C251="","",MIN(ROUND(Tilgungsrechner!F7-D251,2),C251)),"")</f>
        <v/>
      </c>
      <c r="F251" s="31" t="str">
        <f aca="false">IFERROR(IF(C251="","",MAX(0, C251-E251-IF(MOD(A251,12)=0,Tilgungsrechner!C10,0))),"")</f>
        <v/>
      </c>
      <c r="G251" s="32" t="str">
        <f aca="false">IFERROR(IF(C251="","",IF(MOD(A251,12)=0,MIN(Tilgungsrechner!C10,MAX(0,C251-E251)),0)),"")</f>
        <v/>
      </c>
      <c r="H251" s="33" t="str">
        <f aca="false">IFERROR(IF(C251="","",aufround(A251/12,0)),"")</f>
        <v/>
      </c>
    </row>
    <row r="252" customFormat="false" ht="15.75" hidden="false" customHeight="true" outlineLevel="0" collapsed="false">
      <c r="A252" s="29" t="n">
        <v>247</v>
      </c>
      <c r="B252" s="30" t="str">
        <f aca="false">IFERROR(edatum(datwert(Tilgungsrechner!C12),246),"")</f>
        <v/>
      </c>
      <c r="C252" s="31" t="str">
        <f aca="false">IF(F251&lt;=0,"",F251)</f>
        <v/>
      </c>
      <c r="D252" s="31" t="str">
        <f aca="false">IFERROR(IF(C252="","",ROUND(C252*Tilgungsrechner!C8/12,2)),"")</f>
        <v/>
      </c>
      <c r="E252" s="31" t="str">
        <f aca="false">IFERROR(IF(C252="","",MIN(ROUND(Tilgungsrechner!F7-D252,2),C252)),"")</f>
        <v/>
      </c>
      <c r="F252" s="31" t="str">
        <f aca="false">IFERROR(IF(C252="","",MAX(0, C252-E252-IF(MOD(A252,12)=0,Tilgungsrechner!C10,0))),"")</f>
        <v/>
      </c>
      <c r="G252" s="32" t="str">
        <f aca="false">IFERROR(IF(C252="","",IF(MOD(A252,12)=0,MIN(Tilgungsrechner!C10,MAX(0,C252-E252)),0)),"")</f>
        <v/>
      </c>
      <c r="H252" s="33" t="str">
        <f aca="false">IFERROR(IF(C252="","",aufround(A252/12,0)),"")</f>
        <v/>
      </c>
    </row>
    <row r="253" customFormat="false" ht="15.75" hidden="false" customHeight="true" outlineLevel="0" collapsed="false">
      <c r="A253" s="29" t="n">
        <v>248</v>
      </c>
      <c r="B253" s="30" t="str">
        <f aca="false">IFERROR(edatum(datwert(Tilgungsrechner!C12),247),"")</f>
        <v/>
      </c>
      <c r="C253" s="31" t="str">
        <f aca="false">IF(F252&lt;=0,"",F252)</f>
        <v/>
      </c>
      <c r="D253" s="31" t="str">
        <f aca="false">IFERROR(IF(C253="","",ROUND(C253*Tilgungsrechner!C8/12,2)),"")</f>
        <v/>
      </c>
      <c r="E253" s="31" t="str">
        <f aca="false">IFERROR(IF(C253="","",MIN(ROUND(Tilgungsrechner!F7-D253,2),C253)),"")</f>
        <v/>
      </c>
      <c r="F253" s="31" t="str">
        <f aca="false">IFERROR(IF(C253="","",MAX(0, C253-E253-IF(MOD(A253,12)=0,Tilgungsrechner!C10,0))),"")</f>
        <v/>
      </c>
      <c r="G253" s="32" t="str">
        <f aca="false">IFERROR(IF(C253="","",IF(MOD(A253,12)=0,MIN(Tilgungsrechner!C10,MAX(0,C253-E253)),0)),"")</f>
        <v/>
      </c>
      <c r="H253" s="33" t="str">
        <f aca="false">IFERROR(IF(C253="","",aufround(A253/12,0)),"")</f>
        <v/>
      </c>
    </row>
    <row r="254" customFormat="false" ht="15.75" hidden="false" customHeight="true" outlineLevel="0" collapsed="false">
      <c r="A254" s="29" t="n">
        <v>249</v>
      </c>
      <c r="B254" s="30" t="str">
        <f aca="false">IFERROR(edatum(datwert(Tilgungsrechner!C12),248),"")</f>
        <v/>
      </c>
      <c r="C254" s="31" t="str">
        <f aca="false">IF(F253&lt;=0,"",F253)</f>
        <v/>
      </c>
      <c r="D254" s="31" t="str">
        <f aca="false">IFERROR(IF(C254="","",ROUND(C254*Tilgungsrechner!C8/12,2)),"")</f>
        <v/>
      </c>
      <c r="E254" s="31" t="str">
        <f aca="false">IFERROR(IF(C254="","",MIN(ROUND(Tilgungsrechner!F7-D254,2),C254)),"")</f>
        <v/>
      </c>
      <c r="F254" s="31" t="str">
        <f aca="false">IFERROR(IF(C254="","",MAX(0, C254-E254-IF(MOD(A254,12)=0,Tilgungsrechner!C10,0))),"")</f>
        <v/>
      </c>
      <c r="G254" s="32" t="str">
        <f aca="false">IFERROR(IF(C254="","",IF(MOD(A254,12)=0,MIN(Tilgungsrechner!C10,MAX(0,C254-E254)),0)),"")</f>
        <v/>
      </c>
      <c r="H254" s="33" t="str">
        <f aca="false">IFERROR(IF(C254="","",aufround(A254/12,0)),"")</f>
        <v/>
      </c>
    </row>
    <row r="255" customFormat="false" ht="15.75" hidden="false" customHeight="true" outlineLevel="0" collapsed="false">
      <c r="A255" s="29" t="n">
        <v>250</v>
      </c>
      <c r="B255" s="30" t="str">
        <f aca="false">IFERROR(edatum(datwert(Tilgungsrechner!C12),249),"")</f>
        <v/>
      </c>
      <c r="C255" s="31" t="str">
        <f aca="false">IF(F254&lt;=0,"",F254)</f>
        <v/>
      </c>
      <c r="D255" s="31" t="str">
        <f aca="false">IFERROR(IF(C255="","",ROUND(C255*Tilgungsrechner!C8/12,2)),"")</f>
        <v/>
      </c>
      <c r="E255" s="31" t="str">
        <f aca="false">IFERROR(IF(C255="","",MIN(ROUND(Tilgungsrechner!F7-D255,2),C255)),"")</f>
        <v/>
      </c>
      <c r="F255" s="31" t="str">
        <f aca="false">IFERROR(IF(C255="","",MAX(0, C255-E255-IF(MOD(A255,12)=0,Tilgungsrechner!C10,0))),"")</f>
        <v/>
      </c>
      <c r="G255" s="32" t="str">
        <f aca="false">IFERROR(IF(C255="","",IF(MOD(A255,12)=0,MIN(Tilgungsrechner!C10,MAX(0,C255-E255)),0)),"")</f>
        <v/>
      </c>
      <c r="H255" s="33" t="str">
        <f aca="false">IFERROR(IF(C255="","",aufround(A255/12,0)),"")</f>
        <v/>
      </c>
    </row>
    <row r="256" customFormat="false" ht="15.75" hidden="false" customHeight="true" outlineLevel="0" collapsed="false">
      <c r="A256" s="29" t="n">
        <v>251</v>
      </c>
      <c r="B256" s="30" t="str">
        <f aca="false">IFERROR(edatum(datwert(Tilgungsrechner!C12),250),"")</f>
        <v/>
      </c>
      <c r="C256" s="31" t="str">
        <f aca="false">IF(F255&lt;=0,"",F255)</f>
        <v/>
      </c>
      <c r="D256" s="31" t="str">
        <f aca="false">IFERROR(IF(C256="","",ROUND(C256*Tilgungsrechner!C8/12,2)),"")</f>
        <v/>
      </c>
      <c r="E256" s="31" t="str">
        <f aca="false">IFERROR(IF(C256="","",MIN(ROUND(Tilgungsrechner!F7-D256,2),C256)),"")</f>
        <v/>
      </c>
      <c r="F256" s="31" t="str">
        <f aca="false">IFERROR(IF(C256="","",MAX(0, C256-E256-IF(MOD(A256,12)=0,Tilgungsrechner!C10,0))),"")</f>
        <v/>
      </c>
      <c r="G256" s="32" t="str">
        <f aca="false">IFERROR(IF(C256="","",IF(MOD(A256,12)=0,MIN(Tilgungsrechner!C10,MAX(0,C256-E256)),0)),"")</f>
        <v/>
      </c>
      <c r="H256" s="33" t="str">
        <f aca="false">IFERROR(IF(C256="","",aufround(A256/12,0)),"")</f>
        <v/>
      </c>
    </row>
    <row r="257" customFormat="false" ht="15.75" hidden="false" customHeight="true" outlineLevel="0" collapsed="false">
      <c r="A257" s="29" t="n">
        <v>252</v>
      </c>
      <c r="B257" s="30" t="str">
        <f aca="false">IFERROR(edatum(datwert(Tilgungsrechner!C12),251),"")</f>
        <v/>
      </c>
      <c r="C257" s="31" t="str">
        <f aca="false">IF(F256&lt;=0,"",F256)</f>
        <v/>
      </c>
      <c r="D257" s="31" t="str">
        <f aca="false">IFERROR(IF(C257="","",ROUND(C257*Tilgungsrechner!C8/12,2)),"")</f>
        <v/>
      </c>
      <c r="E257" s="31" t="str">
        <f aca="false">IFERROR(IF(C257="","",MIN(ROUND(Tilgungsrechner!F7-D257,2),C257)),"")</f>
        <v/>
      </c>
      <c r="F257" s="31" t="str">
        <f aca="false">IFERROR(IF(C257="","",MAX(0, C257-E257-IF(MOD(A257,12)=0,Tilgungsrechner!C10,0))),"")</f>
        <v/>
      </c>
      <c r="G257" s="32" t="str">
        <f aca="false">IFERROR(IF(C257="","",IF(MOD(A257,12)=0,MIN(Tilgungsrechner!C10,MAX(0,C257-E257)),0)),"")</f>
        <v/>
      </c>
      <c r="H257" s="33" t="str">
        <f aca="false">IFERROR(IF(C257="","",aufround(A257/12,0)),"")</f>
        <v/>
      </c>
    </row>
    <row r="258" customFormat="false" ht="15.75" hidden="false" customHeight="true" outlineLevel="0" collapsed="false">
      <c r="A258" s="29" t="n">
        <v>253</v>
      </c>
      <c r="B258" s="30" t="str">
        <f aca="false">IFERROR(edatum(datwert(Tilgungsrechner!C12),252),"")</f>
        <v/>
      </c>
      <c r="C258" s="31" t="str">
        <f aca="false">IF(F257&lt;=0,"",F257)</f>
        <v/>
      </c>
      <c r="D258" s="31" t="str">
        <f aca="false">IFERROR(IF(C258="","",ROUND(C258*Tilgungsrechner!C8/12,2)),"")</f>
        <v/>
      </c>
      <c r="E258" s="31" t="str">
        <f aca="false">IFERROR(IF(C258="","",MIN(ROUND(Tilgungsrechner!F7-D258,2),C258)),"")</f>
        <v/>
      </c>
      <c r="F258" s="31" t="str">
        <f aca="false">IFERROR(IF(C258="","",MAX(0, C258-E258-IF(MOD(A258,12)=0,Tilgungsrechner!C10,0))),"")</f>
        <v/>
      </c>
      <c r="G258" s="32" t="str">
        <f aca="false">IFERROR(IF(C258="","",IF(MOD(A258,12)=0,MIN(Tilgungsrechner!C10,MAX(0,C258-E258)),0)),"")</f>
        <v/>
      </c>
      <c r="H258" s="33" t="str">
        <f aca="false">IFERROR(IF(C258="","",aufround(A258/12,0)),"")</f>
        <v/>
      </c>
    </row>
    <row r="259" customFormat="false" ht="15.75" hidden="false" customHeight="true" outlineLevel="0" collapsed="false">
      <c r="A259" s="29" t="n">
        <v>254</v>
      </c>
      <c r="B259" s="30" t="str">
        <f aca="false">IFERROR(edatum(datwert(Tilgungsrechner!C12),253),"")</f>
        <v/>
      </c>
      <c r="C259" s="31" t="str">
        <f aca="false">IF(F258&lt;=0,"",F258)</f>
        <v/>
      </c>
      <c r="D259" s="31" t="str">
        <f aca="false">IFERROR(IF(C259="","",ROUND(C259*Tilgungsrechner!C8/12,2)),"")</f>
        <v/>
      </c>
      <c r="E259" s="31" t="str">
        <f aca="false">IFERROR(IF(C259="","",MIN(ROUND(Tilgungsrechner!F7-D259,2),C259)),"")</f>
        <v/>
      </c>
      <c r="F259" s="31" t="str">
        <f aca="false">IFERROR(IF(C259="","",MAX(0, C259-E259-IF(MOD(A259,12)=0,Tilgungsrechner!C10,0))),"")</f>
        <v/>
      </c>
      <c r="G259" s="32" t="str">
        <f aca="false">IFERROR(IF(C259="","",IF(MOD(A259,12)=0,MIN(Tilgungsrechner!C10,MAX(0,C259-E259)),0)),"")</f>
        <v/>
      </c>
      <c r="H259" s="33" t="str">
        <f aca="false">IFERROR(IF(C259="","",aufround(A259/12,0)),"")</f>
        <v/>
      </c>
    </row>
    <row r="260" customFormat="false" ht="15.75" hidden="false" customHeight="true" outlineLevel="0" collapsed="false">
      <c r="A260" s="29" t="n">
        <v>255</v>
      </c>
      <c r="B260" s="30" t="str">
        <f aca="false">IFERROR(edatum(datwert(Tilgungsrechner!C12),254),"")</f>
        <v/>
      </c>
      <c r="C260" s="31" t="str">
        <f aca="false">IF(F259&lt;=0,"",F259)</f>
        <v/>
      </c>
      <c r="D260" s="31" t="str">
        <f aca="false">IFERROR(IF(C260="","",ROUND(C260*Tilgungsrechner!C8/12,2)),"")</f>
        <v/>
      </c>
      <c r="E260" s="31" t="str">
        <f aca="false">IFERROR(IF(C260="","",MIN(ROUND(Tilgungsrechner!F7-D260,2),C260)),"")</f>
        <v/>
      </c>
      <c r="F260" s="31" t="str">
        <f aca="false">IFERROR(IF(C260="","",MAX(0, C260-E260-IF(MOD(A260,12)=0,Tilgungsrechner!C10,0))),"")</f>
        <v/>
      </c>
      <c r="G260" s="32" t="str">
        <f aca="false">IFERROR(IF(C260="","",IF(MOD(A260,12)=0,MIN(Tilgungsrechner!C10,MAX(0,C260-E260)),0)),"")</f>
        <v/>
      </c>
      <c r="H260" s="33" t="str">
        <f aca="false">IFERROR(IF(C260="","",aufround(A260/12,0)),"")</f>
        <v/>
      </c>
    </row>
    <row r="261" customFormat="false" ht="15.75" hidden="false" customHeight="true" outlineLevel="0" collapsed="false">
      <c r="A261" s="29" t="n">
        <v>256</v>
      </c>
      <c r="B261" s="30" t="str">
        <f aca="false">IFERROR(edatum(datwert(Tilgungsrechner!C12),255),"")</f>
        <v/>
      </c>
      <c r="C261" s="31" t="str">
        <f aca="false">IF(F260&lt;=0,"",F260)</f>
        <v/>
      </c>
      <c r="D261" s="31" t="str">
        <f aca="false">IFERROR(IF(C261="","",ROUND(C261*Tilgungsrechner!C8/12,2)),"")</f>
        <v/>
      </c>
      <c r="E261" s="31" t="str">
        <f aca="false">IFERROR(IF(C261="","",MIN(ROUND(Tilgungsrechner!F7-D261,2),C261)),"")</f>
        <v/>
      </c>
      <c r="F261" s="31" t="str">
        <f aca="false">IFERROR(IF(C261="","",MAX(0, C261-E261-IF(MOD(A261,12)=0,Tilgungsrechner!C10,0))),"")</f>
        <v/>
      </c>
      <c r="G261" s="32" t="str">
        <f aca="false">IFERROR(IF(C261="","",IF(MOD(A261,12)=0,MIN(Tilgungsrechner!C10,MAX(0,C261-E261)),0)),"")</f>
        <v/>
      </c>
      <c r="H261" s="33" t="str">
        <f aca="false">IFERROR(IF(C261="","",aufround(A261/12,0)),"")</f>
        <v/>
      </c>
    </row>
    <row r="262" customFormat="false" ht="15.75" hidden="false" customHeight="true" outlineLevel="0" collapsed="false">
      <c r="A262" s="29" t="n">
        <v>257</v>
      </c>
      <c r="B262" s="30" t="str">
        <f aca="false">IFERROR(edatum(datwert(Tilgungsrechner!C12),256),"")</f>
        <v/>
      </c>
      <c r="C262" s="31" t="str">
        <f aca="false">IF(F261&lt;=0,"",F261)</f>
        <v/>
      </c>
      <c r="D262" s="31" t="str">
        <f aca="false">IFERROR(IF(C262="","",ROUND(C262*Tilgungsrechner!C8/12,2)),"")</f>
        <v/>
      </c>
      <c r="E262" s="31" t="str">
        <f aca="false">IFERROR(IF(C262="","",MIN(ROUND(Tilgungsrechner!F7-D262,2),C262)),"")</f>
        <v/>
      </c>
      <c r="F262" s="31" t="str">
        <f aca="false">IFERROR(IF(C262="","",MAX(0, C262-E262-IF(MOD(A262,12)=0,Tilgungsrechner!C10,0))),"")</f>
        <v/>
      </c>
      <c r="G262" s="32" t="str">
        <f aca="false">IFERROR(IF(C262="","",IF(MOD(A262,12)=0,MIN(Tilgungsrechner!C10,MAX(0,C262-E262)),0)),"")</f>
        <v/>
      </c>
      <c r="H262" s="33" t="str">
        <f aca="false">IFERROR(IF(C262="","",aufround(A262/12,0)),"")</f>
        <v/>
      </c>
    </row>
    <row r="263" customFormat="false" ht="15.75" hidden="false" customHeight="true" outlineLevel="0" collapsed="false">
      <c r="A263" s="29" t="n">
        <v>258</v>
      </c>
      <c r="B263" s="30" t="str">
        <f aca="false">IFERROR(edatum(datwert(Tilgungsrechner!C12),257),"")</f>
        <v/>
      </c>
      <c r="C263" s="31" t="str">
        <f aca="false">IF(F262&lt;=0,"",F262)</f>
        <v/>
      </c>
      <c r="D263" s="31" t="str">
        <f aca="false">IFERROR(IF(C263="","",ROUND(C263*Tilgungsrechner!C8/12,2)),"")</f>
        <v/>
      </c>
      <c r="E263" s="31" t="str">
        <f aca="false">IFERROR(IF(C263="","",MIN(ROUND(Tilgungsrechner!F7-D263,2),C263)),"")</f>
        <v/>
      </c>
      <c r="F263" s="31" t="str">
        <f aca="false">IFERROR(IF(C263="","",MAX(0, C263-E263-IF(MOD(A263,12)=0,Tilgungsrechner!C10,0))),"")</f>
        <v/>
      </c>
      <c r="G263" s="32" t="str">
        <f aca="false">IFERROR(IF(C263="","",IF(MOD(A263,12)=0,MIN(Tilgungsrechner!C10,MAX(0,C263-E263)),0)),"")</f>
        <v/>
      </c>
      <c r="H263" s="33" t="str">
        <f aca="false">IFERROR(IF(C263="","",aufround(A263/12,0)),"")</f>
        <v/>
      </c>
    </row>
    <row r="264" customFormat="false" ht="15.75" hidden="false" customHeight="true" outlineLevel="0" collapsed="false">
      <c r="A264" s="29" t="n">
        <v>259</v>
      </c>
      <c r="B264" s="30" t="str">
        <f aca="false">IFERROR(edatum(datwert(Tilgungsrechner!C12),258),"")</f>
        <v/>
      </c>
      <c r="C264" s="31" t="str">
        <f aca="false">IF(F263&lt;=0,"",F263)</f>
        <v/>
      </c>
      <c r="D264" s="31" t="str">
        <f aca="false">IFERROR(IF(C264="","",ROUND(C264*Tilgungsrechner!C8/12,2)),"")</f>
        <v/>
      </c>
      <c r="E264" s="31" t="str">
        <f aca="false">IFERROR(IF(C264="","",MIN(ROUND(Tilgungsrechner!F7-D264,2),C264)),"")</f>
        <v/>
      </c>
      <c r="F264" s="31" t="str">
        <f aca="false">IFERROR(IF(C264="","",MAX(0, C264-E264-IF(MOD(A264,12)=0,Tilgungsrechner!C10,0))),"")</f>
        <v/>
      </c>
      <c r="G264" s="32" t="str">
        <f aca="false">IFERROR(IF(C264="","",IF(MOD(A264,12)=0,MIN(Tilgungsrechner!C10,MAX(0,C264-E264)),0)),"")</f>
        <v/>
      </c>
      <c r="H264" s="33" t="str">
        <f aca="false">IFERROR(IF(C264="","",aufround(A264/12,0)),"")</f>
        <v/>
      </c>
    </row>
    <row r="265" customFormat="false" ht="15.75" hidden="false" customHeight="true" outlineLevel="0" collapsed="false">
      <c r="A265" s="29" t="n">
        <v>260</v>
      </c>
      <c r="B265" s="30" t="str">
        <f aca="false">IFERROR(edatum(datwert(Tilgungsrechner!C12),259),"")</f>
        <v/>
      </c>
      <c r="C265" s="31" t="str">
        <f aca="false">IF(F264&lt;=0,"",F264)</f>
        <v/>
      </c>
      <c r="D265" s="31" t="str">
        <f aca="false">IFERROR(IF(C265="","",ROUND(C265*Tilgungsrechner!C8/12,2)),"")</f>
        <v/>
      </c>
      <c r="E265" s="31" t="str">
        <f aca="false">IFERROR(IF(C265="","",MIN(ROUND(Tilgungsrechner!F7-D265,2),C265)),"")</f>
        <v/>
      </c>
      <c r="F265" s="31" t="str">
        <f aca="false">IFERROR(IF(C265="","",MAX(0, C265-E265-IF(MOD(A265,12)=0,Tilgungsrechner!C10,0))),"")</f>
        <v/>
      </c>
      <c r="G265" s="32" t="str">
        <f aca="false">IFERROR(IF(C265="","",IF(MOD(A265,12)=0,MIN(Tilgungsrechner!C10,MAX(0,C265-E265)),0)),"")</f>
        <v/>
      </c>
      <c r="H265" s="33" t="str">
        <f aca="false">IFERROR(IF(C265="","",aufround(A265/12,0)),"")</f>
        <v/>
      </c>
    </row>
    <row r="266" customFormat="false" ht="15.75" hidden="false" customHeight="true" outlineLevel="0" collapsed="false">
      <c r="A266" s="29" t="n">
        <v>261</v>
      </c>
      <c r="B266" s="30" t="str">
        <f aca="false">IFERROR(edatum(datwert(Tilgungsrechner!C12),260),"")</f>
        <v/>
      </c>
      <c r="C266" s="31" t="str">
        <f aca="false">IF(F265&lt;=0,"",F265)</f>
        <v/>
      </c>
      <c r="D266" s="31" t="str">
        <f aca="false">IFERROR(IF(C266="","",ROUND(C266*Tilgungsrechner!C8/12,2)),"")</f>
        <v/>
      </c>
      <c r="E266" s="31" t="str">
        <f aca="false">IFERROR(IF(C266="","",MIN(ROUND(Tilgungsrechner!F7-D266,2),C266)),"")</f>
        <v/>
      </c>
      <c r="F266" s="31" t="str">
        <f aca="false">IFERROR(IF(C266="","",MAX(0, C266-E266-IF(MOD(A266,12)=0,Tilgungsrechner!C10,0))),"")</f>
        <v/>
      </c>
      <c r="G266" s="32" t="str">
        <f aca="false">IFERROR(IF(C266="","",IF(MOD(A266,12)=0,MIN(Tilgungsrechner!C10,MAX(0,C266-E266)),0)),"")</f>
        <v/>
      </c>
      <c r="H266" s="33" t="str">
        <f aca="false">IFERROR(IF(C266="","",aufround(A266/12,0)),"")</f>
        <v/>
      </c>
    </row>
    <row r="267" customFormat="false" ht="15.75" hidden="false" customHeight="true" outlineLevel="0" collapsed="false">
      <c r="A267" s="29" t="n">
        <v>262</v>
      </c>
      <c r="B267" s="30" t="str">
        <f aca="false">IFERROR(edatum(datwert(Tilgungsrechner!C12),261),"")</f>
        <v/>
      </c>
      <c r="C267" s="31" t="str">
        <f aca="false">IF(F266&lt;=0,"",F266)</f>
        <v/>
      </c>
      <c r="D267" s="31" t="str">
        <f aca="false">IFERROR(IF(C267="","",ROUND(C267*Tilgungsrechner!C8/12,2)),"")</f>
        <v/>
      </c>
      <c r="E267" s="31" t="str">
        <f aca="false">IFERROR(IF(C267="","",MIN(ROUND(Tilgungsrechner!F7-D267,2),C267)),"")</f>
        <v/>
      </c>
      <c r="F267" s="31" t="str">
        <f aca="false">IFERROR(IF(C267="","",MAX(0, C267-E267-IF(MOD(A267,12)=0,Tilgungsrechner!C10,0))),"")</f>
        <v/>
      </c>
      <c r="G267" s="32" t="str">
        <f aca="false">IFERROR(IF(C267="","",IF(MOD(A267,12)=0,MIN(Tilgungsrechner!C10,MAX(0,C267-E267)),0)),"")</f>
        <v/>
      </c>
      <c r="H267" s="33" t="str">
        <f aca="false">IFERROR(IF(C267="","",aufround(A267/12,0)),"")</f>
        <v/>
      </c>
    </row>
    <row r="268" customFormat="false" ht="15.75" hidden="false" customHeight="true" outlineLevel="0" collapsed="false">
      <c r="A268" s="29" t="n">
        <v>263</v>
      </c>
      <c r="B268" s="30" t="str">
        <f aca="false">IFERROR(edatum(datwert(Tilgungsrechner!C12),262),"")</f>
        <v/>
      </c>
      <c r="C268" s="31" t="str">
        <f aca="false">IF(F267&lt;=0,"",F267)</f>
        <v/>
      </c>
      <c r="D268" s="31" t="str">
        <f aca="false">IFERROR(IF(C268="","",ROUND(C268*Tilgungsrechner!C8/12,2)),"")</f>
        <v/>
      </c>
      <c r="E268" s="31" t="str">
        <f aca="false">IFERROR(IF(C268="","",MIN(ROUND(Tilgungsrechner!F7-D268,2),C268)),"")</f>
        <v/>
      </c>
      <c r="F268" s="31" t="str">
        <f aca="false">IFERROR(IF(C268="","",MAX(0, C268-E268-IF(MOD(A268,12)=0,Tilgungsrechner!C10,0))),"")</f>
        <v/>
      </c>
      <c r="G268" s="32" t="str">
        <f aca="false">IFERROR(IF(C268="","",IF(MOD(A268,12)=0,MIN(Tilgungsrechner!C10,MAX(0,C268-E268)),0)),"")</f>
        <v/>
      </c>
      <c r="H268" s="33" t="str">
        <f aca="false">IFERROR(IF(C268="","",aufround(A268/12,0)),"")</f>
        <v/>
      </c>
    </row>
    <row r="269" customFormat="false" ht="15.75" hidden="false" customHeight="true" outlineLevel="0" collapsed="false">
      <c r="A269" s="29" t="n">
        <v>264</v>
      </c>
      <c r="B269" s="30" t="str">
        <f aca="false">IFERROR(edatum(datwert(Tilgungsrechner!C12),263),"")</f>
        <v/>
      </c>
      <c r="C269" s="31" t="str">
        <f aca="false">IF(F268&lt;=0,"",F268)</f>
        <v/>
      </c>
      <c r="D269" s="31" t="str">
        <f aca="false">IFERROR(IF(C269="","",ROUND(C269*Tilgungsrechner!C8/12,2)),"")</f>
        <v/>
      </c>
      <c r="E269" s="31" t="str">
        <f aca="false">IFERROR(IF(C269="","",MIN(ROUND(Tilgungsrechner!F7-D269,2),C269)),"")</f>
        <v/>
      </c>
      <c r="F269" s="31" t="str">
        <f aca="false">IFERROR(IF(C269="","",MAX(0, C269-E269-IF(MOD(A269,12)=0,Tilgungsrechner!C10,0))),"")</f>
        <v/>
      </c>
      <c r="G269" s="32" t="str">
        <f aca="false">IFERROR(IF(C269="","",IF(MOD(A269,12)=0,MIN(Tilgungsrechner!C10,MAX(0,C269-E269)),0)),"")</f>
        <v/>
      </c>
      <c r="H269" s="33" t="str">
        <f aca="false">IFERROR(IF(C269="","",aufround(A269/12,0)),"")</f>
        <v/>
      </c>
    </row>
    <row r="270" customFormat="false" ht="15.75" hidden="false" customHeight="true" outlineLevel="0" collapsed="false">
      <c r="A270" s="29" t="n">
        <v>265</v>
      </c>
      <c r="B270" s="30" t="str">
        <f aca="false">IFERROR(edatum(datwert(Tilgungsrechner!C12),264),"")</f>
        <v/>
      </c>
      <c r="C270" s="31" t="str">
        <f aca="false">IF(F269&lt;=0,"",F269)</f>
        <v/>
      </c>
      <c r="D270" s="31" t="str">
        <f aca="false">IFERROR(IF(C270="","",ROUND(C270*Tilgungsrechner!C8/12,2)),"")</f>
        <v/>
      </c>
      <c r="E270" s="31" t="str">
        <f aca="false">IFERROR(IF(C270="","",MIN(ROUND(Tilgungsrechner!F7-D270,2),C270)),"")</f>
        <v/>
      </c>
      <c r="F270" s="31" t="str">
        <f aca="false">IFERROR(IF(C270="","",MAX(0, C270-E270-IF(MOD(A270,12)=0,Tilgungsrechner!C10,0))),"")</f>
        <v/>
      </c>
      <c r="G270" s="32" t="str">
        <f aca="false">IFERROR(IF(C270="","",IF(MOD(A270,12)=0,MIN(Tilgungsrechner!C10,MAX(0,C270-E270)),0)),"")</f>
        <v/>
      </c>
      <c r="H270" s="33" t="str">
        <f aca="false">IFERROR(IF(C270="","",aufround(A270/12,0)),"")</f>
        <v/>
      </c>
    </row>
    <row r="271" customFormat="false" ht="15.75" hidden="false" customHeight="true" outlineLevel="0" collapsed="false">
      <c r="A271" s="29" t="n">
        <v>266</v>
      </c>
      <c r="B271" s="30" t="str">
        <f aca="false">IFERROR(edatum(datwert(Tilgungsrechner!C12),265),"")</f>
        <v/>
      </c>
      <c r="C271" s="31" t="str">
        <f aca="false">IF(F270&lt;=0,"",F270)</f>
        <v/>
      </c>
      <c r="D271" s="31" t="str">
        <f aca="false">IFERROR(IF(C271="","",ROUND(C271*Tilgungsrechner!C8/12,2)),"")</f>
        <v/>
      </c>
      <c r="E271" s="31" t="str">
        <f aca="false">IFERROR(IF(C271="","",MIN(ROUND(Tilgungsrechner!F7-D271,2),C271)),"")</f>
        <v/>
      </c>
      <c r="F271" s="31" t="str">
        <f aca="false">IFERROR(IF(C271="","",MAX(0, C271-E271-IF(MOD(A271,12)=0,Tilgungsrechner!C10,0))),"")</f>
        <v/>
      </c>
      <c r="G271" s="32" t="str">
        <f aca="false">IFERROR(IF(C271="","",IF(MOD(A271,12)=0,MIN(Tilgungsrechner!C10,MAX(0,C271-E271)),0)),"")</f>
        <v/>
      </c>
      <c r="H271" s="33" t="str">
        <f aca="false">IFERROR(IF(C271="","",aufround(A271/12,0)),"")</f>
        <v/>
      </c>
    </row>
    <row r="272" customFormat="false" ht="15.75" hidden="false" customHeight="true" outlineLevel="0" collapsed="false">
      <c r="A272" s="29" t="n">
        <v>267</v>
      </c>
      <c r="B272" s="30" t="str">
        <f aca="false">IFERROR(edatum(datwert(Tilgungsrechner!C12),266),"")</f>
        <v/>
      </c>
      <c r="C272" s="31" t="str">
        <f aca="false">IF(F271&lt;=0,"",F271)</f>
        <v/>
      </c>
      <c r="D272" s="31" t="str">
        <f aca="false">IFERROR(IF(C272="","",ROUND(C272*Tilgungsrechner!C8/12,2)),"")</f>
        <v/>
      </c>
      <c r="E272" s="31" t="str">
        <f aca="false">IFERROR(IF(C272="","",MIN(ROUND(Tilgungsrechner!F7-D272,2),C272)),"")</f>
        <v/>
      </c>
      <c r="F272" s="31" t="str">
        <f aca="false">IFERROR(IF(C272="","",MAX(0, C272-E272-IF(MOD(A272,12)=0,Tilgungsrechner!C10,0))),"")</f>
        <v/>
      </c>
      <c r="G272" s="32" t="str">
        <f aca="false">IFERROR(IF(C272="","",IF(MOD(A272,12)=0,MIN(Tilgungsrechner!C10,MAX(0,C272-E272)),0)),"")</f>
        <v/>
      </c>
      <c r="H272" s="33" t="str">
        <f aca="false">IFERROR(IF(C272="","",aufround(A272/12,0)),"")</f>
        <v/>
      </c>
    </row>
    <row r="273" customFormat="false" ht="15.75" hidden="false" customHeight="true" outlineLevel="0" collapsed="false">
      <c r="A273" s="29" t="n">
        <v>268</v>
      </c>
      <c r="B273" s="30" t="str">
        <f aca="false">IFERROR(edatum(datwert(Tilgungsrechner!C12),267),"")</f>
        <v/>
      </c>
      <c r="C273" s="31" t="str">
        <f aca="false">IF(F272&lt;=0,"",F272)</f>
        <v/>
      </c>
      <c r="D273" s="31" t="str">
        <f aca="false">IFERROR(IF(C273="","",ROUND(C273*Tilgungsrechner!C8/12,2)),"")</f>
        <v/>
      </c>
      <c r="E273" s="31" t="str">
        <f aca="false">IFERROR(IF(C273="","",MIN(ROUND(Tilgungsrechner!F7-D273,2),C273)),"")</f>
        <v/>
      </c>
      <c r="F273" s="31" t="str">
        <f aca="false">IFERROR(IF(C273="","",MAX(0, C273-E273-IF(MOD(A273,12)=0,Tilgungsrechner!C10,0))),"")</f>
        <v/>
      </c>
      <c r="G273" s="32" t="str">
        <f aca="false">IFERROR(IF(C273="","",IF(MOD(A273,12)=0,MIN(Tilgungsrechner!C10,MAX(0,C273-E273)),0)),"")</f>
        <v/>
      </c>
      <c r="H273" s="33" t="str">
        <f aca="false">IFERROR(IF(C273="","",aufround(A273/12,0)),"")</f>
        <v/>
      </c>
    </row>
    <row r="274" customFormat="false" ht="15.75" hidden="false" customHeight="true" outlineLevel="0" collapsed="false">
      <c r="A274" s="29" t="n">
        <v>269</v>
      </c>
      <c r="B274" s="30" t="str">
        <f aca="false">IFERROR(edatum(datwert(Tilgungsrechner!C12),268),"")</f>
        <v/>
      </c>
      <c r="C274" s="31" t="str">
        <f aca="false">IF(F273&lt;=0,"",F273)</f>
        <v/>
      </c>
      <c r="D274" s="31" t="str">
        <f aca="false">IFERROR(IF(C274="","",ROUND(C274*Tilgungsrechner!C8/12,2)),"")</f>
        <v/>
      </c>
      <c r="E274" s="31" t="str">
        <f aca="false">IFERROR(IF(C274="","",MIN(ROUND(Tilgungsrechner!F7-D274,2),C274)),"")</f>
        <v/>
      </c>
      <c r="F274" s="31" t="str">
        <f aca="false">IFERROR(IF(C274="","",MAX(0, C274-E274-IF(MOD(A274,12)=0,Tilgungsrechner!C10,0))),"")</f>
        <v/>
      </c>
      <c r="G274" s="32" t="str">
        <f aca="false">IFERROR(IF(C274="","",IF(MOD(A274,12)=0,MIN(Tilgungsrechner!C10,MAX(0,C274-E274)),0)),"")</f>
        <v/>
      </c>
      <c r="H274" s="33" t="str">
        <f aca="false">IFERROR(IF(C274="","",aufround(A274/12,0)),"")</f>
        <v/>
      </c>
    </row>
    <row r="275" customFormat="false" ht="15.75" hidden="false" customHeight="true" outlineLevel="0" collapsed="false">
      <c r="A275" s="29" t="n">
        <v>270</v>
      </c>
      <c r="B275" s="30" t="str">
        <f aca="false">IFERROR(edatum(datwert(Tilgungsrechner!C12),269),"")</f>
        <v/>
      </c>
      <c r="C275" s="31" t="str">
        <f aca="false">IF(F274&lt;=0,"",F274)</f>
        <v/>
      </c>
      <c r="D275" s="31" t="str">
        <f aca="false">IFERROR(IF(C275="","",ROUND(C275*Tilgungsrechner!C8/12,2)),"")</f>
        <v/>
      </c>
      <c r="E275" s="31" t="str">
        <f aca="false">IFERROR(IF(C275="","",MIN(ROUND(Tilgungsrechner!F7-D275,2),C275)),"")</f>
        <v/>
      </c>
      <c r="F275" s="31" t="str">
        <f aca="false">IFERROR(IF(C275="","",MAX(0, C275-E275-IF(MOD(A275,12)=0,Tilgungsrechner!C10,0))),"")</f>
        <v/>
      </c>
      <c r="G275" s="32" t="str">
        <f aca="false">IFERROR(IF(C275="","",IF(MOD(A275,12)=0,MIN(Tilgungsrechner!C10,MAX(0,C275-E275)),0)),"")</f>
        <v/>
      </c>
      <c r="H275" s="33" t="str">
        <f aca="false">IFERROR(IF(C275="","",aufround(A275/12,0)),"")</f>
        <v/>
      </c>
    </row>
    <row r="276" customFormat="false" ht="15.75" hidden="false" customHeight="true" outlineLevel="0" collapsed="false">
      <c r="A276" s="29" t="n">
        <v>271</v>
      </c>
      <c r="B276" s="30" t="str">
        <f aca="false">IFERROR(edatum(datwert(Tilgungsrechner!C12),270),"")</f>
        <v/>
      </c>
      <c r="C276" s="31" t="str">
        <f aca="false">IF(F275&lt;=0,"",F275)</f>
        <v/>
      </c>
      <c r="D276" s="31" t="str">
        <f aca="false">IFERROR(IF(C276="","",ROUND(C276*Tilgungsrechner!C8/12,2)),"")</f>
        <v/>
      </c>
      <c r="E276" s="31" t="str">
        <f aca="false">IFERROR(IF(C276="","",MIN(ROUND(Tilgungsrechner!F7-D276,2),C276)),"")</f>
        <v/>
      </c>
      <c r="F276" s="31" t="str">
        <f aca="false">IFERROR(IF(C276="","",MAX(0, C276-E276-IF(MOD(A276,12)=0,Tilgungsrechner!C10,0))),"")</f>
        <v/>
      </c>
      <c r="G276" s="32" t="str">
        <f aca="false">IFERROR(IF(C276="","",IF(MOD(A276,12)=0,MIN(Tilgungsrechner!C10,MAX(0,C276-E276)),0)),"")</f>
        <v/>
      </c>
      <c r="H276" s="33" t="str">
        <f aca="false">IFERROR(IF(C276="","",aufround(A276/12,0)),"")</f>
        <v/>
      </c>
    </row>
    <row r="277" customFormat="false" ht="15.75" hidden="false" customHeight="true" outlineLevel="0" collapsed="false">
      <c r="A277" s="29" t="n">
        <v>272</v>
      </c>
      <c r="B277" s="30" t="str">
        <f aca="false">IFERROR(edatum(datwert(Tilgungsrechner!C12),271),"")</f>
        <v/>
      </c>
      <c r="C277" s="31" t="str">
        <f aca="false">IF(F276&lt;=0,"",F276)</f>
        <v/>
      </c>
      <c r="D277" s="31" t="str">
        <f aca="false">IFERROR(IF(C277="","",ROUND(C277*Tilgungsrechner!C8/12,2)),"")</f>
        <v/>
      </c>
      <c r="E277" s="31" t="str">
        <f aca="false">IFERROR(IF(C277="","",MIN(ROUND(Tilgungsrechner!F7-D277,2),C277)),"")</f>
        <v/>
      </c>
      <c r="F277" s="31" t="str">
        <f aca="false">IFERROR(IF(C277="","",MAX(0, C277-E277-IF(MOD(A277,12)=0,Tilgungsrechner!C10,0))),"")</f>
        <v/>
      </c>
      <c r="G277" s="32" t="str">
        <f aca="false">IFERROR(IF(C277="","",IF(MOD(A277,12)=0,MIN(Tilgungsrechner!C10,MAX(0,C277-E277)),0)),"")</f>
        <v/>
      </c>
      <c r="H277" s="33" t="str">
        <f aca="false">IFERROR(IF(C277="","",aufround(A277/12,0)),"")</f>
        <v/>
      </c>
    </row>
    <row r="278" customFormat="false" ht="15.75" hidden="false" customHeight="true" outlineLevel="0" collapsed="false">
      <c r="A278" s="29" t="n">
        <v>273</v>
      </c>
      <c r="B278" s="30" t="str">
        <f aca="false">IFERROR(edatum(datwert(Tilgungsrechner!C12),272),"")</f>
        <v/>
      </c>
      <c r="C278" s="31" t="str">
        <f aca="false">IF(F277&lt;=0,"",F277)</f>
        <v/>
      </c>
      <c r="D278" s="31" t="str">
        <f aca="false">IFERROR(IF(C278="","",ROUND(C278*Tilgungsrechner!C8/12,2)),"")</f>
        <v/>
      </c>
      <c r="E278" s="31" t="str">
        <f aca="false">IFERROR(IF(C278="","",MIN(ROUND(Tilgungsrechner!F7-D278,2),C278)),"")</f>
        <v/>
      </c>
      <c r="F278" s="31" t="str">
        <f aca="false">IFERROR(IF(C278="","",MAX(0, C278-E278-IF(MOD(A278,12)=0,Tilgungsrechner!C10,0))),"")</f>
        <v/>
      </c>
      <c r="G278" s="32" t="str">
        <f aca="false">IFERROR(IF(C278="","",IF(MOD(A278,12)=0,MIN(Tilgungsrechner!C10,MAX(0,C278-E278)),0)),"")</f>
        <v/>
      </c>
      <c r="H278" s="33" t="str">
        <f aca="false">IFERROR(IF(C278="","",aufround(A278/12,0)),"")</f>
        <v/>
      </c>
    </row>
    <row r="279" customFormat="false" ht="15.75" hidden="false" customHeight="true" outlineLevel="0" collapsed="false">
      <c r="A279" s="29" t="n">
        <v>274</v>
      </c>
      <c r="B279" s="30" t="str">
        <f aca="false">IFERROR(edatum(datwert(Tilgungsrechner!C12),273),"")</f>
        <v/>
      </c>
      <c r="C279" s="31" t="str">
        <f aca="false">IF(F278&lt;=0,"",F278)</f>
        <v/>
      </c>
      <c r="D279" s="31" t="str">
        <f aca="false">IFERROR(IF(C279="","",ROUND(C279*Tilgungsrechner!C8/12,2)),"")</f>
        <v/>
      </c>
      <c r="E279" s="31" t="str">
        <f aca="false">IFERROR(IF(C279="","",MIN(ROUND(Tilgungsrechner!F7-D279,2),C279)),"")</f>
        <v/>
      </c>
      <c r="F279" s="31" t="str">
        <f aca="false">IFERROR(IF(C279="","",MAX(0, C279-E279-IF(MOD(A279,12)=0,Tilgungsrechner!C10,0))),"")</f>
        <v/>
      </c>
      <c r="G279" s="32" t="str">
        <f aca="false">IFERROR(IF(C279="","",IF(MOD(A279,12)=0,MIN(Tilgungsrechner!C10,MAX(0,C279-E279)),0)),"")</f>
        <v/>
      </c>
      <c r="H279" s="33" t="str">
        <f aca="false">IFERROR(IF(C279="","",aufround(A279/12,0)),"")</f>
        <v/>
      </c>
    </row>
    <row r="280" customFormat="false" ht="15.75" hidden="false" customHeight="true" outlineLevel="0" collapsed="false">
      <c r="A280" s="29" t="n">
        <v>275</v>
      </c>
      <c r="B280" s="30" t="str">
        <f aca="false">IFERROR(edatum(datwert(Tilgungsrechner!C12),274),"")</f>
        <v/>
      </c>
      <c r="C280" s="31" t="str">
        <f aca="false">IF(F279&lt;=0,"",F279)</f>
        <v/>
      </c>
      <c r="D280" s="31" t="str">
        <f aca="false">IFERROR(IF(C280="","",ROUND(C280*Tilgungsrechner!C8/12,2)),"")</f>
        <v/>
      </c>
      <c r="E280" s="31" t="str">
        <f aca="false">IFERROR(IF(C280="","",MIN(ROUND(Tilgungsrechner!F7-D280,2),C280)),"")</f>
        <v/>
      </c>
      <c r="F280" s="31" t="str">
        <f aca="false">IFERROR(IF(C280="","",MAX(0, C280-E280-IF(MOD(A280,12)=0,Tilgungsrechner!C10,0))),"")</f>
        <v/>
      </c>
      <c r="G280" s="32" t="str">
        <f aca="false">IFERROR(IF(C280="","",IF(MOD(A280,12)=0,MIN(Tilgungsrechner!C10,MAX(0,C280-E280)),0)),"")</f>
        <v/>
      </c>
      <c r="H280" s="33" t="str">
        <f aca="false">IFERROR(IF(C280="","",aufround(A280/12,0)),"")</f>
        <v/>
      </c>
    </row>
    <row r="281" customFormat="false" ht="15.75" hidden="false" customHeight="true" outlineLevel="0" collapsed="false">
      <c r="A281" s="29" t="n">
        <v>276</v>
      </c>
      <c r="B281" s="30" t="str">
        <f aca="false">IFERROR(edatum(datwert(Tilgungsrechner!C12),275),"")</f>
        <v/>
      </c>
      <c r="C281" s="31" t="str">
        <f aca="false">IF(F280&lt;=0,"",F280)</f>
        <v/>
      </c>
      <c r="D281" s="31" t="str">
        <f aca="false">IFERROR(IF(C281="","",ROUND(C281*Tilgungsrechner!C8/12,2)),"")</f>
        <v/>
      </c>
      <c r="E281" s="31" t="str">
        <f aca="false">IFERROR(IF(C281="","",MIN(ROUND(Tilgungsrechner!F7-D281,2),C281)),"")</f>
        <v/>
      </c>
      <c r="F281" s="31" t="str">
        <f aca="false">IFERROR(IF(C281="","",MAX(0, C281-E281-IF(MOD(A281,12)=0,Tilgungsrechner!C10,0))),"")</f>
        <v/>
      </c>
      <c r="G281" s="32" t="str">
        <f aca="false">IFERROR(IF(C281="","",IF(MOD(A281,12)=0,MIN(Tilgungsrechner!C10,MAX(0,C281-E281)),0)),"")</f>
        <v/>
      </c>
      <c r="H281" s="33" t="str">
        <f aca="false">IFERROR(IF(C281="","",aufround(A281/12,0)),"")</f>
        <v/>
      </c>
    </row>
    <row r="282" customFormat="false" ht="15.75" hidden="false" customHeight="true" outlineLevel="0" collapsed="false">
      <c r="A282" s="29" t="n">
        <v>277</v>
      </c>
      <c r="B282" s="30" t="str">
        <f aca="false">IFERROR(edatum(datwert(Tilgungsrechner!C12),276),"")</f>
        <v/>
      </c>
      <c r="C282" s="31" t="str">
        <f aca="false">IF(F281&lt;=0,"",F281)</f>
        <v/>
      </c>
      <c r="D282" s="31" t="str">
        <f aca="false">IFERROR(IF(C282="","",ROUND(C282*Tilgungsrechner!C8/12,2)),"")</f>
        <v/>
      </c>
      <c r="E282" s="31" t="str">
        <f aca="false">IFERROR(IF(C282="","",MIN(ROUND(Tilgungsrechner!F7-D282,2),C282)),"")</f>
        <v/>
      </c>
      <c r="F282" s="31" t="str">
        <f aca="false">IFERROR(IF(C282="","",MAX(0, C282-E282-IF(MOD(A282,12)=0,Tilgungsrechner!C10,0))),"")</f>
        <v/>
      </c>
      <c r="G282" s="32" t="str">
        <f aca="false">IFERROR(IF(C282="","",IF(MOD(A282,12)=0,MIN(Tilgungsrechner!C10,MAX(0,C282-E282)),0)),"")</f>
        <v/>
      </c>
      <c r="H282" s="33" t="str">
        <f aca="false">IFERROR(IF(C282="","",aufround(A282/12,0)),"")</f>
        <v/>
      </c>
    </row>
    <row r="283" customFormat="false" ht="15.75" hidden="false" customHeight="true" outlineLevel="0" collapsed="false">
      <c r="A283" s="29" t="n">
        <v>278</v>
      </c>
      <c r="B283" s="30" t="str">
        <f aca="false">IFERROR(edatum(datwert(Tilgungsrechner!C12),277),"")</f>
        <v/>
      </c>
      <c r="C283" s="31" t="str">
        <f aca="false">IF(F282&lt;=0,"",F282)</f>
        <v/>
      </c>
      <c r="D283" s="31" t="str">
        <f aca="false">IFERROR(IF(C283="","",ROUND(C283*Tilgungsrechner!C8/12,2)),"")</f>
        <v/>
      </c>
      <c r="E283" s="31" t="str">
        <f aca="false">IFERROR(IF(C283="","",MIN(ROUND(Tilgungsrechner!F7-D283,2),C283)),"")</f>
        <v/>
      </c>
      <c r="F283" s="31" t="str">
        <f aca="false">IFERROR(IF(C283="","",MAX(0, C283-E283-IF(MOD(A283,12)=0,Tilgungsrechner!C10,0))),"")</f>
        <v/>
      </c>
      <c r="G283" s="32" t="str">
        <f aca="false">IFERROR(IF(C283="","",IF(MOD(A283,12)=0,MIN(Tilgungsrechner!C10,MAX(0,C283-E283)),0)),"")</f>
        <v/>
      </c>
      <c r="H283" s="33" t="str">
        <f aca="false">IFERROR(IF(C283="","",aufround(A283/12,0)),"")</f>
        <v/>
      </c>
    </row>
    <row r="284" customFormat="false" ht="15.75" hidden="false" customHeight="true" outlineLevel="0" collapsed="false">
      <c r="A284" s="29" t="n">
        <v>279</v>
      </c>
      <c r="B284" s="30" t="str">
        <f aca="false">IFERROR(edatum(datwert(Tilgungsrechner!C12),278),"")</f>
        <v/>
      </c>
      <c r="C284" s="31" t="str">
        <f aca="false">IF(F283&lt;=0,"",F283)</f>
        <v/>
      </c>
      <c r="D284" s="31" t="str">
        <f aca="false">IFERROR(IF(C284="","",ROUND(C284*Tilgungsrechner!C8/12,2)),"")</f>
        <v/>
      </c>
      <c r="E284" s="31" t="str">
        <f aca="false">IFERROR(IF(C284="","",MIN(ROUND(Tilgungsrechner!F7-D284,2),C284)),"")</f>
        <v/>
      </c>
      <c r="F284" s="31" t="str">
        <f aca="false">IFERROR(IF(C284="","",MAX(0, C284-E284-IF(MOD(A284,12)=0,Tilgungsrechner!C10,0))),"")</f>
        <v/>
      </c>
      <c r="G284" s="32" t="str">
        <f aca="false">IFERROR(IF(C284="","",IF(MOD(A284,12)=0,MIN(Tilgungsrechner!C10,MAX(0,C284-E284)),0)),"")</f>
        <v/>
      </c>
      <c r="H284" s="33" t="str">
        <f aca="false">IFERROR(IF(C284="","",aufround(A284/12,0)),"")</f>
        <v/>
      </c>
    </row>
    <row r="285" customFormat="false" ht="15.75" hidden="false" customHeight="true" outlineLevel="0" collapsed="false">
      <c r="A285" s="29" t="n">
        <v>280</v>
      </c>
      <c r="B285" s="30" t="str">
        <f aca="false">IFERROR(edatum(datwert(Tilgungsrechner!C12),279),"")</f>
        <v/>
      </c>
      <c r="C285" s="31" t="str">
        <f aca="false">IF(F284&lt;=0,"",F284)</f>
        <v/>
      </c>
      <c r="D285" s="31" t="str">
        <f aca="false">IFERROR(IF(C285="","",ROUND(C285*Tilgungsrechner!C8/12,2)),"")</f>
        <v/>
      </c>
      <c r="E285" s="31" t="str">
        <f aca="false">IFERROR(IF(C285="","",MIN(ROUND(Tilgungsrechner!F7-D285,2),C285)),"")</f>
        <v/>
      </c>
      <c r="F285" s="31" t="str">
        <f aca="false">IFERROR(IF(C285="","",MAX(0, C285-E285-IF(MOD(A285,12)=0,Tilgungsrechner!C10,0))),"")</f>
        <v/>
      </c>
      <c r="G285" s="32" t="str">
        <f aca="false">IFERROR(IF(C285="","",IF(MOD(A285,12)=0,MIN(Tilgungsrechner!C10,MAX(0,C285-E285)),0)),"")</f>
        <v/>
      </c>
      <c r="H285" s="33" t="str">
        <f aca="false">IFERROR(IF(C285="","",aufround(A285/12,0)),"")</f>
        <v/>
      </c>
    </row>
    <row r="286" customFormat="false" ht="15.75" hidden="false" customHeight="true" outlineLevel="0" collapsed="false">
      <c r="A286" s="29" t="n">
        <v>281</v>
      </c>
      <c r="B286" s="30" t="str">
        <f aca="false">IFERROR(edatum(datwert(Tilgungsrechner!C12),280),"")</f>
        <v/>
      </c>
      <c r="C286" s="31" t="str">
        <f aca="false">IF(F285&lt;=0,"",F285)</f>
        <v/>
      </c>
      <c r="D286" s="31" t="str">
        <f aca="false">IFERROR(IF(C286="","",ROUND(C286*Tilgungsrechner!C8/12,2)),"")</f>
        <v/>
      </c>
      <c r="E286" s="31" t="str">
        <f aca="false">IFERROR(IF(C286="","",MIN(ROUND(Tilgungsrechner!F7-D286,2),C286)),"")</f>
        <v/>
      </c>
      <c r="F286" s="31" t="str">
        <f aca="false">IFERROR(IF(C286="","",MAX(0, C286-E286-IF(MOD(A286,12)=0,Tilgungsrechner!C10,0))),"")</f>
        <v/>
      </c>
      <c r="G286" s="32" t="str">
        <f aca="false">IFERROR(IF(C286="","",IF(MOD(A286,12)=0,MIN(Tilgungsrechner!C10,MAX(0,C286-E286)),0)),"")</f>
        <v/>
      </c>
      <c r="H286" s="33" t="str">
        <f aca="false">IFERROR(IF(C286="","",aufround(A286/12,0)),"")</f>
        <v/>
      </c>
    </row>
    <row r="287" customFormat="false" ht="15.75" hidden="false" customHeight="true" outlineLevel="0" collapsed="false">
      <c r="A287" s="29" t="n">
        <v>282</v>
      </c>
      <c r="B287" s="30" t="str">
        <f aca="false">IFERROR(edatum(datwert(Tilgungsrechner!C12),281),"")</f>
        <v/>
      </c>
      <c r="C287" s="31" t="str">
        <f aca="false">IF(F286&lt;=0,"",F286)</f>
        <v/>
      </c>
      <c r="D287" s="31" t="str">
        <f aca="false">IFERROR(IF(C287="","",ROUND(C287*Tilgungsrechner!C8/12,2)),"")</f>
        <v/>
      </c>
      <c r="E287" s="31" t="str">
        <f aca="false">IFERROR(IF(C287="","",MIN(ROUND(Tilgungsrechner!F7-D287,2),C287)),"")</f>
        <v/>
      </c>
      <c r="F287" s="31" t="str">
        <f aca="false">IFERROR(IF(C287="","",MAX(0, C287-E287-IF(MOD(A287,12)=0,Tilgungsrechner!C10,0))),"")</f>
        <v/>
      </c>
      <c r="G287" s="32" t="str">
        <f aca="false">IFERROR(IF(C287="","",IF(MOD(A287,12)=0,MIN(Tilgungsrechner!C10,MAX(0,C287-E287)),0)),"")</f>
        <v/>
      </c>
      <c r="H287" s="33" t="str">
        <f aca="false">IFERROR(IF(C287="","",aufround(A287/12,0)),"")</f>
        <v/>
      </c>
    </row>
    <row r="288" customFormat="false" ht="15.75" hidden="false" customHeight="true" outlineLevel="0" collapsed="false">
      <c r="A288" s="29" t="n">
        <v>283</v>
      </c>
      <c r="B288" s="30" t="str">
        <f aca="false">IFERROR(edatum(datwert(Tilgungsrechner!C12),282),"")</f>
        <v/>
      </c>
      <c r="C288" s="31" t="str">
        <f aca="false">IF(F287&lt;=0,"",F287)</f>
        <v/>
      </c>
      <c r="D288" s="31" t="str">
        <f aca="false">IFERROR(IF(C288="","",ROUND(C288*Tilgungsrechner!C8/12,2)),"")</f>
        <v/>
      </c>
      <c r="E288" s="31" t="str">
        <f aca="false">IFERROR(IF(C288="","",MIN(ROUND(Tilgungsrechner!F7-D288,2),C288)),"")</f>
        <v/>
      </c>
      <c r="F288" s="31" t="str">
        <f aca="false">IFERROR(IF(C288="","",MAX(0, C288-E288-IF(MOD(A288,12)=0,Tilgungsrechner!C10,0))),"")</f>
        <v/>
      </c>
      <c r="G288" s="32" t="str">
        <f aca="false">IFERROR(IF(C288="","",IF(MOD(A288,12)=0,MIN(Tilgungsrechner!C10,MAX(0,C288-E288)),0)),"")</f>
        <v/>
      </c>
      <c r="H288" s="33" t="str">
        <f aca="false">IFERROR(IF(C288="","",aufround(A288/12,0)),"")</f>
        <v/>
      </c>
    </row>
    <row r="289" customFormat="false" ht="15.75" hidden="false" customHeight="true" outlineLevel="0" collapsed="false">
      <c r="A289" s="29" t="n">
        <v>284</v>
      </c>
      <c r="B289" s="30" t="str">
        <f aca="false">IFERROR(edatum(datwert(Tilgungsrechner!C12),283),"")</f>
        <v/>
      </c>
      <c r="C289" s="31" t="str">
        <f aca="false">IF(F288&lt;=0,"",F288)</f>
        <v/>
      </c>
      <c r="D289" s="31" t="str">
        <f aca="false">IFERROR(IF(C289="","",ROUND(C289*Tilgungsrechner!C8/12,2)),"")</f>
        <v/>
      </c>
      <c r="E289" s="31" t="str">
        <f aca="false">IFERROR(IF(C289="","",MIN(ROUND(Tilgungsrechner!F7-D289,2),C289)),"")</f>
        <v/>
      </c>
      <c r="F289" s="31" t="str">
        <f aca="false">IFERROR(IF(C289="","",MAX(0, C289-E289-IF(MOD(A289,12)=0,Tilgungsrechner!C10,0))),"")</f>
        <v/>
      </c>
      <c r="G289" s="32" t="str">
        <f aca="false">IFERROR(IF(C289="","",IF(MOD(A289,12)=0,MIN(Tilgungsrechner!C10,MAX(0,C289-E289)),0)),"")</f>
        <v/>
      </c>
      <c r="H289" s="33" t="str">
        <f aca="false">IFERROR(IF(C289="","",aufround(A289/12,0)),"")</f>
        <v/>
      </c>
    </row>
    <row r="290" customFormat="false" ht="15.75" hidden="false" customHeight="true" outlineLevel="0" collapsed="false">
      <c r="A290" s="29" t="n">
        <v>285</v>
      </c>
      <c r="B290" s="30" t="str">
        <f aca="false">IFERROR(edatum(datwert(Tilgungsrechner!C12),284),"")</f>
        <v/>
      </c>
      <c r="C290" s="31" t="str">
        <f aca="false">IF(F289&lt;=0,"",F289)</f>
        <v/>
      </c>
      <c r="D290" s="31" t="str">
        <f aca="false">IFERROR(IF(C290="","",ROUND(C290*Tilgungsrechner!C8/12,2)),"")</f>
        <v/>
      </c>
      <c r="E290" s="31" t="str">
        <f aca="false">IFERROR(IF(C290="","",MIN(ROUND(Tilgungsrechner!F7-D290,2),C290)),"")</f>
        <v/>
      </c>
      <c r="F290" s="31" t="str">
        <f aca="false">IFERROR(IF(C290="","",MAX(0, C290-E290-IF(MOD(A290,12)=0,Tilgungsrechner!C10,0))),"")</f>
        <v/>
      </c>
      <c r="G290" s="32" t="str">
        <f aca="false">IFERROR(IF(C290="","",IF(MOD(A290,12)=0,MIN(Tilgungsrechner!C10,MAX(0,C290-E290)),0)),"")</f>
        <v/>
      </c>
      <c r="H290" s="33" t="str">
        <f aca="false">IFERROR(IF(C290="","",aufround(A290/12,0)),"")</f>
        <v/>
      </c>
    </row>
    <row r="291" customFormat="false" ht="15.75" hidden="false" customHeight="true" outlineLevel="0" collapsed="false">
      <c r="A291" s="29" t="n">
        <v>286</v>
      </c>
      <c r="B291" s="30" t="str">
        <f aca="false">IFERROR(edatum(datwert(Tilgungsrechner!C12),285),"")</f>
        <v/>
      </c>
      <c r="C291" s="31" t="str">
        <f aca="false">IF(F290&lt;=0,"",F290)</f>
        <v/>
      </c>
      <c r="D291" s="31" t="str">
        <f aca="false">IFERROR(IF(C291="","",ROUND(C291*Tilgungsrechner!C8/12,2)),"")</f>
        <v/>
      </c>
      <c r="E291" s="31" t="str">
        <f aca="false">IFERROR(IF(C291="","",MIN(ROUND(Tilgungsrechner!F7-D291,2),C291)),"")</f>
        <v/>
      </c>
      <c r="F291" s="31" t="str">
        <f aca="false">IFERROR(IF(C291="","",MAX(0, C291-E291-IF(MOD(A291,12)=0,Tilgungsrechner!C10,0))),"")</f>
        <v/>
      </c>
      <c r="G291" s="32" t="str">
        <f aca="false">IFERROR(IF(C291="","",IF(MOD(A291,12)=0,MIN(Tilgungsrechner!C10,MAX(0,C291-E291)),0)),"")</f>
        <v/>
      </c>
      <c r="H291" s="33" t="str">
        <f aca="false">IFERROR(IF(C291="","",aufround(A291/12,0)),"")</f>
        <v/>
      </c>
    </row>
    <row r="292" customFormat="false" ht="15.75" hidden="false" customHeight="true" outlineLevel="0" collapsed="false">
      <c r="A292" s="29" t="n">
        <v>287</v>
      </c>
      <c r="B292" s="30" t="str">
        <f aca="false">IFERROR(edatum(datwert(Tilgungsrechner!C12),286),"")</f>
        <v/>
      </c>
      <c r="C292" s="31" t="str">
        <f aca="false">IF(F291&lt;=0,"",F291)</f>
        <v/>
      </c>
      <c r="D292" s="31" t="str">
        <f aca="false">IFERROR(IF(C292="","",ROUND(C292*Tilgungsrechner!C8/12,2)),"")</f>
        <v/>
      </c>
      <c r="E292" s="31" t="str">
        <f aca="false">IFERROR(IF(C292="","",MIN(ROUND(Tilgungsrechner!F7-D292,2),C292)),"")</f>
        <v/>
      </c>
      <c r="F292" s="31" t="str">
        <f aca="false">IFERROR(IF(C292="","",MAX(0, C292-E292-IF(MOD(A292,12)=0,Tilgungsrechner!C10,0))),"")</f>
        <v/>
      </c>
      <c r="G292" s="32" t="str">
        <f aca="false">IFERROR(IF(C292="","",IF(MOD(A292,12)=0,MIN(Tilgungsrechner!C10,MAX(0,C292-E292)),0)),"")</f>
        <v/>
      </c>
      <c r="H292" s="33" t="str">
        <f aca="false">IFERROR(IF(C292="","",aufround(A292/12,0)),"")</f>
        <v/>
      </c>
    </row>
    <row r="293" customFormat="false" ht="15.75" hidden="false" customHeight="true" outlineLevel="0" collapsed="false">
      <c r="A293" s="29" t="n">
        <v>288</v>
      </c>
      <c r="B293" s="30" t="str">
        <f aca="false">IFERROR(edatum(datwert(Tilgungsrechner!C12),287),"")</f>
        <v/>
      </c>
      <c r="C293" s="31" t="str">
        <f aca="false">IF(F292&lt;=0,"",F292)</f>
        <v/>
      </c>
      <c r="D293" s="31" t="str">
        <f aca="false">IFERROR(IF(C293="","",ROUND(C293*Tilgungsrechner!C8/12,2)),"")</f>
        <v/>
      </c>
      <c r="E293" s="31" t="str">
        <f aca="false">IFERROR(IF(C293="","",MIN(ROUND(Tilgungsrechner!F7-D293,2),C293)),"")</f>
        <v/>
      </c>
      <c r="F293" s="31" t="str">
        <f aca="false">IFERROR(IF(C293="","",MAX(0, C293-E293-IF(MOD(A293,12)=0,Tilgungsrechner!C10,0))),"")</f>
        <v/>
      </c>
      <c r="G293" s="32" t="str">
        <f aca="false">IFERROR(IF(C293="","",IF(MOD(A293,12)=0,MIN(Tilgungsrechner!C10,MAX(0,C293-E293)),0)),"")</f>
        <v/>
      </c>
      <c r="H293" s="33" t="str">
        <f aca="false">IFERROR(IF(C293="","",aufround(A293/12,0)),"")</f>
        <v/>
      </c>
    </row>
    <row r="294" customFormat="false" ht="15.75" hidden="false" customHeight="true" outlineLevel="0" collapsed="false">
      <c r="A294" s="29" t="n">
        <v>289</v>
      </c>
      <c r="B294" s="30" t="str">
        <f aca="false">IFERROR(edatum(datwert(Tilgungsrechner!C12),288),"")</f>
        <v/>
      </c>
      <c r="C294" s="31" t="str">
        <f aca="false">IF(F293&lt;=0,"",F293)</f>
        <v/>
      </c>
      <c r="D294" s="31" t="str">
        <f aca="false">IFERROR(IF(C294="","",ROUND(C294*Tilgungsrechner!C8/12,2)),"")</f>
        <v/>
      </c>
      <c r="E294" s="31" t="str">
        <f aca="false">IFERROR(IF(C294="","",MIN(ROUND(Tilgungsrechner!F7-D294,2),C294)),"")</f>
        <v/>
      </c>
      <c r="F294" s="31" t="str">
        <f aca="false">IFERROR(IF(C294="","",MAX(0, C294-E294-IF(MOD(A294,12)=0,Tilgungsrechner!C10,0))),"")</f>
        <v/>
      </c>
      <c r="G294" s="32" t="str">
        <f aca="false">IFERROR(IF(C294="","",IF(MOD(A294,12)=0,MIN(Tilgungsrechner!C10,MAX(0,C294-E294)),0)),"")</f>
        <v/>
      </c>
      <c r="H294" s="33" t="str">
        <f aca="false">IFERROR(IF(C294="","",aufround(A294/12,0)),"")</f>
        <v/>
      </c>
    </row>
    <row r="295" customFormat="false" ht="15.75" hidden="false" customHeight="true" outlineLevel="0" collapsed="false">
      <c r="A295" s="29" t="n">
        <v>290</v>
      </c>
      <c r="B295" s="30" t="str">
        <f aca="false">IFERROR(edatum(datwert(Tilgungsrechner!C12),289),"")</f>
        <v/>
      </c>
      <c r="C295" s="31" t="str">
        <f aca="false">IF(F294&lt;=0,"",F294)</f>
        <v/>
      </c>
      <c r="D295" s="31" t="str">
        <f aca="false">IFERROR(IF(C295="","",ROUND(C295*Tilgungsrechner!C8/12,2)),"")</f>
        <v/>
      </c>
      <c r="E295" s="31" t="str">
        <f aca="false">IFERROR(IF(C295="","",MIN(ROUND(Tilgungsrechner!F7-D295,2),C295)),"")</f>
        <v/>
      </c>
      <c r="F295" s="31" t="str">
        <f aca="false">IFERROR(IF(C295="","",MAX(0, C295-E295-IF(MOD(A295,12)=0,Tilgungsrechner!C10,0))),"")</f>
        <v/>
      </c>
      <c r="G295" s="32" t="str">
        <f aca="false">IFERROR(IF(C295="","",IF(MOD(A295,12)=0,MIN(Tilgungsrechner!C10,MAX(0,C295-E295)),0)),"")</f>
        <v/>
      </c>
      <c r="H295" s="33" t="str">
        <f aca="false">IFERROR(IF(C295="","",aufround(A295/12,0)),"")</f>
        <v/>
      </c>
    </row>
    <row r="296" customFormat="false" ht="15.75" hidden="false" customHeight="true" outlineLevel="0" collapsed="false">
      <c r="A296" s="29" t="n">
        <v>291</v>
      </c>
      <c r="B296" s="30" t="str">
        <f aca="false">IFERROR(edatum(datwert(Tilgungsrechner!C12),290),"")</f>
        <v/>
      </c>
      <c r="C296" s="31" t="str">
        <f aca="false">IF(F295&lt;=0,"",F295)</f>
        <v/>
      </c>
      <c r="D296" s="31" t="str">
        <f aca="false">IFERROR(IF(C296="","",ROUND(C296*Tilgungsrechner!C8/12,2)),"")</f>
        <v/>
      </c>
      <c r="E296" s="31" t="str">
        <f aca="false">IFERROR(IF(C296="","",MIN(ROUND(Tilgungsrechner!F7-D296,2),C296)),"")</f>
        <v/>
      </c>
      <c r="F296" s="31" t="str">
        <f aca="false">IFERROR(IF(C296="","",MAX(0, C296-E296-IF(MOD(A296,12)=0,Tilgungsrechner!C10,0))),"")</f>
        <v/>
      </c>
      <c r="G296" s="32" t="str">
        <f aca="false">IFERROR(IF(C296="","",IF(MOD(A296,12)=0,MIN(Tilgungsrechner!C10,MAX(0,C296-E296)),0)),"")</f>
        <v/>
      </c>
      <c r="H296" s="33" t="str">
        <f aca="false">IFERROR(IF(C296="","",aufround(A296/12,0)),"")</f>
        <v/>
      </c>
    </row>
    <row r="297" customFormat="false" ht="15.75" hidden="false" customHeight="true" outlineLevel="0" collapsed="false">
      <c r="A297" s="29" t="n">
        <v>292</v>
      </c>
      <c r="B297" s="30" t="str">
        <f aca="false">IFERROR(edatum(datwert(Tilgungsrechner!C12),291),"")</f>
        <v/>
      </c>
      <c r="C297" s="31" t="str">
        <f aca="false">IF(F296&lt;=0,"",F296)</f>
        <v/>
      </c>
      <c r="D297" s="31" t="str">
        <f aca="false">IFERROR(IF(C297="","",ROUND(C297*Tilgungsrechner!C8/12,2)),"")</f>
        <v/>
      </c>
      <c r="E297" s="31" t="str">
        <f aca="false">IFERROR(IF(C297="","",MIN(ROUND(Tilgungsrechner!F7-D297,2),C297)),"")</f>
        <v/>
      </c>
      <c r="F297" s="31" t="str">
        <f aca="false">IFERROR(IF(C297="","",MAX(0, C297-E297-IF(MOD(A297,12)=0,Tilgungsrechner!C10,0))),"")</f>
        <v/>
      </c>
      <c r="G297" s="32" t="str">
        <f aca="false">IFERROR(IF(C297="","",IF(MOD(A297,12)=0,MIN(Tilgungsrechner!C10,MAX(0,C297-E297)),0)),"")</f>
        <v/>
      </c>
      <c r="H297" s="33" t="str">
        <f aca="false">IFERROR(IF(C297="","",aufround(A297/12,0)),"")</f>
        <v/>
      </c>
    </row>
    <row r="298" customFormat="false" ht="15.75" hidden="false" customHeight="true" outlineLevel="0" collapsed="false">
      <c r="A298" s="29" t="n">
        <v>293</v>
      </c>
      <c r="B298" s="30" t="str">
        <f aca="false">IFERROR(edatum(datwert(Tilgungsrechner!C12),292),"")</f>
        <v/>
      </c>
      <c r="C298" s="31" t="str">
        <f aca="false">IF(F297&lt;=0,"",F297)</f>
        <v/>
      </c>
      <c r="D298" s="31" t="str">
        <f aca="false">IFERROR(IF(C298="","",ROUND(C298*Tilgungsrechner!C8/12,2)),"")</f>
        <v/>
      </c>
      <c r="E298" s="31" t="str">
        <f aca="false">IFERROR(IF(C298="","",MIN(ROUND(Tilgungsrechner!F7-D298,2),C298)),"")</f>
        <v/>
      </c>
      <c r="F298" s="31" t="str">
        <f aca="false">IFERROR(IF(C298="","",MAX(0, C298-E298-IF(MOD(A298,12)=0,Tilgungsrechner!C10,0))),"")</f>
        <v/>
      </c>
      <c r="G298" s="32" t="str">
        <f aca="false">IFERROR(IF(C298="","",IF(MOD(A298,12)=0,MIN(Tilgungsrechner!C10,MAX(0,C298-E298)),0)),"")</f>
        <v/>
      </c>
      <c r="H298" s="33" t="str">
        <f aca="false">IFERROR(IF(C298="","",aufround(A298/12,0)),"")</f>
        <v/>
      </c>
    </row>
    <row r="299" customFormat="false" ht="15.75" hidden="false" customHeight="true" outlineLevel="0" collapsed="false">
      <c r="A299" s="29" t="n">
        <v>294</v>
      </c>
      <c r="B299" s="30" t="str">
        <f aca="false">IFERROR(edatum(datwert(Tilgungsrechner!C12),293),"")</f>
        <v/>
      </c>
      <c r="C299" s="31" t="str">
        <f aca="false">IF(F298&lt;=0,"",F298)</f>
        <v/>
      </c>
      <c r="D299" s="31" t="str">
        <f aca="false">IFERROR(IF(C299="","",ROUND(C299*Tilgungsrechner!C8/12,2)),"")</f>
        <v/>
      </c>
      <c r="E299" s="31" t="str">
        <f aca="false">IFERROR(IF(C299="","",MIN(ROUND(Tilgungsrechner!F7-D299,2),C299)),"")</f>
        <v/>
      </c>
      <c r="F299" s="31" t="str">
        <f aca="false">IFERROR(IF(C299="","",MAX(0, C299-E299-IF(MOD(A299,12)=0,Tilgungsrechner!C10,0))),"")</f>
        <v/>
      </c>
      <c r="G299" s="32" t="str">
        <f aca="false">IFERROR(IF(C299="","",IF(MOD(A299,12)=0,MIN(Tilgungsrechner!C10,MAX(0,C299-E299)),0)),"")</f>
        <v/>
      </c>
      <c r="H299" s="33" t="str">
        <f aca="false">IFERROR(IF(C299="","",aufround(A299/12,0)),"")</f>
        <v/>
      </c>
    </row>
    <row r="300" customFormat="false" ht="15.75" hidden="false" customHeight="true" outlineLevel="0" collapsed="false">
      <c r="A300" s="29" t="n">
        <v>295</v>
      </c>
      <c r="B300" s="30" t="str">
        <f aca="false">IFERROR(edatum(datwert(Tilgungsrechner!C12),294),"")</f>
        <v/>
      </c>
      <c r="C300" s="31" t="str">
        <f aca="false">IF(F299&lt;=0,"",F299)</f>
        <v/>
      </c>
      <c r="D300" s="31" t="str">
        <f aca="false">IFERROR(IF(C300="","",ROUND(C300*Tilgungsrechner!C8/12,2)),"")</f>
        <v/>
      </c>
      <c r="E300" s="31" t="str">
        <f aca="false">IFERROR(IF(C300="","",MIN(ROUND(Tilgungsrechner!F7-D300,2),C300)),"")</f>
        <v/>
      </c>
      <c r="F300" s="31" t="str">
        <f aca="false">IFERROR(IF(C300="","",MAX(0, C300-E300-IF(MOD(A300,12)=0,Tilgungsrechner!C10,0))),"")</f>
        <v/>
      </c>
      <c r="G300" s="32" t="str">
        <f aca="false">IFERROR(IF(C300="","",IF(MOD(A300,12)=0,MIN(Tilgungsrechner!C10,MAX(0,C300-E300)),0)),"")</f>
        <v/>
      </c>
      <c r="H300" s="33" t="str">
        <f aca="false">IFERROR(IF(C300="","",aufround(A300/12,0)),"")</f>
        <v/>
      </c>
    </row>
    <row r="301" customFormat="false" ht="15.75" hidden="false" customHeight="true" outlineLevel="0" collapsed="false">
      <c r="A301" s="29" t="n">
        <v>296</v>
      </c>
      <c r="B301" s="30" t="str">
        <f aca="false">IFERROR(edatum(datwert(Tilgungsrechner!C12),295),"")</f>
        <v/>
      </c>
      <c r="C301" s="31" t="str">
        <f aca="false">IF(F300&lt;=0,"",F300)</f>
        <v/>
      </c>
      <c r="D301" s="31" t="str">
        <f aca="false">IFERROR(IF(C301="","",ROUND(C301*Tilgungsrechner!C8/12,2)),"")</f>
        <v/>
      </c>
      <c r="E301" s="31" t="str">
        <f aca="false">IFERROR(IF(C301="","",MIN(ROUND(Tilgungsrechner!F7-D301,2),C301)),"")</f>
        <v/>
      </c>
      <c r="F301" s="31" t="str">
        <f aca="false">IFERROR(IF(C301="","",MAX(0, C301-E301-IF(MOD(A301,12)=0,Tilgungsrechner!C10,0))),"")</f>
        <v/>
      </c>
      <c r="G301" s="32" t="str">
        <f aca="false">IFERROR(IF(C301="","",IF(MOD(A301,12)=0,MIN(Tilgungsrechner!C10,MAX(0,C301-E301)),0)),"")</f>
        <v/>
      </c>
      <c r="H301" s="33" t="str">
        <f aca="false">IFERROR(IF(C301="","",aufround(A301/12,0)),"")</f>
        <v/>
      </c>
    </row>
    <row r="302" customFormat="false" ht="15.75" hidden="false" customHeight="true" outlineLevel="0" collapsed="false">
      <c r="A302" s="29" t="n">
        <v>297</v>
      </c>
      <c r="B302" s="30" t="str">
        <f aca="false">IFERROR(edatum(datwert(Tilgungsrechner!C12),296),"")</f>
        <v/>
      </c>
      <c r="C302" s="31" t="str">
        <f aca="false">IF(F301&lt;=0,"",F301)</f>
        <v/>
      </c>
      <c r="D302" s="31" t="str">
        <f aca="false">IFERROR(IF(C302="","",ROUND(C302*Tilgungsrechner!C8/12,2)),"")</f>
        <v/>
      </c>
      <c r="E302" s="31" t="str">
        <f aca="false">IFERROR(IF(C302="","",MIN(ROUND(Tilgungsrechner!F7-D302,2),C302)),"")</f>
        <v/>
      </c>
      <c r="F302" s="31" t="str">
        <f aca="false">IFERROR(IF(C302="","",MAX(0, C302-E302-IF(MOD(A302,12)=0,Tilgungsrechner!C10,0))),"")</f>
        <v/>
      </c>
      <c r="G302" s="32" t="str">
        <f aca="false">IFERROR(IF(C302="","",IF(MOD(A302,12)=0,MIN(Tilgungsrechner!C10,MAX(0,C302-E302)),0)),"")</f>
        <v/>
      </c>
      <c r="H302" s="33" t="str">
        <f aca="false">IFERROR(IF(C302="","",aufround(A302/12,0)),"")</f>
        <v/>
      </c>
    </row>
    <row r="303" customFormat="false" ht="15.75" hidden="false" customHeight="true" outlineLevel="0" collapsed="false">
      <c r="A303" s="29" t="n">
        <v>298</v>
      </c>
      <c r="B303" s="30" t="str">
        <f aca="false">IFERROR(edatum(datwert(Tilgungsrechner!C12),297),"")</f>
        <v/>
      </c>
      <c r="C303" s="31" t="str">
        <f aca="false">IF(F302&lt;=0,"",F302)</f>
        <v/>
      </c>
      <c r="D303" s="31" t="str">
        <f aca="false">IFERROR(IF(C303="","",ROUND(C303*Tilgungsrechner!C8/12,2)),"")</f>
        <v/>
      </c>
      <c r="E303" s="31" t="str">
        <f aca="false">IFERROR(IF(C303="","",MIN(ROUND(Tilgungsrechner!F7-D303,2),C303)),"")</f>
        <v/>
      </c>
      <c r="F303" s="31" t="str">
        <f aca="false">IFERROR(IF(C303="","",MAX(0, C303-E303-IF(MOD(A303,12)=0,Tilgungsrechner!C10,0))),"")</f>
        <v/>
      </c>
      <c r="G303" s="32" t="str">
        <f aca="false">IFERROR(IF(C303="","",IF(MOD(A303,12)=0,MIN(Tilgungsrechner!C10,MAX(0,C303-E303)),0)),"")</f>
        <v/>
      </c>
      <c r="H303" s="33" t="str">
        <f aca="false">IFERROR(IF(C303="","",aufround(A303/12,0)),"")</f>
        <v/>
      </c>
    </row>
    <row r="304" customFormat="false" ht="15.75" hidden="false" customHeight="true" outlineLevel="0" collapsed="false">
      <c r="A304" s="29" t="n">
        <v>299</v>
      </c>
      <c r="B304" s="30" t="str">
        <f aca="false">IFERROR(edatum(datwert(Tilgungsrechner!C12),298),"")</f>
        <v/>
      </c>
      <c r="C304" s="31" t="str">
        <f aca="false">IF(F303&lt;=0,"",F303)</f>
        <v/>
      </c>
      <c r="D304" s="31" t="str">
        <f aca="false">IFERROR(IF(C304="","",ROUND(C304*Tilgungsrechner!C8/12,2)),"")</f>
        <v/>
      </c>
      <c r="E304" s="31" t="str">
        <f aca="false">IFERROR(IF(C304="","",MIN(ROUND(Tilgungsrechner!F7-D304,2),C304)),"")</f>
        <v/>
      </c>
      <c r="F304" s="31" t="str">
        <f aca="false">IFERROR(IF(C304="","",MAX(0, C304-E304-IF(MOD(A304,12)=0,Tilgungsrechner!C10,0))),"")</f>
        <v/>
      </c>
      <c r="G304" s="32" t="str">
        <f aca="false">IFERROR(IF(C304="","",IF(MOD(A304,12)=0,MIN(Tilgungsrechner!C10,MAX(0,C304-E304)),0)),"")</f>
        <v/>
      </c>
      <c r="H304" s="33" t="str">
        <f aca="false">IFERROR(IF(C304="","",aufround(A304/12,0)),"")</f>
        <v/>
      </c>
    </row>
    <row r="305" customFormat="false" ht="15.75" hidden="false" customHeight="true" outlineLevel="0" collapsed="false">
      <c r="A305" s="29" t="n">
        <v>300</v>
      </c>
      <c r="B305" s="30" t="str">
        <f aca="false">IFERROR(edatum(datwert(Tilgungsrechner!C12),299),"")</f>
        <v/>
      </c>
      <c r="C305" s="31" t="str">
        <f aca="false">IF(F304&lt;=0,"",F304)</f>
        <v/>
      </c>
      <c r="D305" s="31" t="str">
        <f aca="false">IFERROR(IF(C305="","",ROUND(C305*Tilgungsrechner!C8/12,2)),"")</f>
        <v/>
      </c>
      <c r="E305" s="31" t="str">
        <f aca="false">IFERROR(IF(C305="","",MIN(ROUND(Tilgungsrechner!F7-D305,2),C305)),"")</f>
        <v/>
      </c>
      <c r="F305" s="31" t="str">
        <f aca="false">IFERROR(IF(C305="","",MAX(0, C305-E305-IF(MOD(A305,12)=0,Tilgungsrechner!C10,0))),"")</f>
        <v/>
      </c>
      <c r="G305" s="32" t="str">
        <f aca="false">IFERROR(IF(C305="","",IF(MOD(A305,12)=0,MIN(Tilgungsrechner!C10,MAX(0,C305-E305)),0)),"")</f>
        <v/>
      </c>
      <c r="H305" s="33" t="str">
        <f aca="false">IFERROR(IF(C305="","",aufround(A305/12,0)),"")</f>
        <v/>
      </c>
    </row>
    <row r="306" customFormat="false" ht="15.75" hidden="false" customHeight="true" outlineLevel="0" collapsed="false">
      <c r="A306" s="29" t="n">
        <v>301</v>
      </c>
      <c r="B306" s="30" t="str">
        <f aca="false">IFERROR(edatum(datwert(Tilgungsrechner!C12),300),"")</f>
        <v/>
      </c>
      <c r="C306" s="31" t="str">
        <f aca="false">IF(F305&lt;=0,"",F305)</f>
        <v/>
      </c>
      <c r="D306" s="31" t="str">
        <f aca="false">IFERROR(IF(C306="","",ROUND(C306*Tilgungsrechner!C8/12,2)),"")</f>
        <v/>
      </c>
      <c r="E306" s="31" t="str">
        <f aca="false">IFERROR(IF(C306="","",MIN(ROUND(Tilgungsrechner!F7-D306,2),C306)),"")</f>
        <v/>
      </c>
      <c r="F306" s="31" t="str">
        <f aca="false">IFERROR(IF(C306="","",MAX(0, C306-E306-IF(MOD(A306,12)=0,Tilgungsrechner!C10,0))),"")</f>
        <v/>
      </c>
      <c r="G306" s="32" t="str">
        <f aca="false">IFERROR(IF(C306="","",IF(MOD(A306,12)=0,MIN(Tilgungsrechner!C10,MAX(0,C306-E306)),0)),"")</f>
        <v/>
      </c>
      <c r="H306" s="33" t="str">
        <f aca="false">IFERROR(IF(C306="","",aufround(A306/12,0)),"")</f>
        <v/>
      </c>
    </row>
    <row r="307" customFormat="false" ht="15.75" hidden="false" customHeight="true" outlineLevel="0" collapsed="false">
      <c r="A307" s="29" t="n">
        <v>302</v>
      </c>
      <c r="B307" s="30" t="str">
        <f aca="false">IFERROR(edatum(datwert(Tilgungsrechner!C12),301),"")</f>
        <v/>
      </c>
      <c r="C307" s="31" t="str">
        <f aca="false">IF(F306&lt;=0,"",F306)</f>
        <v/>
      </c>
      <c r="D307" s="31" t="str">
        <f aca="false">IFERROR(IF(C307="","",ROUND(C307*Tilgungsrechner!C8/12,2)),"")</f>
        <v/>
      </c>
      <c r="E307" s="31" t="str">
        <f aca="false">IFERROR(IF(C307="","",MIN(ROUND(Tilgungsrechner!F7-D307,2),C307)),"")</f>
        <v/>
      </c>
      <c r="F307" s="31" t="str">
        <f aca="false">IFERROR(IF(C307="","",MAX(0, C307-E307-IF(MOD(A307,12)=0,Tilgungsrechner!C10,0))),"")</f>
        <v/>
      </c>
      <c r="G307" s="32" t="str">
        <f aca="false">IFERROR(IF(C307="","",IF(MOD(A307,12)=0,MIN(Tilgungsrechner!C10,MAX(0,C307-E307)),0)),"")</f>
        <v/>
      </c>
      <c r="H307" s="33" t="str">
        <f aca="false">IFERROR(IF(C307="","",aufround(A307/12,0)),"")</f>
        <v/>
      </c>
    </row>
    <row r="308" customFormat="false" ht="15.75" hidden="false" customHeight="true" outlineLevel="0" collapsed="false">
      <c r="A308" s="29" t="n">
        <v>303</v>
      </c>
      <c r="B308" s="30" t="str">
        <f aca="false">IFERROR(edatum(datwert(Tilgungsrechner!C12),302),"")</f>
        <v/>
      </c>
      <c r="C308" s="31" t="str">
        <f aca="false">IF(F307&lt;=0,"",F307)</f>
        <v/>
      </c>
      <c r="D308" s="31" t="str">
        <f aca="false">IFERROR(IF(C308="","",ROUND(C308*Tilgungsrechner!C8/12,2)),"")</f>
        <v/>
      </c>
      <c r="E308" s="31" t="str">
        <f aca="false">IFERROR(IF(C308="","",MIN(ROUND(Tilgungsrechner!F7-D308,2),C308)),"")</f>
        <v/>
      </c>
      <c r="F308" s="31" t="str">
        <f aca="false">IFERROR(IF(C308="","",MAX(0, C308-E308-IF(MOD(A308,12)=0,Tilgungsrechner!C10,0))),"")</f>
        <v/>
      </c>
      <c r="G308" s="32" t="str">
        <f aca="false">IFERROR(IF(C308="","",IF(MOD(A308,12)=0,MIN(Tilgungsrechner!C10,MAX(0,C308-E308)),0)),"")</f>
        <v/>
      </c>
      <c r="H308" s="33" t="str">
        <f aca="false">IFERROR(IF(C308="","",aufround(A308/12,0)),"")</f>
        <v/>
      </c>
    </row>
    <row r="309" customFormat="false" ht="15.75" hidden="false" customHeight="true" outlineLevel="0" collapsed="false">
      <c r="A309" s="29" t="n">
        <v>304</v>
      </c>
      <c r="B309" s="30" t="str">
        <f aca="false">IFERROR(edatum(datwert(Tilgungsrechner!C12),303),"")</f>
        <v/>
      </c>
      <c r="C309" s="31" t="str">
        <f aca="false">IF(F308&lt;=0,"",F308)</f>
        <v/>
      </c>
      <c r="D309" s="31" t="str">
        <f aca="false">IFERROR(IF(C309="","",ROUND(C309*Tilgungsrechner!C8/12,2)),"")</f>
        <v/>
      </c>
      <c r="E309" s="31" t="str">
        <f aca="false">IFERROR(IF(C309="","",MIN(ROUND(Tilgungsrechner!F7-D309,2),C309)),"")</f>
        <v/>
      </c>
      <c r="F309" s="31" t="str">
        <f aca="false">IFERROR(IF(C309="","",MAX(0, C309-E309-IF(MOD(A309,12)=0,Tilgungsrechner!C10,0))),"")</f>
        <v/>
      </c>
      <c r="G309" s="32" t="str">
        <f aca="false">IFERROR(IF(C309="","",IF(MOD(A309,12)=0,MIN(Tilgungsrechner!C10,MAX(0,C309-E309)),0)),"")</f>
        <v/>
      </c>
      <c r="H309" s="33" t="str">
        <f aca="false">IFERROR(IF(C309="","",aufround(A309/12,0)),"")</f>
        <v/>
      </c>
    </row>
    <row r="310" customFormat="false" ht="15.75" hidden="false" customHeight="true" outlineLevel="0" collapsed="false">
      <c r="A310" s="29" t="n">
        <v>305</v>
      </c>
      <c r="B310" s="30" t="str">
        <f aca="false">IFERROR(edatum(datwert(Tilgungsrechner!C12),304),"")</f>
        <v/>
      </c>
      <c r="C310" s="31" t="str">
        <f aca="false">IF(F309&lt;=0,"",F309)</f>
        <v/>
      </c>
      <c r="D310" s="31" t="str">
        <f aca="false">IFERROR(IF(C310="","",ROUND(C310*Tilgungsrechner!C8/12,2)),"")</f>
        <v/>
      </c>
      <c r="E310" s="31" t="str">
        <f aca="false">IFERROR(IF(C310="","",MIN(ROUND(Tilgungsrechner!F7-D310,2),C310)),"")</f>
        <v/>
      </c>
      <c r="F310" s="31" t="str">
        <f aca="false">IFERROR(IF(C310="","",MAX(0, C310-E310-IF(MOD(A310,12)=0,Tilgungsrechner!C10,0))),"")</f>
        <v/>
      </c>
      <c r="G310" s="32" t="str">
        <f aca="false">IFERROR(IF(C310="","",IF(MOD(A310,12)=0,MIN(Tilgungsrechner!C10,MAX(0,C310-E310)),0)),"")</f>
        <v/>
      </c>
      <c r="H310" s="33" t="str">
        <f aca="false">IFERROR(IF(C310="","",aufround(A310/12,0)),"")</f>
        <v/>
      </c>
    </row>
    <row r="311" customFormat="false" ht="15.75" hidden="false" customHeight="true" outlineLevel="0" collapsed="false">
      <c r="A311" s="29" t="n">
        <v>306</v>
      </c>
      <c r="B311" s="30" t="str">
        <f aca="false">IFERROR(edatum(datwert(Tilgungsrechner!C12),305),"")</f>
        <v/>
      </c>
      <c r="C311" s="31" t="str">
        <f aca="false">IF(F310&lt;=0,"",F310)</f>
        <v/>
      </c>
      <c r="D311" s="31" t="str">
        <f aca="false">IFERROR(IF(C311="","",ROUND(C311*Tilgungsrechner!C8/12,2)),"")</f>
        <v/>
      </c>
      <c r="E311" s="31" t="str">
        <f aca="false">IFERROR(IF(C311="","",MIN(ROUND(Tilgungsrechner!F7-D311,2),C311)),"")</f>
        <v/>
      </c>
      <c r="F311" s="31" t="str">
        <f aca="false">IFERROR(IF(C311="","",MAX(0, C311-E311-IF(MOD(A311,12)=0,Tilgungsrechner!C10,0))),"")</f>
        <v/>
      </c>
      <c r="G311" s="32" t="str">
        <f aca="false">IFERROR(IF(C311="","",IF(MOD(A311,12)=0,MIN(Tilgungsrechner!C10,MAX(0,C311-E311)),0)),"")</f>
        <v/>
      </c>
      <c r="H311" s="33" t="str">
        <f aca="false">IFERROR(IF(C311="","",aufround(A311/12,0)),"")</f>
        <v/>
      </c>
    </row>
    <row r="312" customFormat="false" ht="15.75" hidden="false" customHeight="true" outlineLevel="0" collapsed="false">
      <c r="A312" s="29" t="n">
        <v>307</v>
      </c>
      <c r="B312" s="30" t="str">
        <f aca="false">IFERROR(edatum(datwert(Tilgungsrechner!C12),306),"")</f>
        <v/>
      </c>
      <c r="C312" s="31" t="str">
        <f aca="false">IF(F311&lt;=0,"",F311)</f>
        <v/>
      </c>
      <c r="D312" s="31" t="str">
        <f aca="false">IFERROR(IF(C312="","",ROUND(C312*Tilgungsrechner!C8/12,2)),"")</f>
        <v/>
      </c>
      <c r="E312" s="31" t="str">
        <f aca="false">IFERROR(IF(C312="","",MIN(ROUND(Tilgungsrechner!F7-D312,2),C312)),"")</f>
        <v/>
      </c>
      <c r="F312" s="31" t="str">
        <f aca="false">IFERROR(IF(C312="","",MAX(0, C312-E312-IF(MOD(A312,12)=0,Tilgungsrechner!C10,0))),"")</f>
        <v/>
      </c>
      <c r="G312" s="32" t="str">
        <f aca="false">IFERROR(IF(C312="","",IF(MOD(A312,12)=0,MIN(Tilgungsrechner!C10,MAX(0,C312-E312)),0)),"")</f>
        <v/>
      </c>
      <c r="H312" s="33" t="str">
        <f aca="false">IFERROR(IF(C312="","",aufround(A312/12,0)),"")</f>
        <v/>
      </c>
    </row>
    <row r="313" customFormat="false" ht="15.75" hidden="false" customHeight="true" outlineLevel="0" collapsed="false">
      <c r="A313" s="29" t="n">
        <v>308</v>
      </c>
      <c r="B313" s="30" t="str">
        <f aca="false">IFERROR(edatum(datwert(Tilgungsrechner!C12),307),"")</f>
        <v/>
      </c>
      <c r="C313" s="31" t="str">
        <f aca="false">IF(F312&lt;=0,"",F312)</f>
        <v/>
      </c>
      <c r="D313" s="31" t="str">
        <f aca="false">IFERROR(IF(C313="","",ROUND(C313*Tilgungsrechner!C8/12,2)),"")</f>
        <v/>
      </c>
      <c r="E313" s="31" t="str">
        <f aca="false">IFERROR(IF(C313="","",MIN(ROUND(Tilgungsrechner!F7-D313,2),C313)),"")</f>
        <v/>
      </c>
      <c r="F313" s="31" t="str">
        <f aca="false">IFERROR(IF(C313="","",MAX(0, C313-E313-IF(MOD(A313,12)=0,Tilgungsrechner!C10,0))),"")</f>
        <v/>
      </c>
      <c r="G313" s="32" t="str">
        <f aca="false">IFERROR(IF(C313="","",IF(MOD(A313,12)=0,MIN(Tilgungsrechner!C10,MAX(0,C313-E313)),0)),"")</f>
        <v/>
      </c>
      <c r="H313" s="33" t="str">
        <f aca="false">IFERROR(IF(C313="","",aufround(A313/12,0)),"")</f>
        <v/>
      </c>
    </row>
    <row r="314" customFormat="false" ht="15.75" hidden="false" customHeight="true" outlineLevel="0" collapsed="false">
      <c r="A314" s="29" t="n">
        <v>309</v>
      </c>
      <c r="B314" s="30" t="str">
        <f aca="false">IFERROR(edatum(datwert(Tilgungsrechner!C12),308),"")</f>
        <v/>
      </c>
      <c r="C314" s="31" t="str">
        <f aca="false">IF(F313&lt;=0,"",F313)</f>
        <v/>
      </c>
      <c r="D314" s="31" t="str">
        <f aca="false">IFERROR(IF(C314="","",ROUND(C314*Tilgungsrechner!C8/12,2)),"")</f>
        <v/>
      </c>
      <c r="E314" s="31" t="str">
        <f aca="false">IFERROR(IF(C314="","",MIN(ROUND(Tilgungsrechner!F7-D314,2),C314)),"")</f>
        <v/>
      </c>
      <c r="F314" s="31" t="str">
        <f aca="false">IFERROR(IF(C314="","",MAX(0, C314-E314-IF(MOD(A314,12)=0,Tilgungsrechner!C10,0))),"")</f>
        <v/>
      </c>
      <c r="G314" s="32" t="str">
        <f aca="false">IFERROR(IF(C314="","",IF(MOD(A314,12)=0,MIN(Tilgungsrechner!C10,MAX(0,C314-E314)),0)),"")</f>
        <v/>
      </c>
      <c r="H314" s="33" t="str">
        <f aca="false">IFERROR(IF(C314="","",aufround(A314/12,0)),"")</f>
        <v/>
      </c>
    </row>
    <row r="315" customFormat="false" ht="15.75" hidden="false" customHeight="true" outlineLevel="0" collapsed="false">
      <c r="A315" s="29" t="n">
        <v>310</v>
      </c>
      <c r="B315" s="30" t="str">
        <f aca="false">IFERROR(edatum(datwert(Tilgungsrechner!C12),309),"")</f>
        <v/>
      </c>
      <c r="C315" s="31" t="str">
        <f aca="false">IF(F314&lt;=0,"",F314)</f>
        <v/>
      </c>
      <c r="D315" s="31" t="str">
        <f aca="false">IFERROR(IF(C315="","",ROUND(C315*Tilgungsrechner!C8/12,2)),"")</f>
        <v/>
      </c>
      <c r="E315" s="31" t="str">
        <f aca="false">IFERROR(IF(C315="","",MIN(ROUND(Tilgungsrechner!F7-D315,2),C315)),"")</f>
        <v/>
      </c>
      <c r="F315" s="31" t="str">
        <f aca="false">IFERROR(IF(C315="","",MAX(0, C315-E315-IF(MOD(A315,12)=0,Tilgungsrechner!C10,0))),"")</f>
        <v/>
      </c>
      <c r="G315" s="32" t="str">
        <f aca="false">IFERROR(IF(C315="","",IF(MOD(A315,12)=0,MIN(Tilgungsrechner!C10,MAX(0,C315-E315)),0)),"")</f>
        <v/>
      </c>
      <c r="H315" s="33" t="str">
        <f aca="false">IFERROR(IF(C315="","",aufround(A315/12,0)),"")</f>
        <v/>
      </c>
    </row>
    <row r="316" customFormat="false" ht="15.75" hidden="false" customHeight="true" outlineLevel="0" collapsed="false">
      <c r="A316" s="29" t="n">
        <v>311</v>
      </c>
      <c r="B316" s="30" t="str">
        <f aca="false">IFERROR(edatum(datwert(Tilgungsrechner!C12),310),"")</f>
        <v/>
      </c>
      <c r="C316" s="31" t="str">
        <f aca="false">IF(F315&lt;=0,"",F315)</f>
        <v/>
      </c>
      <c r="D316" s="31" t="str">
        <f aca="false">IFERROR(IF(C316="","",ROUND(C316*Tilgungsrechner!C8/12,2)),"")</f>
        <v/>
      </c>
      <c r="E316" s="31" t="str">
        <f aca="false">IFERROR(IF(C316="","",MIN(ROUND(Tilgungsrechner!F7-D316,2),C316)),"")</f>
        <v/>
      </c>
      <c r="F316" s="31" t="str">
        <f aca="false">IFERROR(IF(C316="","",MAX(0, C316-E316-IF(MOD(A316,12)=0,Tilgungsrechner!C10,0))),"")</f>
        <v/>
      </c>
      <c r="G316" s="32" t="str">
        <f aca="false">IFERROR(IF(C316="","",IF(MOD(A316,12)=0,MIN(Tilgungsrechner!C10,MAX(0,C316-E316)),0)),"")</f>
        <v/>
      </c>
      <c r="H316" s="33" t="str">
        <f aca="false">IFERROR(IF(C316="","",aufround(A316/12,0)),"")</f>
        <v/>
      </c>
    </row>
    <row r="317" customFormat="false" ht="15.75" hidden="false" customHeight="true" outlineLevel="0" collapsed="false">
      <c r="A317" s="29" t="n">
        <v>312</v>
      </c>
      <c r="B317" s="30" t="str">
        <f aca="false">IFERROR(edatum(datwert(Tilgungsrechner!C12),311),"")</f>
        <v/>
      </c>
      <c r="C317" s="31" t="str">
        <f aca="false">IF(F316&lt;=0,"",F316)</f>
        <v/>
      </c>
      <c r="D317" s="31" t="str">
        <f aca="false">IFERROR(IF(C317="","",ROUND(C317*Tilgungsrechner!C8/12,2)),"")</f>
        <v/>
      </c>
      <c r="E317" s="31" t="str">
        <f aca="false">IFERROR(IF(C317="","",MIN(ROUND(Tilgungsrechner!F7-D317,2),C317)),"")</f>
        <v/>
      </c>
      <c r="F317" s="31" t="str">
        <f aca="false">IFERROR(IF(C317="","",MAX(0, C317-E317-IF(MOD(A317,12)=0,Tilgungsrechner!C10,0))),"")</f>
        <v/>
      </c>
      <c r="G317" s="32" t="str">
        <f aca="false">IFERROR(IF(C317="","",IF(MOD(A317,12)=0,MIN(Tilgungsrechner!C10,MAX(0,C317-E317)),0)),"")</f>
        <v/>
      </c>
      <c r="H317" s="33" t="str">
        <f aca="false">IFERROR(IF(C317="","",aufround(A317/12,0)),"")</f>
        <v/>
      </c>
    </row>
    <row r="318" customFormat="false" ht="15.75" hidden="false" customHeight="true" outlineLevel="0" collapsed="false">
      <c r="A318" s="29" t="n">
        <v>313</v>
      </c>
      <c r="B318" s="30" t="str">
        <f aca="false">IFERROR(edatum(datwert(Tilgungsrechner!C12),312),"")</f>
        <v/>
      </c>
      <c r="C318" s="31" t="str">
        <f aca="false">IF(F317&lt;=0,"",F317)</f>
        <v/>
      </c>
      <c r="D318" s="31" t="str">
        <f aca="false">IFERROR(IF(C318="","",ROUND(C318*Tilgungsrechner!C8/12,2)),"")</f>
        <v/>
      </c>
      <c r="E318" s="31" t="str">
        <f aca="false">IFERROR(IF(C318="","",MIN(ROUND(Tilgungsrechner!F7-D318,2),C318)),"")</f>
        <v/>
      </c>
      <c r="F318" s="31" t="str">
        <f aca="false">IFERROR(IF(C318="","",MAX(0, C318-E318-IF(MOD(A318,12)=0,Tilgungsrechner!C10,0))),"")</f>
        <v/>
      </c>
      <c r="G318" s="32" t="str">
        <f aca="false">IFERROR(IF(C318="","",IF(MOD(A318,12)=0,MIN(Tilgungsrechner!C10,MAX(0,C318-E318)),0)),"")</f>
        <v/>
      </c>
      <c r="H318" s="33" t="str">
        <f aca="false">IFERROR(IF(C318="","",aufround(A318/12,0)),"")</f>
        <v/>
      </c>
    </row>
    <row r="319" customFormat="false" ht="15.75" hidden="false" customHeight="true" outlineLevel="0" collapsed="false">
      <c r="A319" s="29" t="n">
        <v>314</v>
      </c>
      <c r="B319" s="30" t="str">
        <f aca="false">IFERROR(edatum(datwert(Tilgungsrechner!C12),313),"")</f>
        <v/>
      </c>
      <c r="C319" s="31" t="str">
        <f aca="false">IF(F318&lt;=0,"",F318)</f>
        <v/>
      </c>
      <c r="D319" s="31" t="str">
        <f aca="false">IFERROR(IF(C319="","",ROUND(C319*Tilgungsrechner!C8/12,2)),"")</f>
        <v/>
      </c>
      <c r="E319" s="31" t="str">
        <f aca="false">IFERROR(IF(C319="","",MIN(ROUND(Tilgungsrechner!F7-D319,2),C319)),"")</f>
        <v/>
      </c>
      <c r="F319" s="31" t="str">
        <f aca="false">IFERROR(IF(C319="","",MAX(0, C319-E319-IF(MOD(A319,12)=0,Tilgungsrechner!C10,0))),"")</f>
        <v/>
      </c>
      <c r="G319" s="32" t="str">
        <f aca="false">IFERROR(IF(C319="","",IF(MOD(A319,12)=0,MIN(Tilgungsrechner!C10,MAX(0,C319-E319)),0)),"")</f>
        <v/>
      </c>
      <c r="H319" s="33" t="str">
        <f aca="false">IFERROR(IF(C319="","",aufround(A319/12,0)),"")</f>
        <v/>
      </c>
    </row>
    <row r="320" customFormat="false" ht="15.75" hidden="false" customHeight="true" outlineLevel="0" collapsed="false">
      <c r="A320" s="29" t="n">
        <v>315</v>
      </c>
      <c r="B320" s="30" t="str">
        <f aca="false">IFERROR(edatum(datwert(Tilgungsrechner!C12),314),"")</f>
        <v/>
      </c>
      <c r="C320" s="31" t="str">
        <f aca="false">IF(F319&lt;=0,"",F319)</f>
        <v/>
      </c>
      <c r="D320" s="31" t="str">
        <f aca="false">IFERROR(IF(C320="","",ROUND(C320*Tilgungsrechner!C8/12,2)),"")</f>
        <v/>
      </c>
      <c r="E320" s="31" t="str">
        <f aca="false">IFERROR(IF(C320="","",MIN(ROUND(Tilgungsrechner!F7-D320,2),C320)),"")</f>
        <v/>
      </c>
      <c r="F320" s="31" t="str">
        <f aca="false">IFERROR(IF(C320="","",MAX(0, C320-E320-IF(MOD(A320,12)=0,Tilgungsrechner!C10,0))),"")</f>
        <v/>
      </c>
      <c r="G320" s="32" t="str">
        <f aca="false">IFERROR(IF(C320="","",IF(MOD(A320,12)=0,MIN(Tilgungsrechner!C10,MAX(0,C320-E320)),0)),"")</f>
        <v/>
      </c>
      <c r="H320" s="33" t="str">
        <f aca="false">IFERROR(IF(C320="","",aufround(A320/12,0)),"")</f>
        <v/>
      </c>
    </row>
    <row r="321" customFormat="false" ht="15.75" hidden="false" customHeight="true" outlineLevel="0" collapsed="false">
      <c r="A321" s="29" t="n">
        <v>316</v>
      </c>
      <c r="B321" s="30" t="str">
        <f aca="false">IFERROR(edatum(datwert(Tilgungsrechner!C12),315),"")</f>
        <v/>
      </c>
      <c r="C321" s="31" t="str">
        <f aca="false">IF(F320&lt;=0,"",F320)</f>
        <v/>
      </c>
      <c r="D321" s="31" t="str">
        <f aca="false">IFERROR(IF(C321="","",ROUND(C321*Tilgungsrechner!C8/12,2)),"")</f>
        <v/>
      </c>
      <c r="E321" s="31" t="str">
        <f aca="false">IFERROR(IF(C321="","",MIN(ROUND(Tilgungsrechner!F7-D321,2),C321)),"")</f>
        <v/>
      </c>
      <c r="F321" s="31" t="str">
        <f aca="false">IFERROR(IF(C321="","",MAX(0, C321-E321-IF(MOD(A321,12)=0,Tilgungsrechner!C10,0))),"")</f>
        <v/>
      </c>
      <c r="G321" s="32" t="str">
        <f aca="false">IFERROR(IF(C321="","",IF(MOD(A321,12)=0,MIN(Tilgungsrechner!C10,MAX(0,C321-E321)),0)),"")</f>
        <v/>
      </c>
      <c r="H321" s="33" t="str">
        <f aca="false">IFERROR(IF(C321="","",aufround(A321/12,0)),"")</f>
        <v/>
      </c>
    </row>
    <row r="322" customFormat="false" ht="15.75" hidden="false" customHeight="true" outlineLevel="0" collapsed="false">
      <c r="A322" s="29" t="n">
        <v>317</v>
      </c>
      <c r="B322" s="30" t="str">
        <f aca="false">IFERROR(edatum(datwert(Tilgungsrechner!C12),316),"")</f>
        <v/>
      </c>
      <c r="C322" s="31" t="str">
        <f aca="false">IF(F321&lt;=0,"",F321)</f>
        <v/>
      </c>
      <c r="D322" s="31" t="str">
        <f aca="false">IFERROR(IF(C322="","",ROUND(C322*Tilgungsrechner!C8/12,2)),"")</f>
        <v/>
      </c>
      <c r="E322" s="31" t="str">
        <f aca="false">IFERROR(IF(C322="","",MIN(ROUND(Tilgungsrechner!F7-D322,2),C322)),"")</f>
        <v/>
      </c>
      <c r="F322" s="31" t="str">
        <f aca="false">IFERROR(IF(C322="","",MAX(0, C322-E322-IF(MOD(A322,12)=0,Tilgungsrechner!C10,0))),"")</f>
        <v/>
      </c>
      <c r="G322" s="32" t="str">
        <f aca="false">IFERROR(IF(C322="","",IF(MOD(A322,12)=0,MIN(Tilgungsrechner!C10,MAX(0,C322-E322)),0)),"")</f>
        <v/>
      </c>
      <c r="H322" s="33" t="str">
        <f aca="false">IFERROR(IF(C322="","",aufround(A322/12,0)),"")</f>
        <v/>
      </c>
    </row>
    <row r="323" customFormat="false" ht="15.75" hidden="false" customHeight="true" outlineLevel="0" collapsed="false">
      <c r="A323" s="29" t="n">
        <v>318</v>
      </c>
      <c r="B323" s="30" t="str">
        <f aca="false">IFERROR(edatum(datwert(Tilgungsrechner!C12),317),"")</f>
        <v/>
      </c>
      <c r="C323" s="31" t="str">
        <f aca="false">IF(F322&lt;=0,"",F322)</f>
        <v/>
      </c>
      <c r="D323" s="31" t="str">
        <f aca="false">IFERROR(IF(C323="","",ROUND(C323*Tilgungsrechner!C8/12,2)),"")</f>
        <v/>
      </c>
      <c r="E323" s="31" t="str">
        <f aca="false">IFERROR(IF(C323="","",MIN(ROUND(Tilgungsrechner!F7-D323,2),C323)),"")</f>
        <v/>
      </c>
      <c r="F323" s="31" t="str">
        <f aca="false">IFERROR(IF(C323="","",MAX(0, C323-E323-IF(MOD(A323,12)=0,Tilgungsrechner!C10,0))),"")</f>
        <v/>
      </c>
      <c r="G323" s="32" t="str">
        <f aca="false">IFERROR(IF(C323="","",IF(MOD(A323,12)=0,MIN(Tilgungsrechner!C10,MAX(0,C323-E323)),0)),"")</f>
        <v/>
      </c>
      <c r="H323" s="33" t="str">
        <f aca="false">IFERROR(IF(C323="","",aufround(A323/12,0)),"")</f>
        <v/>
      </c>
    </row>
    <row r="324" customFormat="false" ht="15.75" hidden="false" customHeight="true" outlineLevel="0" collapsed="false">
      <c r="A324" s="29" t="n">
        <v>319</v>
      </c>
      <c r="B324" s="30" t="str">
        <f aca="false">IFERROR(edatum(datwert(Tilgungsrechner!C12),318),"")</f>
        <v/>
      </c>
      <c r="C324" s="31" t="str">
        <f aca="false">IF(F323&lt;=0,"",F323)</f>
        <v/>
      </c>
      <c r="D324" s="31" t="str">
        <f aca="false">IFERROR(IF(C324="","",ROUND(C324*Tilgungsrechner!C8/12,2)),"")</f>
        <v/>
      </c>
      <c r="E324" s="31" t="str">
        <f aca="false">IFERROR(IF(C324="","",MIN(ROUND(Tilgungsrechner!F7-D324,2),C324)),"")</f>
        <v/>
      </c>
      <c r="F324" s="31" t="str">
        <f aca="false">IFERROR(IF(C324="","",MAX(0, C324-E324-IF(MOD(A324,12)=0,Tilgungsrechner!C10,0))),"")</f>
        <v/>
      </c>
      <c r="G324" s="32" t="str">
        <f aca="false">IFERROR(IF(C324="","",IF(MOD(A324,12)=0,MIN(Tilgungsrechner!C10,MAX(0,C324-E324)),0)),"")</f>
        <v/>
      </c>
      <c r="H324" s="33" t="str">
        <f aca="false">IFERROR(IF(C324="","",aufround(A324/12,0)),"")</f>
        <v/>
      </c>
    </row>
    <row r="325" customFormat="false" ht="15.75" hidden="false" customHeight="true" outlineLevel="0" collapsed="false">
      <c r="A325" s="29" t="n">
        <v>320</v>
      </c>
      <c r="B325" s="30" t="str">
        <f aca="false">IFERROR(edatum(datwert(Tilgungsrechner!C12),319),"")</f>
        <v/>
      </c>
      <c r="C325" s="31" t="str">
        <f aca="false">IF(F324&lt;=0,"",F324)</f>
        <v/>
      </c>
      <c r="D325" s="31" t="str">
        <f aca="false">IFERROR(IF(C325="","",ROUND(C325*Tilgungsrechner!C8/12,2)),"")</f>
        <v/>
      </c>
      <c r="E325" s="31" t="str">
        <f aca="false">IFERROR(IF(C325="","",MIN(ROUND(Tilgungsrechner!F7-D325,2),C325)),"")</f>
        <v/>
      </c>
      <c r="F325" s="31" t="str">
        <f aca="false">IFERROR(IF(C325="","",MAX(0, C325-E325-IF(MOD(A325,12)=0,Tilgungsrechner!C10,0))),"")</f>
        <v/>
      </c>
      <c r="G325" s="32" t="str">
        <f aca="false">IFERROR(IF(C325="","",IF(MOD(A325,12)=0,MIN(Tilgungsrechner!C10,MAX(0,C325-E325)),0)),"")</f>
        <v/>
      </c>
      <c r="H325" s="33" t="str">
        <f aca="false">IFERROR(IF(C325="","",aufround(A325/12,0)),"")</f>
        <v/>
      </c>
    </row>
    <row r="326" customFormat="false" ht="15.75" hidden="false" customHeight="true" outlineLevel="0" collapsed="false">
      <c r="A326" s="29" t="n">
        <v>321</v>
      </c>
      <c r="B326" s="30" t="str">
        <f aca="false">IFERROR(edatum(datwert(Tilgungsrechner!C12),320),"")</f>
        <v/>
      </c>
      <c r="C326" s="31" t="str">
        <f aca="false">IF(F325&lt;=0,"",F325)</f>
        <v/>
      </c>
      <c r="D326" s="31" t="str">
        <f aca="false">IFERROR(IF(C326="","",ROUND(C326*Tilgungsrechner!C8/12,2)),"")</f>
        <v/>
      </c>
      <c r="E326" s="31" t="str">
        <f aca="false">IFERROR(IF(C326="","",MIN(ROUND(Tilgungsrechner!F7-D326,2),C326)),"")</f>
        <v/>
      </c>
      <c r="F326" s="31" t="str">
        <f aca="false">IFERROR(IF(C326="","",MAX(0, C326-E326-IF(MOD(A326,12)=0,Tilgungsrechner!C10,0))),"")</f>
        <v/>
      </c>
      <c r="G326" s="32" t="str">
        <f aca="false">IFERROR(IF(C326="","",IF(MOD(A326,12)=0,MIN(Tilgungsrechner!C10,MAX(0,C326-E326)),0)),"")</f>
        <v/>
      </c>
      <c r="H326" s="33" t="str">
        <f aca="false">IFERROR(IF(C326="","",aufround(A326/12,0)),"")</f>
        <v/>
      </c>
    </row>
    <row r="327" customFormat="false" ht="15.75" hidden="false" customHeight="true" outlineLevel="0" collapsed="false">
      <c r="A327" s="29" t="n">
        <v>322</v>
      </c>
      <c r="B327" s="30" t="str">
        <f aca="false">IFERROR(edatum(datwert(Tilgungsrechner!C12),321),"")</f>
        <v/>
      </c>
      <c r="C327" s="31" t="str">
        <f aca="false">IF(F326&lt;=0,"",F326)</f>
        <v/>
      </c>
      <c r="D327" s="31" t="str">
        <f aca="false">IFERROR(IF(C327="","",ROUND(C327*Tilgungsrechner!C8/12,2)),"")</f>
        <v/>
      </c>
      <c r="E327" s="31" t="str">
        <f aca="false">IFERROR(IF(C327="","",MIN(ROUND(Tilgungsrechner!F7-D327,2),C327)),"")</f>
        <v/>
      </c>
      <c r="F327" s="31" t="str">
        <f aca="false">IFERROR(IF(C327="","",MAX(0, C327-E327-IF(MOD(A327,12)=0,Tilgungsrechner!C10,0))),"")</f>
        <v/>
      </c>
      <c r="G327" s="32" t="str">
        <f aca="false">IFERROR(IF(C327="","",IF(MOD(A327,12)=0,MIN(Tilgungsrechner!C10,MAX(0,C327-E327)),0)),"")</f>
        <v/>
      </c>
      <c r="H327" s="33" t="str">
        <f aca="false">IFERROR(IF(C327="","",aufround(A327/12,0)),"")</f>
        <v/>
      </c>
    </row>
    <row r="328" customFormat="false" ht="15.75" hidden="false" customHeight="true" outlineLevel="0" collapsed="false">
      <c r="A328" s="29" t="n">
        <v>323</v>
      </c>
      <c r="B328" s="30" t="str">
        <f aca="false">IFERROR(edatum(datwert(Tilgungsrechner!C12),322),"")</f>
        <v/>
      </c>
      <c r="C328" s="31" t="str">
        <f aca="false">IF(F327&lt;=0,"",F327)</f>
        <v/>
      </c>
      <c r="D328" s="31" t="str">
        <f aca="false">IFERROR(IF(C328="","",ROUND(C328*Tilgungsrechner!C8/12,2)),"")</f>
        <v/>
      </c>
      <c r="E328" s="31" t="str">
        <f aca="false">IFERROR(IF(C328="","",MIN(ROUND(Tilgungsrechner!F7-D328,2),C328)),"")</f>
        <v/>
      </c>
      <c r="F328" s="31" t="str">
        <f aca="false">IFERROR(IF(C328="","",MAX(0, C328-E328-IF(MOD(A328,12)=0,Tilgungsrechner!C10,0))),"")</f>
        <v/>
      </c>
      <c r="G328" s="32" t="str">
        <f aca="false">IFERROR(IF(C328="","",IF(MOD(A328,12)=0,MIN(Tilgungsrechner!C10,MAX(0,C328-E328)),0)),"")</f>
        <v/>
      </c>
      <c r="H328" s="33" t="str">
        <f aca="false">IFERROR(IF(C328="","",aufround(A328/12,0)),"")</f>
        <v/>
      </c>
    </row>
    <row r="329" customFormat="false" ht="15.75" hidden="false" customHeight="true" outlineLevel="0" collapsed="false">
      <c r="A329" s="29" t="n">
        <v>324</v>
      </c>
      <c r="B329" s="30" t="str">
        <f aca="false">IFERROR(edatum(datwert(Tilgungsrechner!C12),323),"")</f>
        <v/>
      </c>
      <c r="C329" s="31" t="str">
        <f aca="false">IF(F328&lt;=0,"",F328)</f>
        <v/>
      </c>
      <c r="D329" s="31" t="str">
        <f aca="false">IFERROR(IF(C329="","",ROUND(C329*Tilgungsrechner!C8/12,2)),"")</f>
        <v/>
      </c>
      <c r="E329" s="31" t="str">
        <f aca="false">IFERROR(IF(C329="","",MIN(ROUND(Tilgungsrechner!F7-D329,2),C329)),"")</f>
        <v/>
      </c>
      <c r="F329" s="31" t="str">
        <f aca="false">IFERROR(IF(C329="","",MAX(0, C329-E329-IF(MOD(A329,12)=0,Tilgungsrechner!C10,0))),"")</f>
        <v/>
      </c>
      <c r="G329" s="32" t="str">
        <f aca="false">IFERROR(IF(C329="","",IF(MOD(A329,12)=0,MIN(Tilgungsrechner!C10,MAX(0,C329-E329)),0)),"")</f>
        <v/>
      </c>
      <c r="H329" s="33" t="str">
        <f aca="false">IFERROR(IF(C329="","",aufround(A329/12,0)),"")</f>
        <v/>
      </c>
    </row>
    <row r="330" customFormat="false" ht="15.75" hidden="false" customHeight="true" outlineLevel="0" collapsed="false">
      <c r="A330" s="29" t="n">
        <v>325</v>
      </c>
      <c r="B330" s="30" t="str">
        <f aca="false">IFERROR(edatum(datwert(Tilgungsrechner!C12),324),"")</f>
        <v/>
      </c>
      <c r="C330" s="31" t="str">
        <f aca="false">IF(F329&lt;=0,"",F329)</f>
        <v/>
      </c>
      <c r="D330" s="31" t="str">
        <f aca="false">IFERROR(IF(C330="","",ROUND(C330*Tilgungsrechner!C8/12,2)),"")</f>
        <v/>
      </c>
      <c r="E330" s="31" t="str">
        <f aca="false">IFERROR(IF(C330="","",MIN(ROUND(Tilgungsrechner!F7-D330,2),C330)),"")</f>
        <v/>
      </c>
      <c r="F330" s="31" t="str">
        <f aca="false">IFERROR(IF(C330="","",MAX(0, C330-E330-IF(MOD(A330,12)=0,Tilgungsrechner!C10,0))),"")</f>
        <v/>
      </c>
      <c r="G330" s="32" t="str">
        <f aca="false">IFERROR(IF(C330="","",IF(MOD(A330,12)=0,MIN(Tilgungsrechner!C10,MAX(0,C330-E330)),0)),"")</f>
        <v/>
      </c>
      <c r="H330" s="33" t="str">
        <f aca="false">IFERROR(IF(C330="","",aufround(A330/12,0)),"")</f>
        <v/>
      </c>
    </row>
    <row r="331" customFormat="false" ht="15.75" hidden="false" customHeight="true" outlineLevel="0" collapsed="false">
      <c r="A331" s="29" t="n">
        <v>326</v>
      </c>
      <c r="B331" s="30" t="str">
        <f aca="false">IFERROR(edatum(datwert(Tilgungsrechner!C12),325),"")</f>
        <v/>
      </c>
      <c r="C331" s="31" t="str">
        <f aca="false">IF(F330&lt;=0,"",F330)</f>
        <v/>
      </c>
      <c r="D331" s="31" t="str">
        <f aca="false">IFERROR(IF(C331="","",ROUND(C331*Tilgungsrechner!C8/12,2)),"")</f>
        <v/>
      </c>
      <c r="E331" s="31" t="str">
        <f aca="false">IFERROR(IF(C331="","",MIN(ROUND(Tilgungsrechner!F7-D331,2),C331)),"")</f>
        <v/>
      </c>
      <c r="F331" s="31" t="str">
        <f aca="false">IFERROR(IF(C331="","",MAX(0, C331-E331-IF(MOD(A331,12)=0,Tilgungsrechner!C10,0))),"")</f>
        <v/>
      </c>
      <c r="G331" s="32" t="str">
        <f aca="false">IFERROR(IF(C331="","",IF(MOD(A331,12)=0,MIN(Tilgungsrechner!C10,MAX(0,C331-E331)),0)),"")</f>
        <v/>
      </c>
      <c r="H331" s="33" t="str">
        <f aca="false">IFERROR(IF(C331="","",aufround(A331/12,0)),"")</f>
        <v/>
      </c>
    </row>
    <row r="332" customFormat="false" ht="15.75" hidden="false" customHeight="true" outlineLevel="0" collapsed="false">
      <c r="A332" s="29" t="n">
        <v>327</v>
      </c>
      <c r="B332" s="30" t="str">
        <f aca="false">IFERROR(edatum(datwert(Tilgungsrechner!C12),326),"")</f>
        <v/>
      </c>
      <c r="C332" s="31" t="str">
        <f aca="false">IF(F331&lt;=0,"",F331)</f>
        <v/>
      </c>
      <c r="D332" s="31" t="str">
        <f aca="false">IFERROR(IF(C332="","",ROUND(C332*Tilgungsrechner!C8/12,2)),"")</f>
        <v/>
      </c>
      <c r="E332" s="31" t="str">
        <f aca="false">IFERROR(IF(C332="","",MIN(ROUND(Tilgungsrechner!F7-D332,2),C332)),"")</f>
        <v/>
      </c>
      <c r="F332" s="31" t="str">
        <f aca="false">IFERROR(IF(C332="","",MAX(0, C332-E332-IF(MOD(A332,12)=0,Tilgungsrechner!C10,0))),"")</f>
        <v/>
      </c>
      <c r="G332" s="32" t="str">
        <f aca="false">IFERROR(IF(C332="","",IF(MOD(A332,12)=0,MIN(Tilgungsrechner!C10,MAX(0,C332-E332)),0)),"")</f>
        <v/>
      </c>
      <c r="H332" s="33" t="str">
        <f aca="false">IFERROR(IF(C332="","",aufround(A332/12,0)),"")</f>
        <v/>
      </c>
    </row>
    <row r="333" customFormat="false" ht="15.75" hidden="false" customHeight="true" outlineLevel="0" collapsed="false">
      <c r="A333" s="29" t="n">
        <v>328</v>
      </c>
      <c r="B333" s="30" t="str">
        <f aca="false">IFERROR(edatum(datwert(Tilgungsrechner!C12),327),"")</f>
        <v/>
      </c>
      <c r="C333" s="31" t="str">
        <f aca="false">IF(F332&lt;=0,"",F332)</f>
        <v/>
      </c>
      <c r="D333" s="31" t="str">
        <f aca="false">IFERROR(IF(C333="","",ROUND(C333*Tilgungsrechner!C8/12,2)),"")</f>
        <v/>
      </c>
      <c r="E333" s="31" t="str">
        <f aca="false">IFERROR(IF(C333="","",MIN(ROUND(Tilgungsrechner!F7-D333,2),C333)),"")</f>
        <v/>
      </c>
      <c r="F333" s="31" t="str">
        <f aca="false">IFERROR(IF(C333="","",MAX(0, C333-E333-IF(MOD(A333,12)=0,Tilgungsrechner!C10,0))),"")</f>
        <v/>
      </c>
      <c r="G333" s="32" t="str">
        <f aca="false">IFERROR(IF(C333="","",IF(MOD(A333,12)=0,MIN(Tilgungsrechner!C10,MAX(0,C333-E333)),0)),"")</f>
        <v/>
      </c>
      <c r="H333" s="33" t="str">
        <f aca="false">IFERROR(IF(C333="","",aufround(A333/12,0)),"")</f>
        <v/>
      </c>
    </row>
    <row r="334" customFormat="false" ht="15.75" hidden="false" customHeight="true" outlineLevel="0" collapsed="false">
      <c r="A334" s="29" t="n">
        <v>329</v>
      </c>
      <c r="B334" s="30" t="str">
        <f aca="false">IFERROR(edatum(datwert(Tilgungsrechner!C12),328),"")</f>
        <v/>
      </c>
      <c r="C334" s="31" t="str">
        <f aca="false">IF(F333&lt;=0,"",F333)</f>
        <v/>
      </c>
      <c r="D334" s="31" t="str">
        <f aca="false">IFERROR(IF(C334="","",ROUND(C334*Tilgungsrechner!C8/12,2)),"")</f>
        <v/>
      </c>
      <c r="E334" s="31" t="str">
        <f aca="false">IFERROR(IF(C334="","",MIN(ROUND(Tilgungsrechner!F7-D334,2),C334)),"")</f>
        <v/>
      </c>
      <c r="F334" s="31" t="str">
        <f aca="false">IFERROR(IF(C334="","",MAX(0, C334-E334-IF(MOD(A334,12)=0,Tilgungsrechner!C10,0))),"")</f>
        <v/>
      </c>
      <c r="G334" s="32" t="str">
        <f aca="false">IFERROR(IF(C334="","",IF(MOD(A334,12)=0,MIN(Tilgungsrechner!C10,MAX(0,C334-E334)),0)),"")</f>
        <v/>
      </c>
      <c r="H334" s="33" t="str">
        <f aca="false">IFERROR(IF(C334="","",aufround(A334/12,0)),"")</f>
        <v/>
      </c>
    </row>
    <row r="335" customFormat="false" ht="15.75" hidden="false" customHeight="true" outlineLevel="0" collapsed="false">
      <c r="A335" s="29" t="n">
        <v>330</v>
      </c>
      <c r="B335" s="30" t="str">
        <f aca="false">IFERROR(edatum(datwert(Tilgungsrechner!C12),329),"")</f>
        <v/>
      </c>
      <c r="C335" s="31" t="str">
        <f aca="false">IF(F334&lt;=0,"",F334)</f>
        <v/>
      </c>
      <c r="D335" s="31" t="str">
        <f aca="false">IFERROR(IF(C335="","",ROUND(C335*Tilgungsrechner!C8/12,2)),"")</f>
        <v/>
      </c>
      <c r="E335" s="31" t="str">
        <f aca="false">IFERROR(IF(C335="","",MIN(ROUND(Tilgungsrechner!F7-D335,2),C335)),"")</f>
        <v/>
      </c>
      <c r="F335" s="31" t="str">
        <f aca="false">IFERROR(IF(C335="","",MAX(0, C335-E335-IF(MOD(A335,12)=0,Tilgungsrechner!C10,0))),"")</f>
        <v/>
      </c>
      <c r="G335" s="32" t="str">
        <f aca="false">IFERROR(IF(C335="","",IF(MOD(A335,12)=0,MIN(Tilgungsrechner!C10,MAX(0,C335-E335)),0)),"")</f>
        <v/>
      </c>
      <c r="H335" s="33" t="str">
        <f aca="false">IFERROR(IF(C335="","",aufround(A335/12,0)),"")</f>
        <v/>
      </c>
    </row>
    <row r="336" customFormat="false" ht="15.75" hidden="false" customHeight="true" outlineLevel="0" collapsed="false">
      <c r="A336" s="29" t="n">
        <v>331</v>
      </c>
      <c r="B336" s="30" t="str">
        <f aca="false">IFERROR(edatum(datwert(Tilgungsrechner!C12),330),"")</f>
        <v/>
      </c>
      <c r="C336" s="31" t="str">
        <f aca="false">IF(F335&lt;=0,"",F335)</f>
        <v/>
      </c>
      <c r="D336" s="31" t="str">
        <f aca="false">IFERROR(IF(C336="","",ROUND(C336*Tilgungsrechner!C8/12,2)),"")</f>
        <v/>
      </c>
      <c r="E336" s="31" t="str">
        <f aca="false">IFERROR(IF(C336="","",MIN(ROUND(Tilgungsrechner!F7-D336,2),C336)),"")</f>
        <v/>
      </c>
      <c r="F336" s="31" t="str">
        <f aca="false">IFERROR(IF(C336="","",MAX(0, C336-E336-IF(MOD(A336,12)=0,Tilgungsrechner!C10,0))),"")</f>
        <v/>
      </c>
      <c r="G336" s="32" t="str">
        <f aca="false">IFERROR(IF(C336="","",IF(MOD(A336,12)=0,MIN(Tilgungsrechner!C10,MAX(0,C336-E336)),0)),"")</f>
        <v/>
      </c>
      <c r="H336" s="33" t="str">
        <f aca="false">IFERROR(IF(C336="","",aufround(A336/12,0)),"")</f>
        <v/>
      </c>
    </row>
    <row r="337" customFormat="false" ht="15.75" hidden="false" customHeight="true" outlineLevel="0" collapsed="false">
      <c r="A337" s="29" t="n">
        <v>332</v>
      </c>
      <c r="B337" s="30" t="str">
        <f aca="false">IFERROR(edatum(datwert(Tilgungsrechner!C12),331),"")</f>
        <v/>
      </c>
      <c r="C337" s="31" t="str">
        <f aca="false">IF(F336&lt;=0,"",F336)</f>
        <v/>
      </c>
      <c r="D337" s="31" t="str">
        <f aca="false">IFERROR(IF(C337="","",ROUND(C337*Tilgungsrechner!C8/12,2)),"")</f>
        <v/>
      </c>
      <c r="E337" s="31" t="str">
        <f aca="false">IFERROR(IF(C337="","",MIN(ROUND(Tilgungsrechner!F7-D337,2),C337)),"")</f>
        <v/>
      </c>
      <c r="F337" s="31" t="str">
        <f aca="false">IFERROR(IF(C337="","",MAX(0, C337-E337-IF(MOD(A337,12)=0,Tilgungsrechner!C10,0))),"")</f>
        <v/>
      </c>
      <c r="G337" s="32" t="str">
        <f aca="false">IFERROR(IF(C337="","",IF(MOD(A337,12)=0,MIN(Tilgungsrechner!C10,MAX(0,C337-E337)),0)),"")</f>
        <v/>
      </c>
      <c r="H337" s="33" t="str">
        <f aca="false">IFERROR(IF(C337="","",aufround(A337/12,0)),"")</f>
        <v/>
      </c>
    </row>
    <row r="338" customFormat="false" ht="15.75" hidden="false" customHeight="true" outlineLevel="0" collapsed="false">
      <c r="A338" s="29" t="n">
        <v>333</v>
      </c>
      <c r="B338" s="30" t="str">
        <f aca="false">IFERROR(edatum(datwert(Tilgungsrechner!C12),332),"")</f>
        <v/>
      </c>
      <c r="C338" s="31" t="str">
        <f aca="false">IF(F337&lt;=0,"",F337)</f>
        <v/>
      </c>
      <c r="D338" s="31" t="str">
        <f aca="false">IFERROR(IF(C338="","",ROUND(C338*Tilgungsrechner!C8/12,2)),"")</f>
        <v/>
      </c>
      <c r="E338" s="31" t="str">
        <f aca="false">IFERROR(IF(C338="","",MIN(ROUND(Tilgungsrechner!F7-D338,2),C338)),"")</f>
        <v/>
      </c>
      <c r="F338" s="31" t="str">
        <f aca="false">IFERROR(IF(C338="","",MAX(0, C338-E338-IF(MOD(A338,12)=0,Tilgungsrechner!C10,0))),"")</f>
        <v/>
      </c>
      <c r="G338" s="32" t="str">
        <f aca="false">IFERROR(IF(C338="","",IF(MOD(A338,12)=0,MIN(Tilgungsrechner!C10,MAX(0,C338-E338)),0)),"")</f>
        <v/>
      </c>
      <c r="H338" s="33" t="str">
        <f aca="false">IFERROR(IF(C338="","",aufround(A338/12,0)),"")</f>
        <v/>
      </c>
    </row>
    <row r="339" customFormat="false" ht="15.75" hidden="false" customHeight="true" outlineLevel="0" collapsed="false">
      <c r="A339" s="29" t="n">
        <v>334</v>
      </c>
      <c r="B339" s="30" t="str">
        <f aca="false">IFERROR(edatum(datwert(Tilgungsrechner!C12),333),"")</f>
        <v/>
      </c>
      <c r="C339" s="31" t="str">
        <f aca="false">IF(F338&lt;=0,"",F338)</f>
        <v/>
      </c>
      <c r="D339" s="31" t="str">
        <f aca="false">IFERROR(IF(C339="","",ROUND(C339*Tilgungsrechner!C8/12,2)),"")</f>
        <v/>
      </c>
      <c r="E339" s="31" t="str">
        <f aca="false">IFERROR(IF(C339="","",MIN(ROUND(Tilgungsrechner!F7-D339,2),C339)),"")</f>
        <v/>
      </c>
      <c r="F339" s="31" t="str">
        <f aca="false">IFERROR(IF(C339="","",MAX(0, C339-E339-IF(MOD(A339,12)=0,Tilgungsrechner!C10,0))),"")</f>
        <v/>
      </c>
      <c r="G339" s="32" t="str">
        <f aca="false">IFERROR(IF(C339="","",IF(MOD(A339,12)=0,MIN(Tilgungsrechner!C10,MAX(0,C339-E339)),0)),"")</f>
        <v/>
      </c>
      <c r="H339" s="33" t="str">
        <f aca="false">IFERROR(IF(C339="","",aufround(A339/12,0)),"")</f>
        <v/>
      </c>
    </row>
    <row r="340" customFormat="false" ht="15.75" hidden="false" customHeight="true" outlineLevel="0" collapsed="false">
      <c r="A340" s="29" t="n">
        <v>335</v>
      </c>
      <c r="B340" s="30" t="str">
        <f aca="false">IFERROR(edatum(datwert(Tilgungsrechner!C12),334),"")</f>
        <v/>
      </c>
      <c r="C340" s="31" t="str">
        <f aca="false">IF(F339&lt;=0,"",F339)</f>
        <v/>
      </c>
      <c r="D340" s="31" t="str">
        <f aca="false">IFERROR(IF(C340="","",ROUND(C340*Tilgungsrechner!C8/12,2)),"")</f>
        <v/>
      </c>
      <c r="E340" s="31" t="str">
        <f aca="false">IFERROR(IF(C340="","",MIN(ROUND(Tilgungsrechner!F7-D340,2),C340)),"")</f>
        <v/>
      </c>
      <c r="F340" s="31" t="str">
        <f aca="false">IFERROR(IF(C340="","",MAX(0, C340-E340-IF(MOD(A340,12)=0,Tilgungsrechner!C10,0))),"")</f>
        <v/>
      </c>
      <c r="G340" s="32" t="str">
        <f aca="false">IFERROR(IF(C340="","",IF(MOD(A340,12)=0,MIN(Tilgungsrechner!C10,MAX(0,C340-E340)),0)),"")</f>
        <v/>
      </c>
      <c r="H340" s="33" t="str">
        <f aca="false">IFERROR(IF(C340="","",aufround(A340/12,0)),"")</f>
        <v/>
      </c>
    </row>
    <row r="341" customFormat="false" ht="15.75" hidden="false" customHeight="true" outlineLevel="0" collapsed="false">
      <c r="A341" s="29" t="n">
        <v>336</v>
      </c>
      <c r="B341" s="30" t="str">
        <f aca="false">IFERROR(edatum(datwert(Tilgungsrechner!C12),335),"")</f>
        <v/>
      </c>
      <c r="C341" s="31" t="str">
        <f aca="false">IF(F340&lt;=0,"",F340)</f>
        <v/>
      </c>
      <c r="D341" s="31" t="str">
        <f aca="false">IFERROR(IF(C341="","",ROUND(C341*Tilgungsrechner!C8/12,2)),"")</f>
        <v/>
      </c>
      <c r="E341" s="31" t="str">
        <f aca="false">IFERROR(IF(C341="","",MIN(ROUND(Tilgungsrechner!F7-D341,2),C341)),"")</f>
        <v/>
      </c>
      <c r="F341" s="31" t="str">
        <f aca="false">IFERROR(IF(C341="","",MAX(0, C341-E341-IF(MOD(A341,12)=0,Tilgungsrechner!C10,0))),"")</f>
        <v/>
      </c>
      <c r="G341" s="32" t="str">
        <f aca="false">IFERROR(IF(C341="","",IF(MOD(A341,12)=0,MIN(Tilgungsrechner!C10,MAX(0,C341-E341)),0)),"")</f>
        <v/>
      </c>
      <c r="H341" s="33" t="str">
        <f aca="false">IFERROR(IF(C341="","",aufround(A341/12,0)),"")</f>
        <v/>
      </c>
    </row>
    <row r="342" customFormat="false" ht="15.75" hidden="false" customHeight="true" outlineLevel="0" collapsed="false">
      <c r="A342" s="29" t="n">
        <v>337</v>
      </c>
      <c r="B342" s="30" t="str">
        <f aca="false">IFERROR(edatum(datwert(Tilgungsrechner!C12),336),"")</f>
        <v/>
      </c>
      <c r="C342" s="31" t="str">
        <f aca="false">IF(F341&lt;=0,"",F341)</f>
        <v/>
      </c>
      <c r="D342" s="31" t="str">
        <f aca="false">IFERROR(IF(C342="","",ROUND(C342*Tilgungsrechner!C8/12,2)),"")</f>
        <v/>
      </c>
      <c r="E342" s="31" t="str">
        <f aca="false">IFERROR(IF(C342="","",MIN(ROUND(Tilgungsrechner!F7-D342,2),C342)),"")</f>
        <v/>
      </c>
      <c r="F342" s="31" t="str">
        <f aca="false">IFERROR(IF(C342="","",MAX(0, C342-E342-IF(MOD(A342,12)=0,Tilgungsrechner!C10,0))),"")</f>
        <v/>
      </c>
      <c r="G342" s="32" t="str">
        <f aca="false">IFERROR(IF(C342="","",IF(MOD(A342,12)=0,MIN(Tilgungsrechner!C10,MAX(0,C342-E342)),0)),"")</f>
        <v/>
      </c>
      <c r="H342" s="33" t="str">
        <f aca="false">IFERROR(IF(C342="","",aufround(A342/12,0)),"")</f>
        <v/>
      </c>
    </row>
    <row r="343" customFormat="false" ht="15.75" hidden="false" customHeight="true" outlineLevel="0" collapsed="false">
      <c r="A343" s="29" t="n">
        <v>338</v>
      </c>
      <c r="B343" s="30" t="str">
        <f aca="false">IFERROR(edatum(datwert(Tilgungsrechner!C12),337),"")</f>
        <v/>
      </c>
      <c r="C343" s="31" t="str">
        <f aca="false">IF(F342&lt;=0,"",F342)</f>
        <v/>
      </c>
      <c r="D343" s="31" t="str">
        <f aca="false">IFERROR(IF(C343="","",ROUND(C343*Tilgungsrechner!C8/12,2)),"")</f>
        <v/>
      </c>
      <c r="E343" s="31" t="str">
        <f aca="false">IFERROR(IF(C343="","",MIN(ROUND(Tilgungsrechner!F7-D343,2),C343)),"")</f>
        <v/>
      </c>
      <c r="F343" s="31" t="str">
        <f aca="false">IFERROR(IF(C343="","",MAX(0, C343-E343-IF(MOD(A343,12)=0,Tilgungsrechner!C10,0))),"")</f>
        <v/>
      </c>
      <c r="G343" s="32" t="str">
        <f aca="false">IFERROR(IF(C343="","",IF(MOD(A343,12)=0,MIN(Tilgungsrechner!C10,MAX(0,C343-E343)),0)),"")</f>
        <v/>
      </c>
      <c r="H343" s="33" t="str">
        <f aca="false">IFERROR(IF(C343="","",aufround(A343/12,0)),"")</f>
        <v/>
      </c>
    </row>
    <row r="344" customFormat="false" ht="15.75" hidden="false" customHeight="true" outlineLevel="0" collapsed="false">
      <c r="A344" s="29" t="n">
        <v>339</v>
      </c>
      <c r="B344" s="30" t="str">
        <f aca="false">IFERROR(edatum(datwert(Tilgungsrechner!C12),338),"")</f>
        <v/>
      </c>
      <c r="C344" s="31" t="str">
        <f aca="false">IF(F343&lt;=0,"",F343)</f>
        <v/>
      </c>
      <c r="D344" s="31" t="str">
        <f aca="false">IFERROR(IF(C344="","",ROUND(C344*Tilgungsrechner!C8/12,2)),"")</f>
        <v/>
      </c>
      <c r="E344" s="31" t="str">
        <f aca="false">IFERROR(IF(C344="","",MIN(ROUND(Tilgungsrechner!F7-D344,2),C344)),"")</f>
        <v/>
      </c>
      <c r="F344" s="31" t="str">
        <f aca="false">IFERROR(IF(C344="","",MAX(0, C344-E344-IF(MOD(A344,12)=0,Tilgungsrechner!C10,0))),"")</f>
        <v/>
      </c>
      <c r="G344" s="32" t="str">
        <f aca="false">IFERROR(IF(C344="","",IF(MOD(A344,12)=0,MIN(Tilgungsrechner!C10,MAX(0,C344-E344)),0)),"")</f>
        <v/>
      </c>
      <c r="H344" s="33" t="str">
        <f aca="false">IFERROR(IF(C344="","",aufround(A344/12,0)),"")</f>
        <v/>
      </c>
    </row>
    <row r="345" customFormat="false" ht="15.75" hidden="false" customHeight="true" outlineLevel="0" collapsed="false">
      <c r="A345" s="29" t="n">
        <v>340</v>
      </c>
      <c r="B345" s="30" t="str">
        <f aca="false">IFERROR(edatum(datwert(Tilgungsrechner!C12),339),"")</f>
        <v/>
      </c>
      <c r="C345" s="31" t="str">
        <f aca="false">IF(F344&lt;=0,"",F344)</f>
        <v/>
      </c>
      <c r="D345" s="31" t="str">
        <f aca="false">IFERROR(IF(C345="","",ROUND(C345*Tilgungsrechner!C8/12,2)),"")</f>
        <v/>
      </c>
      <c r="E345" s="31" t="str">
        <f aca="false">IFERROR(IF(C345="","",MIN(ROUND(Tilgungsrechner!F7-D345,2),C345)),"")</f>
        <v/>
      </c>
      <c r="F345" s="31" t="str">
        <f aca="false">IFERROR(IF(C345="","",MAX(0, C345-E345-IF(MOD(A345,12)=0,Tilgungsrechner!C10,0))),"")</f>
        <v/>
      </c>
      <c r="G345" s="32" t="str">
        <f aca="false">IFERROR(IF(C345="","",IF(MOD(A345,12)=0,MIN(Tilgungsrechner!C10,MAX(0,C345-E345)),0)),"")</f>
        <v/>
      </c>
      <c r="H345" s="33" t="str">
        <f aca="false">IFERROR(IF(C345="","",aufround(A345/12,0)),"")</f>
        <v/>
      </c>
    </row>
    <row r="346" customFormat="false" ht="15.75" hidden="false" customHeight="true" outlineLevel="0" collapsed="false">
      <c r="A346" s="29" t="n">
        <v>341</v>
      </c>
      <c r="B346" s="30" t="str">
        <f aca="false">IFERROR(edatum(datwert(Tilgungsrechner!C12),340),"")</f>
        <v/>
      </c>
      <c r="C346" s="31" t="str">
        <f aca="false">IF(F345&lt;=0,"",F345)</f>
        <v/>
      </c>
      <c r="D346" s="31" t="str">
        <f aca="false">IFERROR(IF(C346="","",ROUND(C346*Tilgungsrechner!C8/12,2)),"")</f>
        <v/>
      </c>
      <c r="E346" s="31" t="str">
        <f aca="false">IFERROR(IF(C346="","",MIN(ROUND(Tilgungsrechner!F7-D346,2),C346)),"")</f>
        <v/>
      </c>
      <c r="F346" s="31" t="str">
        <f aca="false">IFERROR(IF(C346="","",MAX(0, C346-E346-IF(MOD(A346,12)=0,Tilgungsrechner!C10,0))),"")</f>
        <v/>
      </c>
      <c r="G346" s="32" t="str">
        <f aca="false">IFERROR(IF(C346="","",IF(MOD(A346,12)=0,MIN(Tilgungsrechner!C10,MAX(0,C346-E346)),0)),"")</f>
        <v/>
      </c>
      <c r="H346" s="33" t="str">
        <f aca="false">IFERROR(IF(C346="","",aufround(A346/12,0)),"")</f>
        <v/>
      </c>
    </row>
    <row r="347" customFormat="false" ht="15.75" hidden="false" customHeight="true" outlineLevel="0" collapsed="false">
      <c r="A347" s="29" t="n">
        <v>342</v>
      </c>
      <c r="B347" s="30" t="str">
        <f aca="false">IFERROR(edatum(datwert(Tilgungsrechner!C12),341),"")</f>
        <v/>
      </c>
      <c r="C347" s="31" t="str">
        <f aca="false">IF(F346&lt;=0,"",F346)</f>
        <v/>
      </c>
      <c r="D347" s="31" t="str">
        <f aca="false">IFERROR(IF(C347="","",ROUND(C347*Tilgungsrechner!C8/12,2)),"")</f>
        <v/>
      </c>
      <c r="E347" s="31" t="str">
        <f aca="false">IFERROR(IF(C347="","",MIN(ROUND(Tilgungsrechner!F7-D347,2),C347)),"")</f>
        <v/>
      </c>
      <c r="F347" s="31" t="str">
        <f aca="false">IFERROR(IF(C347="","",MAX(0, C347-E347-IF(MOD(A347,12)=0,Tilgungsrechner!C10,0))),"")</f>
        <v/>
      </c>
      <c r="G347" s="32" t="str">
        <f aca="false">IFERROR(IF(C347="","",IF(MOD(A347,12)=0,MIN(Tilgungsrechner!C10,MAX(0,C347-E347)),0)),"")</f>
        <v/>
      </c>
      <c r="H347" s="33" t="str">
        <f aca="false">IFERROR(IF(C347="","",aufround(A347/12,0)),"")</f>
        <v/>
      </c>
    </row>
    <row r="348" customFormat="false" ht="15.75" hidden="false" customHeight="true" outlineLevel="0" collapsed="false">
      <c r="A348" s="29" t="n">
        <v>343</v>
      </c>
      <c r="B348" s="30" t="str">
        <f aca="false">IFERROR(edatum(datwert(Tilgungsrechner!C12),342),"")</f>
        <v/>
      </c>
      <c r="C348" s="31" t="str">
        <f aca="false">IF(F347&lt;=0,"",F347)</f>
        <v/>
      </c>
      <c r="D348" s="31" t="str">
        <f aca="false">IFERROR(IF(C348="","",ROUND(C348*Tilgungsrechner!C8/12,2)),"")</f>
        <v/>
      </c>
      <c r="E348" s="31" t="str">
        <f aca="false">IFERROR(IF(C348="","",MIN(ROUND(Tilgungsrechner!F7-D348,2),C348)),"")</f>
        <v/>
      </c>
      <c r="F348" s="31" t="str">
        <f aca="false">IFERROR(IF(C348="","",MAX(0, C348-E348-IF(MOD(A348,12)=0,Tilgungsrechner!C10,0))),"")</f>
        <v/>
      </c>
      <c r="G348" s="32" t="str">
        <f aca="false">IFERROR(IF(C348="","",IF(MOD(A348,12)=0,MIN(Tilgungsrechner!C10,MAX(0,C348-E348)),0)),"")</f>
        <v/>
      </c>
      <c r="H348" s="33" t="str">
        <f aca="false">IFERROR(IF(C348="","",aufround(A348/12,0)),"")</f>
        <v/>
      </c>
    </row>
    <row r="349" customFormat="false" ht="15.75" hidden="false" customHeight="true" outlineLevel="0" collapsed="false">
      <c r="A349" s="29" t="n">
        <v>344</v>
      </c>
      <c r="B349" s="30" t="str">
        <f aca="false">IFERROR(edatum(datwert(Tilgungsrechner!C12),343),"")</f>
        <v/>
      </c>
      <c r="C349" s="31" t="str">
        <f aca="false">IF(F348&lt;=0,"",F348)</f>
        <v/>
      </c>
      <c r="D349" s="31" t="str">
        <f aca="false">IFERROR(IF(C349="","",ROUND(C349*Tilgungsrechner!C8/12,2)),"")</f>
        <v/>
      </c>
      <c r="E349" s="31" t="str">
        <f aca="false">IFERROR(IF(C349="","",MIN(ROUND(Tilgungsrechner!F7-D349,2),C349)),"")</f>
        <v/>
      </c>
      <c r="F349" s="31" t="str">
        <f aca="false">IFERROR(IF(C349="","",MAX(0, C349-E349-IF(MOD(A349,12)=0,Tilgungsrechner!C10,0))),"")</f>
        <v/>
      </c>
      <c r="G349" s="32" t="str">
        <f aca="false">IFERROR(IF(C349="","",IF(MOD(A349,12)=0,MIN(Tilgungsrechner!C10,MAX(0,C349-E349)),0)),"")</f>
        <v/>
      </c>
      <c r="H349" s="33" t="str">
        <f aca="false">IFERROR(IF(C349="","",aufround(A349/12,0)),"")</f>
        <v/>
      </c>
    </row>
    <row r="350" customFormat="false" ht="15.75" hidden="false" customHeight="true" outlineLevel="0" collapsed="false">
      <c r="A350" s="29" t="n">
        <v>345</v>
      </c>
      <c r="B350" s="30" t="str">
        <f aca="false">IFERROR(edatum(datwert(Tilgungsrechner!C12),344),"")</f>
        <v/>
      </c>
      <c r="C350" s="31" t="str">
        <f aca="false">IF(F349&lt;=0,"",F349)</f>
        <v/>
      </c>
      <c r="D350" s="31" t="str">
        <f aca="false">IFERROR(IF(C350="","",ROUND(C350*Tilgungsrechner!C8/12,2)),"")</f>
        <v/>
      </c>
      <c r="E350" s="31" t="str">
        <f aca="false">IFERROR(IF(C350="","",MIN(ROUND(Tilgungsrechner!F7-D350,2),C350)),"")</f>
        <v/>
      </c>
      <c r="F350" s="31" t="str">
        <f aca="false">IFERROR(IF(C350="","",MAX(0, C350-E350-IF(MOD(A350,12)=0,Tilgungsrechner!C10,0))),"")</f>
        <v/>
      </c>
      <c r="G350" s="32" t="str">
        <f aca="false">IFERROR(IF(C350="","",IF(MOD(A350,12)=0,MIN(Tilgungsrechner!C10,MAX(0,C350-E350)),0)),"")</f>
        <v/>
      </c>
      <c r="H350" s="33" t="str">
        <f aca="false">IFERROR(IF(C350="","",aufround(A350/12,0)),"")</f>
        <v/>
      </c>
    </row>
    <row r="351" customFormat="false" ht="15.75" hidden="false" customHeight="true" outlineLevel="0" collapsed="false">
      <c r="A351" s="29" t="n">
        <v>346</v>
      </c>
      <c r="B351" s="30" t="str">
        <f aca="false">IFERROR(edatum(datwert(Tilgungsrechner!C12),345),"")</f>
        <v/>
      </c>
      <c r="C351" s="31" t="str">
        <f aca="false">IF(F350&lt;=0,"",F350)</f>
        <v/>
      </c>
      <c r="D351" s="31" t="str">
        <f aca="false">IFERROR(IF(C351="","",ROUND(C351*Tilgungsrechner!C8/12,2)),"")</f>
        <v/>
      </c>
      <c r="E351" s="31" t="str">
        <f aca="false">IFERROR(IF(C351="","",MIN(ROUND(Tilgungsrechner!F7-D351,2),C351)),"")</f>
        <v/>
      </c>
      <c r="F351" s="31" t="str">
        <f aca="false">IFERROR(IF(C351="","",MAX(0, C351-E351-IF(MOD(A351,12)=0,Tilgungsrechner!C10,0))),"")</f>
        <v/>
      </c>
      <c r="G351" s="32" t="str">
        <f aca="false">IFERROR(IF(C351="","",IF(MOD(A351,12)=0,MIN(Tilgungsrechner!C10,MAX(0,C351-E351)),0)),"")</f>
        <v/>
      </c>
      <c r="H351" s="33" t="str">
        <f aca="false">IFERROR(IF(C351="","",aufround(A351/12,0)),"")</f>
        <v/>
      </c>
    </row>
    <row r="352" customFormat="false" ht="15.75" hidden="false" customHeight="true" outlineLevel="0" collapsed="false">
      <c r="A352" s="29" t="n">
        <v>347</v>
      </c>
      <c r="B352" s="30" t="str">
        <f aca="false">IFERROR(edatum(datwert(Tilgungsrechner!C12),346),"")</f>
        <v/>
      </c>
      <c r="C352" s="31" t="str">
        <f aca="false">IF(F351&lt;=0,"",F351)</f>
        <v/>
      </c>
      <c r="D352" s="31" t="str">
        <f aca="false">IFERROR(IF(C352="","",ROUND(C352*Tilgungsrechner!C8/12,2)),"")</f>
        <v/>
      </c>
      <c r="E352" s="31" t="str">
        <f aca="false">IFERROR(IF(C352="","",MIN(ROUND(Tilgungsrechner!F7-D352,2),C352)),"")</f>
        <v/>
      </c>
      <c r="F352" s="31" t="str">
        <f aca="false">IFERROR(IF(C352="","",MAX(0, C352-E352-IF(MOD(A352,12)=0,Tilgungsrechner!C10,0))),"")</f>
        <v/>
      </c>
      <c r="G352" s="32" t="str">
        <f aca="false">IFERROR(IF(C352="","",IF(MOD(A352,12)=0,MIN(Tilgungsrechner!C10,MAX(0,C352-E352)),0)),"")</f>
        <v/>
      </c>
      <c r="H352" s="33" t="str">
        <f aca="false">IFERROR(IF(C352="","",aufround(A352/12,0)),"")</f>
        <v/>
      </c>
    </row>
    <row r="353" customFormat="false" ht="15.75" hidden="false" customHeight="true" outlineLevel="0" collapsed="false">
      <c r="A353" s="29" t="n">
        <v>348</v>
      </c>
      <c r="B353" s="30" t="str">
        <f aca="false">IFERROR(edatum(datwert(Tilgungsrechner!C12),347),"")</f>
        <v/>
      </c>
      <c r="C353" s="31" t="str">
        <f aca="false">IF(F352&lt;=0,"",F352)</f>
        <v/>
      </c>
      <c r="D353" s="31" t="str">
        <f aca="false">IFERROR(IF(C353="","",ROUND(C353*Tilgungsrechner!C8/12,2)),"")</f>
        <v/>
      </c>
      <c r="E353" s="31" t="str">
        <f aca="false">IFERROR(IF(C353="","",MIN(ROUND(Tilgungsrechner!F7-D353,2),C353)),"")</f>
        <v/>
      </c>
      <c r="F353" s="31" t="str">
        <f aca="false">IFERROR(IF(C353="","",MAX(0, C353-E353-IF(MOD(A353,12)=0,Tilgungsrechner!C10,0))),"")</f>
        <v/>
      </c>
      <c r="G353" s="32" t="str">
        <f aca="false">IFERROR(IF(C353="","",IF(MOD(A353,12)=0,MIN(Tilgungsrechner!C10,MAX(0,C353-E353)),0)),"")</f>
        <v/>
      </c>
      <c r="H353" s="33" t="str">
        <f aca="false">IFERROR(IF(C353="","",aufround(A353/12,0)),"")</f>
        <v/>
      </c>
    </row>
    <row r="354" customFormat="false" ht="15.75" hidden="false" customHeight="true" outlineLevel="0" collapsed="false">
      <c r="A354" s="29" t="n">
        <v>349</v>
      </c>
      <c r="B354" s="30" t="str">
        <f aca="false">IFERROR(edatum(datwert(Tilgungsrechner!C12),348),"")</f>
        <v/>
      </c>
      <c r="C354" s="31" t="str">
        <f aca="false">IF(F353&lt;=0,"",F353)</f>
        <v/>
      </c>
      <c r="D354" s="31" t="str">
        <f aca="false">IFERROR(IF(C354="","",ROUND(C354*Tilgungsrechner!C8/12,2)),"")</f>
        <v/>
      </c>
      <c r="E354" s="31" t="str">
        <f aca="false">IFERROR(IF(C354="","",MIN(ROUND(Tilgungsrechner!F7-D354,2),C354)),"")</f>
        <v/>
      </c>
      <c r="F354" s="31" t="str">
        <f aca="false">IFERROR(IF(C354="","",MAX(0, C354-E354-IF(MOD(A354,12)=0,Tilgungsrechner!C10,0))),"")</f>
        <v/>
      </c>
      <c r="G354" s="32" t="str">
        <f aca="false">IFERROR(IF(C354="","",IF(MOD(A354,12)=0,MIN(Tilgungsrechner!C10,MAX(0,C354-E354)),0)),"")</f>
        <v/>
      </c>
      <c r="H354" s="33" t="str">
        <f aca="false">IFERROR(IF(C354="","",aufround(A354/12,0)),"")</f>
        <v/>
      </c>
    </row>
    <row r="355" customFormat="false" ht="15.75" hidden="false" customHeight="true" outlineLevel="0" collapsed="false">
      <c r="A355" s="29" t="n">
        <v>350</v>
      </c>
      <c r="B355" s="30" t="str">
        <f aca="false">IFERROR(edatum(datwert(Tilgungsrechner!C12),349),"")</f>
        <v/>
      </c>
      <c r="C355" s="31" t="str">
        <f aca="false">IF(F354&lt;=0,"",F354)</f>
        <v/>
      </c>
      <c r="D355" s="31" t="str">
        <f aca="false">IFERROR(IF(C355="","",ROUND(C355*Tilgungsrechner!C8/12,2)),"")</f>
        <v/>
      </c>
      <c r="E355" s="31" t="str">
        <f aca="false">IFERROR(IF(C355="","",MIN(ROUND(Tilgungsrechner!F7-D355,2),C355)),"")</f>
        <v/>
      </c>
      <c r="F355" s="31" t="str">
        <f aca="false">IFERROR(IF(C355="","",MAX(0, C355-E355-IF(MOD(A355,12)=0,Tilgungsrechner!C10,0))),"")</f>
        <v/>
      </c>
      <c r="G355" s="32" t="str">
        <f aca="false">IFERROR(IF(C355="","",IF(MOD(A355,12)=0,MIN(Tilgungsrechner!C10,MAX(0,C355-E355)),0)),"")</f>
        <v/>
      </c>
      <c r="H355" s="33" t="str">
        <f aca="false">IFERROR(IF(C355="","",aufround(A355/12,0)),"")</f>
        <v/>
      </c>
    </row>
    <row r="356" customFormat="false" ht="15.75" hidden="false" customHeight="true" outlineLevel="0" collapsed="false">
      <c r="A356" s="29" t="n">
        <v>351</v>
      </c>
      <c r="B356" s="30" t="str">
        <f aca="false">IFERROR(edatum(datwert(Tilgungsrechner!C12),350),"")</f>
        <v/>
      </c>
      <c r="C356" s="31" t="str">
        <f aca="false">IF(F355&lt;=0,"",F355)</f>
        <v/>
      </c>
      <c r="D356" s="31" t="str">
        <f aca="false">IFERROR(IF(C356="","",ROUND(C356*Tilgungsrechner!C8/12,2)),"")</f>
        <v/>
      </c>
      <c r="E356" s="31" t="str">
        <f aca="false">IFERROR(IF(C356="","",MIN(ROUND(Tilgungsrechner!F7-D356,2),C356)),"")</f>
        <v/>
      </c>
      <c r="F356" s="31" t="str">
        <f aca="false">IFERROR(IF(C356="","",MAX(0, C356-E356-IF(MOD(A356,12)=0,Tilgungsrechner!C10,0))),"")</f>
        <v/>
      </c>
      <c r="G356" s="32" t="str">
        <f aca="false">IFERROR(IF(C356="","",IF(MOD(A356,12)=0,MIN(Tilgungsrechner!C10,MAX(0,C356-E356)),0)),"")</f>
        <v/>
      </c>
      <c r="H356" s="33" t="str">
        <f aca="false">IFERROR(IF(C356="","",aufround(A356/12,0)),"")</f>
        <v/>
      </c>
    </row>
    <row r="357" customFormat="false" ht="15.75" hidden="false" customHeight="true" outlineLevel="0" collapsed="false">
      <c r="A357" s="29" t="n">
        <v>352</v>
      </c>
      <c r="B357" s="30" t="str">
        <f aca="false">IFERROR(edatum(datwert(Tilgungsrechner!C12),351),"")</f>
        <v/>
      </c>
      <c r="C357" s="31" t="str">
        <f aca="false">IF(F356&lt;=0,"",F356)</f>
        <v/>
      </c>
      <c r="D357" s="31" t="str">
        <f aca="false">IFERROR(IF(C357="","",ROUND(C357*Tilgungsrechner!C8/12,2)),"")</f>
        <v/>
      </c>
      <c r="E357" s="31" t="str">
        <f aca="false">IFERROR(IF(C357="","",MIN(ROUND(Tilgungsrechner!F7-D357,2),C357)),"")</f>
        <v/>
      </c>
      <c r="F357" s="31" t="str">
        <f aca="false">IFERROR(IF(C357="","",MAX(0, C357-E357-IF(MOD(A357,12)=0,Tilgungsrechner!C10,0))),"")</f>
        <v/>
      </c>
      <c r="G357" s="32" t="str">
        <f aca="false">IFERROR(IF(C357="","",IF(MOD(A357,12)=0,MIN(Tilgungsrechner!C10,MAX(0,C357-E357)),0)),"")</f>
        <v/>
      </c>
      <c r="H357" s="33" t="str">
        <f aca="false">IFERROR(IF(C357="","",aufround(A357/12,0)),"")</f>
        <v/>
      </c>
    </row>
    <row r="358" customFormat="false" ht="15.75" hidden="false" customHeight="true" outlineLevel="0" collapsed="false">
      <c r="A358" s="29" t="n">
        <v>353</v>
      </c>
      <c r="B358" s="30" t="str">
        <f aca="false">IFERROR(edatum(datwert(Tilgungsrechner!C12),352),"")</f>
        <v/>
      </c>
      <c r="C358" s="31" t="str">
        <f aca="false">IF(F357&lt;=0,"",F357)</f>
        <v/>
      </c>
      <c r="D358" s="31" t="str">
        <f aca="false">IFERROR(IF(C358="","",ROUND(C358*Tilgungsrechner!C8/12,2)),"")</f>
        <v/>
      </c>
      <c r="E358" s="31" t="str">
        <f aca="false">IFERROR(IF(C358="","",MIN(ROUND(Tilgungsrechner!F7-D358,2),C358)),"")</f>
        <v/>
      </c>
      <c r="F358" s="31" t="str">
        <f aca="false">IFERROR(IF(C358="","",MAX(0, C358-E358-IF(MOD(A358,12)=0,Tilgungsrechner!C10,0))),"")</f>
        <v/>
      </c>
      <c r="G358" s="32" t="str">
        <f aca="false">IFERROR(IF(C358="","",IF(MOD(A358,12)=0,MIN(Tilgungsrechner!C10,MAX(0,C358-E358)),0)),"")</f>
        <v/>
      </c>
      <c r="H358" s="33" t="str">
        <f aca="false">IFERROR(IF(C358="","",aufround(A358/12,0)),"")</f>
        <v/>
      </c>
    </row>
    <row r="359" customFormat="false" ht="15.75" hidden="false" customHeight="true" outlineLevel="0" collapsed="false">
      <c r="A359" s="29" t="n">
        <v>354</v>
      </c>
      <c r="B359" s="30" t="str">
        <f aca="false">IFERROR(edatum(datwert(Tilgungsrechner!C12),353),"")</f>
        <v/>
      </c>
      <c r="C359" s="31" t="str">
        <f aca="false">IF(F358&lt;=0,"",F358)</f>
        <v/>
      </c>
      <c r="D359" s="31" t="str">
        <f aca="false">IFERROR(IF(C359="","",ROUND(C359*Tilgungsrechner!C8/12,2)),"")</f>
        <v/>
      </c>
      <c r="E359" s="31" t="str">
        <f aca="false">IFERROR(IF(C359="","",MIN(ROUND(Tilgungsrechner!F7-D359,2),C359)),"")</f>
        <v/>
      </c>
      <c r="F359" s="31" t="str">
        <f aca="false">IFERROR(IF(C359="","",MAX(0, C359-E359-IF(MOD(A359,12)=0,Tilgungsrechner!C10,0))),"")</f>
        <v/>
      </c>
      <c r="G359" s="32" t="str">
        <f aca="false">IFERROR(IF(C359="","",IF(MOD(A359,12)=0,MIN(Tilgungsrechner!C10,MAX(0,C359-E359)),0)),"")</f>
        <v/>
      </c>
      <c r="H359" s="33" t="str">
        <f aca="false">IFERROR(IF(C359="","",aufround(A359/12,0)),"")</f>
        <v/>
      </c>
    </row>
    <row r="360" customFormat="false" ht="15.75" hidden="false" customHeight="true" outlineLevel="0" collapsed="false">
      <c r="A360" s="29" t="n">
        <v>355</v>
      </c>
      <c r="B360" s="30" t="str">
        <f aca="false">IFERROR(edatum(datwert(Tilgungsrechner!C12),354),"")</f>
        <v/>
      </c>
      <c r="C360" s="31" t="str">
        <f aca="false">IF(F359&lt;=0,"",F359)</f>
        <v/>
      </c>
      <c r="D360" s="31" t="str">
        <f aca="false">IFERROR(IF(C360="","",ROUND(C360*Tilgungsrechner!C8/12,2)),"")</f>
        <v/>
      </c>
      <c r="E360" s="31" t="str">
        <f aca="false">IFERROR(IF(C360="","",MIN(ROUND(Tilgungsrechner!F7-D360,2),C360)),"")</f>
        <v/>
      </c>
      <c r="F360" s="31" t="str">
        <f aca="false">IFERROR(IF(C360="","",MAX(0, C360-E360-IF(MOD(A360,12)=0,Tilgungsrechner!C10,0))),"")</f>
        <v/>
      </c>
      <c r="G360" s="32" t="str">
        <f aca="false">IFERROR(IF(C360="","",IF(MOD(A360,12)=0,MIN(Tilgungsrechner!C10,MAX(0,C360-E360)),0)),"")</f>
        <v/>
      </c>
      <c r="H360" s="33" t="str">
        <f aca="false">IFERROR(IF(C360="","",aufround(A360/12,0)),"")</f>
        <v/>
      </c>
    </row>
    <row r="361" customFormat="false" ht="15.75" hidden="false" customHeight="true" outlineLevel="0" collapsed="false">
      <c r="A361" s="29" t="n">
        <v>356</v>
      </c>
      <c r="B361" s="30" t="str">
        <f aca="false">IFERROR(edatum(datwert(Tilgungsrechner!C12),355),"")</f>
        <v/>
      </c>
      <c r="C361" s="31" t="str">
        <f aca="false">IF(F360&lt;=0,"",F360)</f>
        <v/>
      </c>
      <c r="D361" s="31" t="str">
        <f aca="false">IFERROR(IF(C361="","",ROUND(C361*Tilgungsrechner!C8/12,2)),"")</f>
        <v/>
      </c>
      <c r="E361" s="31" t="str">
        <f aca="false">IFERROR(IF(C361="","",MIN(ROUND(Tilgungsrechner!F7-D361,2),C361)),"")</f>
        <v/>
      </c>
      <c r="F361" s="31" t="str">
        <f aca="false">IFERROR(IF(C361="","",MAX(0, C361-E361-IF(MOD(A361,12)=0,Tilgungsrechner!C10,0))),"")</f>
        <v/>
      </c>
      <c r="G361" s="32" t="str">
        <f aca="false">IFERROR(IF(C361="","",IF(MOD(A361,12)=0,MIN(Tilgungsrechner!C10,MAX(0,C361-E361)),0)),"")</f>
        <v/>
      </c>
      <c r="H361" s="33" t="str">
        <f aca="false">IFERROR(IF(C361="","",aufround(A361/12,0)),"")</f>
        <v/>
      </c>
    </row>
    <row r="362" customFormat="false" ht="15.75" hidden="false" customHeight="true" outlineLevel="0" collapsed="false">
      <c r="A362" s="29" t="n">
        <v>357</v>
      </c>
      <c r="B362" s="30" t="str">
        <f aca="false">IFERROR(edatum(datwert(Tilgungsrechner!C12),356),"")</f>
        <v/>
      </c>
      <c r="C362" s="31" t="str">
        <f aca="false">IF(F361&lt;=0,"",F361)</f>
        <v/>
      </c>
      <c r="D362" s="31" t="str">
        <f aca="false">IFERROR(IF(C362="","",ROUND(C362*Tilgungsrechner!C8/12,2)),"")</f>
        <v/>
      </c>
      <c r="E362" s="31" t="str">
        <f aca="false">IFERROR(IF(C362="","",MIN(ROUND(Tilgungsrechner!F7-D362,2),C362)),"")</f>
        <v/>
      </c>
      <c r="F362" s="31" t="str">
        <f aca="false">IFERROR(IF(C362="","",MAX(0, C362-E362-IF(MOD(A362,12)=0,Tilgungsrechner!C10,0))),"")</f>
        <v/>
      </c>
      <c r="G362" s="32" t="str">
        <f aca="false">IFERROR(IF(C362="","",IF(MOD(A362,12)=0,MIN(Tilgungsrechner!C10,MAX(0,C362-E362)),0)),"")</f>
        <v/>
      </c>
      <c r="H362" s="33" t="str">
        <f aca="false">IFERROR(IF(C362="","",aufround(A362/12,0)),"")</f>
        <v/>
      </c>
    </row>
    <row r="363" customFormat="false" ht="15.75" hidden="false" customHeight="true" outlineLevel="0" collapsed="false">
      <c r="A363" s="29" t="n">
        <v>358</v>
      </c>
      <c r="B363" s="30" t="str">
        <f aca="false">IFERROR(edatum(datwert(Tilgungsrechner!C12),357),"")</f>
        <v/>
      </c>
      <c r="C363" s="31" t="str">
        <f aca="false">IF(F362&lt;=0,"",F362)</f>
        <v/>
      </c>
      <c r="D363" s="31" t="str">
        <f aca="false">IFERROR(IF(C363="","",ROUND(C363*Tilgungsrechner!C8/12,2)),"")</f>
        <v/>
      </c>
      <c r="E363" s="31" t="str">
        <f aca="false">IFERROR(IF(C363="","",MIN(ROUND(Tilgungsrechner!F7-D363,2),C363)),"")</f>
        <v/>
      </c>
      <c r="F363" s="31" t="str">
        <f aca="false">IFERROR(IF(C363="","",MAX(0, C363-E363-IF(MOD(A363,12)=0,Tilgungsrechner!C10,0))),"")</f>
        <v/>
      </c>
      <c r="G363" s="32" t="str">
        <f aca="false">IFERROR(IF(C363="","",IF(MOD(A363,12)=0,MIN(Tilgungsrechner!C10,MAX(0,C363-E363)),0)),"")</f>
        <v/>
      </c>
      <c r="H363" s="33" t="str">
        <f aca="false">IFERROR(IF(C363="","",aufround(A363/12,0)),"")</f>
        <v/>
      </c>
    </row>
    <row r="364" customFormat="false" ht="15.75" hidden="false" customHeight="true" outlineLevel="0" collapsed="false">
      <c r="A364" s="29" t="n">
        <v>359</v>
      </c>
      <c r="B364" s="30" t="str">
        <f aca="false">IFERROR(edatum(datwert(Tilgungsrechner!C12),358),"")</f>
        <v/>
      </c>
      <c r="C364" s="31" t="str">
        <f aca="false">IF(F363&lt;=0,"",F363)</f>
        <v/>
      </c>
      <c r="D364" s="31" t="str">
        <f aca="false">IFERROR(IF(C364="","",ROUND(C364*Tilgungsrechner!C8/12,2)),"")</f>
        <v/>
      </c>
      <c r="E364" s="31" t="str">
        <f aca="false">IFERROR(IF(C364="","",MIN(ROUND(Tilgungsrechner!F7-D364,2),C364)),"")</f>
        <v/>
      </c>
      <c r="F364" s="31" t="str">
        <f aca="false">IFERROR(IF(C364="","",MAX(0, C364-E364-IF(MOD(A364,12)=0,Tilgungsrechner!C10,0))),"")</f>
        <v/>
      </c>
      <c r="G364" s="32" t="str">
        <f aca="false">IFERROR(IF(C364="","",IF(MOD(A364,12)=0,MIN(Tilgungsrechner!C10,MAX(0,C364-E364)),0)),"")</f>
        <v/>
      </c>
      <c r="H364" s="33" t="str">
        <f aca="false">IFERROR(IF(C364="","",aufround(A364/12,0)),"")</f>
        <v/>
      </c>
    </row>
    <row r="365" customFormat="false" ht="15.75" hidden="false" customHeight="true" outlineLevel="0" collapsed="false">
      <c r="A365" s="29" t="n">
        <v>360</v>
      </c>
      <c r="B365" s="30" t="str">
        <f aca="false">IFERROR(edatum(datwert(Tilgungsrechner!C12),359),"")</f>
        <v/>
      </c>
      <c r="C365" s="31" t="str">
        <f aca="false">IF(F364&lt;=0,"",F364)</f>
        <v/>
      </c>
      <c r="D365" s="31" t="str">
        <f aca="false">IFERROR(IF(C365="","",ROUND(C365*Tilgungsrechner!C8/12,2)),"")</f>
        <v/>
      </c>
      <c r="E365" s="31" t="str">
        <f aca="false">IFERROR(IF(C365="","",MIN(ROUND(Tilgungsrechner!F7-D365,2),C365)),"")</f>
        <v/>
      </c>
      <c r="F365" s="31" t="str">
        <f aca="false">IFERROR(IF(C365="","",MAX(0, C365-E365-IF(MOD(A365,12)=0,Tilgungsrechner!C10,0))),"")</f>
        <v/>
      </c>
      <c r="G365" s="32" t="str">
        <f aca="false">IFERROR(IF(C365="","",IF(MOD(A365,12)=0,MIN(Tilgungsrechner!C10,MAX(0,C365-E365)),0)),"")</f>
        <v/>
      </c>
      <c r="H365" s="33" t="str">
        <f aca="false">IFERROR(IF(C365="","",aufround(A365/12,0)),"")</f>
        <v/>
      </c>
    </row>
  </sheetData>
  <mergeCells count="2">
    <mergeCell ref="A1:H2"/>
    <mergeCell ref="A3:D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70AD47"/>
    <pageSetUpPr fitToPage="false"/>
  </sheetPr>
  <dimension ref="A1:F3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0"/>
    <col collapsed="false" customWidth="true" hidden="false" outlineLevel="0" max="6" min="2" style="1" width="18"/>
  </cols>
  <sheetData>
    <row r="1" customFormat="false" ht="30" hidden="false" customHeight="true" outlineLevel="0" collapsed="false">
      <c r="A1" s="23" t="s">
        <v>43</v>
      </c>
      <c r="B1" s="23"/>
      <c r="C1" s="23"/>
      <c r="D1" s="23"/>
      <c r="E1" s="23"/>
      <c r="F1" s="23"/>
    </row>
    <row r="2" customFormat="false" ht="15" hidden="false" customHeight="true" outlineLevel="0" collapsed="false">
      <c r="A2" s="23"/>
      <c r="B2" s="23"/>
      <c r="C2" s="23"/>
      <c r="D2" s="23"/>
      <c r="E2" s="23"/>
      <c r="F2" s="23"/>
    </row>
    <row r="3" customFormat="false" ht="15" hidden="false" customHeight="true" outlineLevel="0" collapsed="false">
      <c r="A3" s="24" t="s">
        <v>44</v>
      </c>
      <c r="B3" s="24"/>
      <c r="C3" s="24"/>
      <c r="D3" s="24"/>
      <c r="E3" s="24"/>
      <c r="F3" s="24"/>
    </row>
    <row r="4" customFormat="false" ht="27.75" hidden="false" customHeight="true" outlineLevel="0" collapsed="false">
      <c r="A4" s="34" t="s">
        <v>42</v>
      </c>
      <c r="B4" s="34" t="s">
        <v>45</v>
      </c>
      <c r="C4" s="34" t="s">
        <v>46</v>
      </c>
      <c r="D4" s="34" t="s">
        <v>47</v>
      </c>
      <c r="E4" s="34" t="s">
        <v>48</v>
      </c>
      <c r="F4" s="34" t="s">
        <v>49</v>
      </c>
    </row>
    <row r="5" customFormat="false" ht="19.5" hidden="false" customHeight="true" outlineLevel="0" collapsed="false">
      <c r="A5" s="35" t="n">
        <v>1</v>
      </c>
      <c r="B5" s="36" t="n">
        <f aca="false">IFERROR(Tilgungsplan!C6,"")</f>
        <v>250000</v>
      </c>
      <c r="C5" s="36" t="str">
        <f aca="false">IFERROR(SUMPRODUCT((Tilgungsplan!A6:A365&gt;=1)*(Tilgungsplan!A6:A365&lt;=12)*IFERROR(Tilgungsplan!D6:D365,0)),"")</f>
        <v/>
      </c>
      <c r="D5" s="36" t="str">
        <f aca="false">IFERROR(SUMPRODUCT((Tilgungsplan!A6:A365&gt;=1)*(Tilgungsplan!A6:A365&lt;=12)*IFERROR(Tilgungsplan!E6:E365,0)),"")</f>
        <v/>
      </c>
      <c r="E5" s="37" t="n">
        <f aca="false">IFERROR(Tilgungsplan!G17,"")</f>
        <v>6000</v>
      </c>
      <c r="F5" s="36" t="n">
        <f aca="false">IFERROR(Tilgungsplan!F17,"")</f>
        <v>238919.02</v>
      </c>
    </row>
    <row r="6" customFormat="false" ht="19.5" hidden="false" customHeight="true" outlineLevel="0" collapsed="false">
      <c r="A6" s="38" t="n">
        <v>2</v>
      </c>
      <c r="B6" s="39" t="n">
        <f aca="false">IFERROR(Tilgungsplan!C18,"")</f>
        <v>238919.02</v>
      </c>
      <c r="C6" s="39" t="str">
        <f aca="false">IFERROR(SUMPRODUCT((Tilgungsplan!A6:A365&gt;=13)*(Tilgungsplan!A6:A365&lt;=24)*IFERROR(Tilgungsplan!D6:D365,0)),"")</f>
        <v/>
      </c>
      <c r="D6" s="39" t="str">
        <f aca="false">IFERROR(SUMPRODUCT((Tilgungsplan!A6:A365&gt;=13)*(Tilgungsplan!A6:A365&lt;=24)*IFERROR(Tilgungsplan!E6:E365,0)),"")</f>
        <v/>
      </c>
      <c r="E6" s="37" t="n">
        <f aca="false">IFERROR(Tilgungsplan!G29,"")</f>
        <v>6000</v>
      </c>
      <c r="F6" s="39" t="n">
        <f aca="false">IFERROR(Tilgungsplan!F29,"")</f>
        <v>227443.95</v>
      </c>
    </row>
    <row r="7" customFormat="false" ht="19.5" hidden="false" customHeight="true" outlineLevel="0" collapsed="false">
      <c r="A7" s="35" t="n">
        <v>3</v>
      </c>
      <c r="B7" s="36" t="n">
        <f aca="false">IFERROR(Tilgungsplan!C30,"")</f>
        <v>227443.95</v>
      </c>
      <c r="C7" s="36" t="str">
        <f aca="false">IFERROR(SUMPRODUCT((Tilgungsplan!A6:A365&gt;=25)*(Tilgungsplan!A6:A365&lt;=36)*IFERROR(Tilgungsplan!D6:D365,0)),"")</f>
        <v/>
      </c>
      <c r="D7" s="36" t="str">
        <f aca="false">IFERROR(SUMPRODUCT((Tilgungsplan!A6:A365&gt;=25)*(Tilgungsplan!A6:A365&lt;=36)*IFERROR(Tilgungsplan!E6:E365,0)),"")</f>
        <v/>
      </c>
      <c r="E7" s="37" t="n">
        <f aca="false">IFERROR(Tilgungsplan!G41,"")</f>
        <v>6000</v>
      </c>
      <c r="F7" s="36" t="n">
        <f aca="false">IFERROR(Tilgungsplan!F41,"")</f>
        <v>215560.74</v>
      </c>
    </row>
    <row r="8" customFormat="false" ht="19.5" hidden="false" customHeight="true" outlineLevel="0" collapsed="false">
      <c r="A8" s="38" t="n">
        <v>4</v>
      </c>
      <c r="B8" s="39" t="n">
        <f aca="false">IFERROR(Tilgungsplan!C42,"")</f>
        <v>215560.74</v>
      </c>
      <c r="C8" s="39" t="str">
        <f aca="false">IFERROR(SUMPRODUCT((Tilgungsplan!A6:A365&gt;=37)*(Tilgungsplan!A6:A365&lt;=48)*IFERROR(Tilgungsplan!D6:D365,0)),"")</f>
        <v/>
      </c>
      <c r="D8" s="39" t="str">
        <f aca="false">IFERROR(SUMPRODUCT((Tilgungsplan!A6:A365&gt;=37)*(Tilgungsplan!A6:A365&lt;=48)*IFERROR(Tilgungsplan!E6:E365,0)),"")</f>
        <v/>
      </c>
      <c r="E8" s="37" t="n">
        <f aca="false">IFERROR(Tilgungsplan!G53,"")</f>
        <v>6000</v>
      </c>
      <c r="F8" s="39" t="n">
        <f aca="false">IFERROR(Tilgungsplan!F53,"")</f>
        <v>203254.89</v>
      </c>
    </row>
    <row r="9" customFormat="false" ht="19.5" hidden="false" customHeight="true" outlineLevel="0" collapsed="false">
      <c r="A9" s="40" t="n">
        <v>5</v>
      </c>
      <c r="B9" s="36" t="n">
        <f aca="false">IFERROR(Tilgungsplan!C54,"")</f>
        <v>203254.89</v>
      </c>
      <c r="C9" s="36" t="str">
        <f aca="false">IFERROR(SUMPRODUCT((Tilgungsplan!A6:A365&gt;=49)*(Tilgungsplan!A6:A365&lt;=60)*IFERROR(Tilgungsplan!D6:D365,0)),"")</f>
        <v/>
      </c>
      <c r="D9" s="36" t="str">
        <f aca="false">IFERROR(SUMPRODUCT((Tilgungsplan!A6:A365&gt;=49)*(Tilgungsplan!A6:A365&lt;=60)*IFERROR(Tilgungsplan!E6:E365,0)),"")</f>
        <v/>
      </c>
      <c r="E9" s="37" t="n">
        <f aca="false">IFERROR(Tilgungsplan!G65,"")</f>
        <v>6000</v>
      </c>
      <c r="F9" s="36" t="n">
        <f aca="false">IFERROR(Tilgungsplan!F65,"")</f>
        <v>190511.35</v>
      </c>
    </row>
    <row r="10" customFormat="false" ht="19.5" hidden="false" customHeight="true" outlineLevel="0" collapsed="false">
      <c r="A10" s="38" t="n">
        <v>6</v>
      </c>
      <c r="B10" s="39" t="n">
        <f aca="false">IFERROR(Tilgungsplan!C66,"")</f>
        <v>190511.35</v>
      </c>
      <c r="C10" s="39" t="str">
        <f aca="false">IFERROR(SUMPRODUCT((Tilgungsplan!A6:A365&gt;=61)*(Tilgungsplan!A6:A365&lt;=72)*IFERROR(Tilgungsplan!D6:D365,0)),"")</f>
        <v/>
      </c>
      <c r="D10" s="39" t="str">
        <f aca="false">IFERROR(SUMPRODUCT((Tilgungsplan!A6:A365&gt;=61)*(Tilgungsplan!A6:A365&lt;=72)*IFERROR(Tilgungsplan!E6:E365,0)),"")</f>
        <v/>
      </c>
      <c r="E10" s="37" t="n">
        <f aca="false">IFERROR(Tilgungsplan!G77,"")</f>
        <v>6000</v>
      </c>
      <c r="F10" s="39" t="n">
        <f aca="false">IFERROR(Tilgungsplan!F77,"")</f>
        <v>177314.56</v>
      </c>
    </row>
    <row r="11" customFormat="false" ht="19.5" hidden="false" customHeight="true" outlineLevel="0" collapsed="false">
      <c r="A11" s="35" t="n">
        <v>7</v>
      </c>
      <c r="B11" s="36" t="n">
        <f aca="false">IFERROR(Tilgungsplan!C78,"")</f>
        <v>177314.56</v>
      </c>
      <c r="C11" s="36" t="str">
        <f aca="false">IFERROR(SUMPRODUCT((Tilgungsplan!A6:A365&gt;=73)*(Tilgungsplan!A6:A365&lt;=84)*IFERROR(Tilgungsplan!D6:D365,0)),"")</f>
        <v/>
      </c>
      <c r="D11" s="36" t="str">
        <f aca="false">IFERROR(SUMPRODUCT((Tilgungsplan!A6:A365&gt;=73)*(Tilgungsplan!A6:A365&lt;=84)*IFERROR(Tilgungsplan!E6:E365,0)),"")</f>
        <v/>
      </c>
      <c r="E11" s="37" t="n">
        <f aca="false">IFERROR(Tilgungsplan!G89,"")</f>
        <v>6000</v>
      </c>
      <c r="F11" s="36" t="n">
        <f aca="false">IFERROR(Tilgungsplan!F89,"")</f>
        <v>163648.41</v>
      </c>
    </row>
    <row r="12" customFormat="false" ht="19.5" hidden="false" customHeight="true" outlineLevel="0" collapsed="false">
      <c r="A12" s="38" t="n">
        <v>8</v>
      </c>
      <c r="B12" s="39" t="n">
        <f aca="false">IFERROR(Tilgungsplan!C90,"")</f>
        <v>163648.41</v>
      </c>
      <c r="C12" s="39" t="str">
        <f aca="false">IFERROR(SUMPRODUCT((Tilgungsplan!A6:A365&gt;=85)*(Tilgungsplan!A6:A365&lt;=96)*IFERROR(Tilgungsplan!D6:D365,0)),"")</f>
        <v/>
      </c>
      <c r="D12" s="39" t="str">
        <f aca="false">IFERROR(SUMPRODUCT((Tilgungsplan!A6:A365&gt;=85)*(Tilgungsplan!A6:A365&lt;=96)*IFERROR(Tilgungsplan!E6:E365,0)),"")</f>
        <v/>
      </c>
      <c r="E12" s="37" t="n">
        <f aca="false">IFERROR(Tilgungsplan!G101,"")</f>
        <v>6000</v>
      </c>
      <c r="F12" s="39" t="n">
        <f aca="false">IFERROR(Tilgungsplan!F101,"")</f>
        <v>149496.18</v>
      </c>
    </row>
    <row r="13" customFormat="false" ht="19.5" hidden="false" customHeight="true" outlineLevel="0" collapsed="false">
      <c r="A13" s="35" t="n">
        <v>9</v>
      </c>
      <c r="B13" s="36" t="n">
        <f aca="false">IFERROR(Tilgungsplan!C102,"")</f>
        <v>149496.18</v>
      </c>
      <c r="C13" s="36" t="str">
        <f aca="false">IFERROR(SUMPRODUCT((Tilgungsplan!A6:A365&gt;=97)*(Tilgungsplan!A6:A365&lt;=108)*IFERROR(Tilgungsplan!D6:D365,0)),"")</f>
        <v/>
      </c>
      <c r="D13" s="36" t="str">
        <f aca="false">IFERROR(SUMPRODUCT((Tilgungsplan!A6:A365&gt;=97)*(Tilgungsplan!A6:A365&lt;=108)*IFERROR(Tilgungsplan!E6:E365,0)),"")</f>
        <v/>
      </c>
      <c r="E13" s="37" t="n">
        <f aca="false">IFERROR(Tilgungsplan!G113,"")</f>
        <v>6000</v>
      </c>
      <c r="F13" s="36" t="n">
        <f aca="false">IFERROR(Tilgungsplan!F113,"")</f>
        <v>134840.6</v>
      </c>
    </row>
    <row r="14" customFormat="false" ht="19.5" hidden="false" customHeight="true" outlineLevel="0" collapsed="false">
      <c r="A14" s="40" t="n">
        <v>10</v>
      </c>
      <c r="B14" s="39" t="n">
        <f aca="false">IFERROR(Tilgungsplan!C114,"")</f>
        <v>134840.6</v>
      </c>
      <c r="C14" s="39" t="str">
        <f aca="false">IFERROR(SUMPRODUCT((Tilgungsplan!A6:A365&gt;=109)*(Tilgungsplan!A6:A365&lt;=120)*IFERROR(Tilgungsplan!D6:D365,0)),"")</f>
        <v/>
      </c>
      <c r="D14" s="39" t="str">
        <f aca="false">IFERROR(SUMPRODUCT((Tilgungsplan!A6:A365&gt;=109)*(Tilgungsplan!A6:A365&lt;=120)*IFERROR(Tilgungsplan!E6:E365,0)),"")</f>
        <v/>
      </c>
      <c r="E14" s="37" t="n">
        <f aca="false">IFERROR(Tilgungsplan!G125,"")</f>
        <v>6000</v>
      </c>
      <c r="F14" s="39" t="n">
        <f aca="false">IFERROR(Tilgungsplan!F125,"")</f>
        <v>119663.81</v>
      </c>
    </row>
    <row r="15" customFormat="false" ht="19.5" hidden="false" customHeight="true" outlineLevel="0" collapsed="false">
      <c r="A15" s="35" t="n">
        <v>11</v>
      </c>
      <c r="B15" s="36" t="n">
        <f aca="false">IFERROR(Tilgungsplan!C126,"")</f>
        <v>119663.81</v>
      </c>
      <c r="C15" s="36" t="str">
        <f aca="false">IFERROR(SUMPRODUCT((Tilgungsplan!A6:A365&gt;=121)*(Tilgungsplan!A6:A365&lt;=132)*IFERROR(Tilgungsplan!D6:D365,0)),"")</f>
        <v/>
      </c>
      <c r="D15" s="36" t="str">
        <f aca="false">IFERROR(SUMPRODUCT((Tilgungsplan!A6:A365&gt;=121)*(Tilgungsplan!A6:A365&lt;=132)*IFERROR(Tilgungsplan!E6:E365,0)),"")</f>
        <v/>
      </c>
      <c r="E15" s="37" t="n">
        <f aca="false">IFERROR(Tilgungsplan!G137,"")</f>
        <v>6000</v>
      </c>
      <c r="F15" s="36" t="n">
        <f aca="false">IFERROR(Tilgungsplan!F137,"")</f>
        <v>103947.2</v>
      </c>
    </row>
    <row r="16" customFormat="false" ht="19.5" hidden="false" customHeight="true" outlineLevel="0" collapsed="false">
      <c r="A16" s="38" t="n">
        <v>12</v>
      </c>
      <c r="B16" s="39" t="n">
        <f aca="false">IFERROR(Tilgungsplan!C138,"")</f>
        <v>103947.2</v>
      </c>
      <c r="C16" s="39" t="str">
        <f aca="false">IFERROR(SUMPRODUCT((Tilgungsplan!A6:A365&gt;=133)*(Tilgungsplan!A6:A365&lt;=144)*IFERROR(Tilgungsplan!D6:D365,0)),"")</f>
        <v/>
      </c>
      <c r="D16" s="39" t="str">
        <f aca="false">IFERROR(SUMPRODUCT((Tilgungsplan!A6:A365&gt;=133)*(Tilgungsplan!A6:A365&lt;=144)*IFERROR(Tilgungsplan!E6:E365,0)),"")</f>
        <v/>
      </c>
      <c r="E16" s="37" t="n">
        <f aca="false">IFERROR(Tilgungsplan!G149,"")</f>
        <v>6000</v>
      </c>
      <c r="F16" s="39" t="n">
        <f aca="false">IFERROR(Tilgungsplan!F149,"")</f>
        <v>87671.61</v>
      </c>
    </row>
    <row r="17" customFormat="false" ht="19.5" hidden="false" customHeight="true" outlineLevel="0" collapsed="false">
      <c r="A17" s="35" t="n">
        <v>13</v>
      </c>
      <c r="B17" s="36" t="n">
        <f aca="false">IFERROR(Tilgungsplan!C150,"")</f>
        <v>87671.61</v>
      </c>
      <c r="C17" s="36" t="str">
        <f aca="false">IFERROR(SUMPRODUCT((Tilgungsplan!A6:A365&gt;=145)*(Tilgungsplan!A6:A365&lt;=156)*IFERROR(Tilgungsplan!D6:D365,0)),"")</f>
        <v/>
      </c>
      <c r="D17" s="36" t="str">
        <f aca="false">IFERROR(SUMPRODUCT((Tilgungsplan!A6:A365&gt;=145)*(Tilgungsplan!A6:A365&lt;=156)*IFERROR(Tilgungsplan!E6:E365,0)),"")</f>
        <v/>
      </c>
      <c r="E17" s="37" t="n">
        <f aca="false">IFERROR(Tilgungsplan!G161,"")</f>
        <v>6000</v>
      </c>
      <c r="F17" s="36" t="n">
        <f aca="false">IFERROR(Tilgungsplan!F161,"")</f>
        <v>70817.14</v>
      </c>
    </row>
    <row r="18" customFormat="false" ht="19.5" hidden="false" customHeight="true" outlineLevel="0" collapsed="false">
      <c r="A18" s="38" t="n">
        <v>14</v>
      </c>
      <c r="B18" s="39" t="n">
        <f aca="false">IFERROR(Tilgungsplan!C162,"")</f>
        <v>70817.14</v>
      </c>
      <c r="C18" s="39" t="str">
        <f aca="false">IFERROR(SUMPRODUCT((Tilgungsplan!A6:A365&gt;=157)*(Tilgungsplan!A6:A365&lt;=168)*IFERROR(Tilgungsplan!D6:D365,0)),"")</f>
        <v/>
      </c>
      <c r="D18" s="39" t="str">
        <f aca="false">IFERROR(SUMPRODUCT((Tilgungsplan!A6:A365&gt;=157)*(Tilgungsplan!A6:A365&lt;=168)*IFERROR(Tilgungsplan!E6:E365,0)),"")</f>
        <v/>
      </c>
      <c r="E18" s="37" t="n">
        <f aca="false">IFERROR(Tilgungsplan!G173,"")</f>
        <v>6000</v>
      </c>
      <c r="F18" s="39" t="n">
        <f aca="false">IFERROR(Tilgungsplan!F173,"")</f>
        <v>53363.18</v>
      </c>
    </row>
    <row r="19" customFormat="false" ht="19.5" hidden="false" customHeight="true" outlineLevel="0" collapsed="false">
      <c r="A19" s="40" t="n">
        <v>15</v>
      </c>
      <c r="B19" s="36" t="n">
        <f aca="false">IFERROR(Tilgungsplan!C174,"")</f>
        <v>53363.18</v>
      </c>
      <c r="C19" s="36" t="str">
        <f aca="false">IFERROR(SUMPRODUCT((Tilgungsplan!A6:A365&gt;=169)*(Tilgungsplan!A6:A365&lt;=180)*IFERROR(Tilgungsplan!D6:D365,0)),"")</f>
        <v/>
      </c>
      <c r="D19" s="36" t="str">
        <f aca="false">IFERROR(SUMPRODUCT((Tilgungsplan!A6:A365&gt;=169)*(Tilgungsplan!A6:A365&lt;=180)*IFERROR(Tilgungsplan!E6:E365,0)),"")</f>
        <v/>
      </c>
      <c r="E19" s="37" t="n">
        <f aca="false">IFERROR(Tilgungsplan!G185,"")</f>
        <v>6000</v>
      </c>
      <c r="F19" s="36" t="n">
        <f aca="false">IFERROR(Tilgungsplan!F185,"")</f>
        <v>35288.45</v>
      </c>
    </row>
    <row r="20" customFormat="false" ht="19.5" hidden="false" customHeight="true" outlineLevel="0" collapsed="false">
      <c r="A20" s="38" t="n">
        <v>16</v>
      </c>
      <c r="B20" s="39" t="n">
        <f aca="false">IFERROR(Tilgungsplan!C186,"")</f>
        <v>35288.45</v>
      </c>
      <c r="C20" s="39" t="str">
        <f aca="false">IFERROR(SUMPRODUCT((Tilgungsplan!A6:A365&gt;=181)*(Tilgungsplan!A6:A365&lt;=192)*IFERROR(Tilgungsplan!D6:D365,0)),"")</f>
        <v/>
      </c>
      <c r="D20" s="39" t="str">
        <f aca="false">IFERROR(SUMPRODUCT((Tilgungsplan!A6:A365&gt;=181)*(Tilgungsplan!A6:A365&lt;=192)*IFERROR(Tilgungsplan!E6:E365,0)),"")</f>
        <v/>
      </c>
      <c r="E20" s="37" t="n">
        <f aca="false">IFERROR(Tilgungsplan!G197,"")</f>
        <v>6000</v>
      </c>
      <c r="F20" s="39" t="n">
        <f aca="false">IFERROR(Tilgungsplan!F197,"")</f>
        <v>16570.84</v>
      </c>
    </row>
    <row r="21" customFormat="false" ht="19.5" hidden="false" customHeight="true" outlineLevel="0" collapsed="false">
      <c r="A21" s="35" t="n">
        <v>17</v>
      </c>
      <c r="B21" s="36" t="n">
        <f aca="false">IFERROR(Tilgungsplan!C198,"")</f>
        <v>16570.84</v>
      </c>
      <c r="C21" s="36" t="str">
        <f aca="false">IFERROR(SUMPRODUCT((Tilgungsplan!A6:A365&gt;=193)*(Tilgungsplan!A6:A365&lt;=204)*IFERROR(Tilgungsplan!D6:D365,0)),"")</f>
        <v/>
      </c>
      <c r="D21" s="36" t="str">
        <f aca="false">IFERROR(SUMPRODUCT((Tilgungsplan!A6:A365&gt;=193)*(Tilgungsplan!A6:A365&lt;=204)*IFERROR(Tilgungsplan!E6:E365,0)),"")</f>
        <v/>
      </c>
      <c r="E21" s="37" t="n">
        <f aca="false">IFERROR(Tilgungsplan!G209,"")</f>
        <v>3187.50999999998</v>
      </c>
      <c r="F21" s="36" t="n">
        <f aca="false">IFERROR(Tilgungsplan!F209,"")</f>
        <v>0</v>
      </c>
    </row>
    <row r="22" customFormat="false" ht="19.5" hidden="false" customHeight="true" outlineLevel="0" collapsed="false">
      <c r="A22" s="38" t="n">
        <v>18</v>
      </c>
      <c r="B22" s="39" t="str">
        <f aca="false">IFERROR(Tilgungsplan!C210,"")</f>
        <v/>
      </c>
      <c r="C22" s="39" t="str">
        <f aca="false">IFERROR(SUMPRODUCT((Tilgungsplan!A6:A365&gt;=205)*(Tilgungsplan!A6:A365&lt;=216)*IFERROR(Tilgungsplan!D6:D365,0)),"")</f>
        <v/>
      </c>
      <c r="D22" s="39" t="str">
        <f aca="false">IFERROR(SUMPRODUCT((Tilgungsplan!A6:A365&gt;=205)*(Tilgungsplan!A6:A365&lt;=216)*IFERROR(Tilgungsplan!E6:E365,0)),"")</f>
        <v/>
      </c>
      <c r="E22" s="37" t="str">
        <f aca="false">IFERROR(Tilgungsplan!G221,"")</f>
        <v/>
      </c>
      <c r="F22" s="39" t="str">
        <f aca="false">IFERROR(Tilgungsplan!F221,"")</f>
        <v/>
      </c>
    </row>
    <row r="23" customFormat="false" ht="19.5" hidden="false" customHeight="true" outlineLevel="0" collapsed="false">
      <c r="A23" s="35" t="n">
        <v>19</v>
      </c>
      <c r="B23" s="36" t="str">
        <f aca="false">IFERROR(Tilgungsplan!C222,"")</f>
        <v/>
      </c>
      <c r="C23" s="36" t="str">
        <f aca="false">IFERROR(SUMPRODUCT((Tilgungsplan!A6:A365&gt;=217)*(Tilgungsplan!A6:A365&lt;=228)*IFERROR(Tilgungsplan!D6:D365,0)),"")</f>
        <v/>
      </c>
      <c r="D23" s="36" t="str">
        <f aca="false">IFERROR(SUMPRODUCT((Tilgungsplan!A6:A365&gt;=217)*(Tilgungsplan!A6:A365&lt;=228)*IFERROR(Tilgungsplan!E6:E365,0)),"")</f>
        <v/>
      </c>
      <c r="E23" s="37" t="str">
        <f aca="false">IFERROR(Tilgungsplan!G233,"")</f>
        <v/>
      </c>
      <c r="F23" s="36" t="str">
        <f aca="false">IFERROR(Tilgungsplan!F233,"")</f>
        <v/>
      </c>
    </row>
    <row r="24" customFormat="false" ht="19.5" hidden="false" customHeight="true" outlineLevel="0" collapsed="false">
      <c r="A24" s="40" t="n">
        <v>20</v>
      </c>
      <c r="B24" s="39" t="str">
        <f aca="false">IFERROR(Tilgungsplan!C234,"")</f>
        <v/>
      </c>
      <c r="C24" s="39" t="str">
        <f aca="false">IFERROR(SUMPRODUCT((Tilgungsplan!A6:A365&gt;=229)*(Tilgungsplan!A6:A365&lt;=240)*IFERROR(Tilgungsplan!D6:D365,0)),"")</f>
        <v/>
      </c>
      <c r="D24" s="39" t="str">
        <f aca="false">IFERROR(SUMPRODUCT((Tilgungsplan!A6:A365&gt;=229)*(Tilgungsplan!A6:A365&lt;=240)*IFERROR(Tilgungsplan!E6:E365,0)),"")</f>
        <v/>
      </c>
      <c r="E24" s="37" t="str">
        <f aca="false">IFERROR(Tilgungsplan!G245,"")</f>
        <v/>
      </c>
      <c r="F24" s="39" t="str">
        <f aca="false">IFERROR(Tilgungsplan!F245,"")</f>
        <v/>
      </c>
    </row>
    <row r="25" customFormat="false" ht="19.5" hidden="false" customHeight="true" outlineLevel="0" collapsed="false">
      <c r="A25" s="35" t="n">
        <v>21</v>
      </c>
      <c r="B25" s="36" t="str">
        <f aca="false">IFERROR(Tilgungsplan!C246,"")</f>
        <v/>
      </c>
      <c r="C25" s="36" t="str">
        <f aca="false">IFERROR(SUMPRODUCT((Tilgungsplan!A6:A365&gt;=241)*(Tilgungsplan!A6:A365&lt;=252)*IFERROR(Tilgungsplan!D6:D365,0)),"")</f>
        <v/>
      </c>
      <c r="D25" s="36" t="str">
        <f aca="false">IFERROR(SUMPRODUCT((Tilgungsplan!A6:A365&gt;=241)*(Tilgungsplan!A6:A365&lt;=252)*IFERROR(Tilgungsplan!E6:E365,0)),"")</f>
        <v/>
      </c>
      <c r="E25" s="37" t="str">
        <f aca="false">IFERROR(Tilgungsplan!G257,"")</f>
        <v/>
      </c>
      <c r="F25" s="36" t="str">
        <f aca="false">IFERROR(Tilgungsplan!F257,"")</f>
        <v/>
      </c>
    </row>
    <row r="26" customFormat="false" ht="19.5" hidden="false" customHeight="true" outlineLevel="0" collapsed="false">
      <c r="A26" s="38" t="n">
        <v>22</v>
      </c>
      <c r="B26" s="39" t="str">
        <f aca="false">IFERROR(Tilgungsplan!C258,"")</f>
        <v/>
      </c>
      <c r="C26" s="39" t="str">
        <f aca="false">IFERROR(SUMPRODUCT((Tilgungsplan!A6:A365&gt;=253)*(Tilgungsplan!A6:A365&lt;=264)*IFERROR(Tilgungsplan!D6:D365,0)),"")</f>
        <v/>
      </c>
      <c r="D26" s="39" t="str">
        <f aca="false">IFERROR(SUMPRODUCT((Tilgungsplan!A6:A365&gt;=253)*(Tilgungsplan!A6:A365&lt;=264)*IFERROR(Tilgungsplan!E6:E365,0)),"")</f>
        <v/>
      </c>
      <c r="E26" s="37" t="str">
        <f aca="false">IFERROR(Tilgungsplan!G269,"")</f>
        <v/>
      </c>
      <c r="F26" s="39" t="str">
        <f aca="false">IFERROR(Tilgungsplan!F269,"")</f>
        <v/>
      </c>
    </row>
    <row r="27" customFormat="false" ht="19.5" hidden="false" customHeight="true" outlineLevel="0" collapsed="false">
      <c r="A27" s="35" t="n">
        <v>23</v>
      </c>
      <c r="B27" s="36" t="str">
        <f aca="false">IFERROR(Tilgungsplan!C270,"")</f>
        <v/>
      </c>
      <c r="C27" s="36" t="str">
        <f aca="false">IFERROR(SUMPRODUCT((Tilgungsplan!A6:A365&gt;=265)*(Tilgungsplan!A6:A365&lt;=276)*IFERROR(Tilgungsplan!D6:D365,0)),"")</f>
        <v/>
      </c>
      <c r="D27" s="36" t="str">
        <f aca="false">IFERROR(SUMPRODUCT((Tilgungsplan!A6:A365&gt;=265)*(Tilgungsplan!A6:A365&lt;=276)*IFERROR(Tilgungsplan!E6:E365,0)),"")</f>
        <v/>
      </c>
      <c r="E27" s="37" t="str">
        <f aca="false">IFERROR(Tilgungsplan!G281,"")</f>
        <v/>
      </c>
      <c r="F27" s="36" t="str">
        <f aca="false">IFERROR(Tilgungsplan!F281,"")</f>
        <v/>
      </c>
    </row>
    <row r="28" customFormat="false" ht="19.5" hidden="false" customHeight="true" outlineLevel="0" collapsed="false">
      <c r="A28" s="38" t="n">
        <v>24</v>
      </c>
      <c r="B28" s="39" t="str">
        <f aca="false">IFERROR(Tilgungsplan!C282,"")</f>
        <v/>
      </c>
      <c r="C28" s="39" t="str">
        <f aca="false">IFERROR(SUMPRODUCT((Tilgungsplan!A6:A365&gt;=277)*(Tilgungsplan!A6:A365&lt;=288)*IFERROR(Tilgungsplan!D6:D365,0)),"")</f>
        <v/>
      </c>
      <c r="D28" s="39" t="str">
        <f aca="false">IFERROR(SUMPRODUCT((Tilgungsplan!A6:A365&gt;=277)*(Tilgungsplan!A6:A365&lt;=288)*IFERROR(Tilgungsplan!E6:E365,0)),"")</f>
        <v/>
      </c>
      <c r="E28" s="37" t="str">
        <f aca="false">IFERROR(Tilgungsplan!G293,"")</f>
        <v/>
      </c>
      <c r="F28" s="39" t="str">
        <f aca="false">IFERROR(Tilgungsplan!F293,"")</f>
        <v/>
      </c>
    </row>
    <row r="29" customFormat="false" ht="19.5" hidden="false" customHeight="true" outlineLevel="0" collapsed="false">
      <c r="A29" s="40" t="n">
        <v>25</v>
      </c>
      <c r="B29" s="36" t="str">
        <f aca="false">IFERROR(Tilgungsplan!C294,"")</f>
        <v/>
      </c>
      <c r="C29" s="36" t="str">
        <f aca="false">IFERROR(SUMPRODUCT((Tilgungsplan!A6:A365&gt;=289)*(Tilgungsplan!A6:A365&lt;=300)*IFERROR(Tilgungsplan!D6:D365,0)),"")</f>
        <v/>
      </c>
      <c r="D29" s="36" t="str">
        <f aca="false">IFERROR(SUMPRODUCT((Tilgungsplan!A6:A365&gt;=289)*(Tilgungsplan!A6:A365&lt;=300)*IFERROR(Tilgungsplan!E6:E365,0)),"")</f>
        <v/>
      </c>
      <c r="E29" s="37" t="str">
        <f aca="false">IFERROR(Tilgungsplan!G305,"")</f>
        <v/>
      </c>
      <c r="F29" s="36" t="str">
        <f aca="false">IFERROR(Tilgungsplan!F305,"")</f>
        <v/>
      </c>
    </row>
    <row r="30" customFormat="false" ht="19.5" hidden="false" customHeight="true" outlineLevel="0" collapsed="false">
      <c r="A30" s="38" t="n">
        <v>26</v>
      </c>
      <c r="B30" s="39" t="str">
        <f aca="false">IFERROR(Tilgungsplan!C306,"")</f>
        <v/>
      </c>
      <c r="C30" s="39" t="str">
        <f aca="false">IFERROR(SUMPRODUCT((Tilgungsplan!A6:A365&gt;=301)*(Tilgungsplan!A6:A365&lt;=312)*IFERROR(Tilgungsplan!D6:D365,0)),"")</f>
        <v/>
      </c>
      <c r="D30" s="39" t="str">
        <f aca="false">IFERROR(SUMPRODUCT((Tilgungsplan!A6:A365&gt;=301)*(Tilgungsplan!A6:A365&lt;=312)*IFERROR(Tilgungsplan!E6:E365,0)),"")</f>
        <v/>
      </c>
      <c r="E30" s="37" t="str">
        <f aca="false">IFERROR(Tilgungsplan!G317,"")</f>
        <v/>
      </c>
      <c r="F30" s="39" t="str">
        <f aca="false">IFERROR(Tilgungsplan!F317,"")</f>
        <v/>
      </c>
    </row>
    <row r="31" customFormat="false" ht="19.5" hidden="false" customHeight="true" outlineLevel="0" collapsed="false">
      <c r="A31" s="35" t="n">
        <v>27</v>
      </c>
      <c r="B31" s="36" t="str">
        <f aca="false">IFERROR(Tilgungsplan!C318,"")</f>
        <v/>
      </c>
      <c r="C31" s="36" t="str">
        <f aca="false">IFERROR(SUMPRODUCT((Tilgungsplan!A6:A365&gt;=313)*(Tilgungsplan!A6:A365&lt;=324)*IFERROR(Tilgungsplan!D6:D365,0)),"")</f>
        <v/>
      </c>
      <c r="D31" s="36" t="str">
        <f aca="false">IFERROR(SUMPRODUCT((Tilgungsplan!A6:A365&gt;=313)*(Tilgungsplan!A6:A365&lt;=324)*IFERROR(Tilgungsplan!E6:E365,0)),"")</f>
        <v/>
      </c>
      <c r="E31" s="37" t="str">
        <f aca="false">IFERROR(Tilgungsplan!G329,"")</f>
        <v/>
      </c>
      <c r="F31" s="36" t="str">
        <f aca="false">IFERROR(Tilgungsplan!F329,"")</f>
        <v/>
      </c>
    </row>
    <row r="32" customFormat="false" ht="19.5" hidden="false" customHeight="true" outlineLevel="0" collapsed="false">
      <c r="A32" s="38" t="n">
        <v>28</v>
      </c>
      <c r="B32" s="39" t="str">
        <f aca="false">IFERROR(Tilgungsplan!C330,"")</f>
        <v/>
      </c>
      <c r="C32" s="39" t="str">
        <f aca="false">IFERROR(SUMPRODUCT((Tilgungsplan!A6:A365&gt;=325)*(Tilgungsplan!A6:A365&lt;=336)*IFERROR(Tilgungsplan!D6:D365,0)),"")</f>
        <v/>
      </c>
      <c r="D32" s="39" t="str">
        <f aca="false">IFERROR(SUMPRODUCT((Tilgungsplan!A6:A365&gt;=325)*(Tilgungsplan!A6:A365&lt;=336)*IFERROR(Tilgungsplan!E6:E365,0)),"")</f>
        <v/>
      </c>
      <c r="E32" s="37" t="str">
        <f aca="false">IFERROR(Tilgungsplan!G341,"")</f>
        <v/>
      </c>
      <c r="F32" s="39" t="str">
        <f aca="false">IFERROR(Tilgungsplan!F341,"")</f>
        <v/>
      </c>
    </row>
    <row r="33" customFormat="false" ht="19.5" hidden="false" customHeight="true" outlineLevel="0" collapsed="false">
      <c r="A33" s="35" t="n">
        <v>29</v>
      </c>
      <c r="B33" s="36" t="str">
        <f aca="false">IFERROR(Tilgungsplan!C342,"")</f>
        <v/>
      </c>
      <c r="C33" s="36" t="str">
        <f aca="false">IFERROR(SUMPRODUCT((Tilgungsplan!A6:A365&gt;=337)*(Tilgungsplan!A6:A365&lt;=348)*IFERROR(Tilgungsplan!D6:D365,0)),"")</f>
        <v/>
      </c>
      <c r="D33" s="36" t="str">
        <f aca="false">IFERROR(SUMPRODUCT((Tilgungsplan!A6:A365&gt;=337)*(Tilgungsplan!A6:A365&lt;=348)*IFERROR(Tilgungsplan!E6:E365,0)),"")</f>
        <v/>
      </c>
      <c r="E33" s="37" t="str">
        <f aca="false">IFERROR(Tilgungsplan!G353,"")</f>
        <v/>
      </c>
      <c r="F33" s="36" t="str">
        <f aca="false">IFERROR(Tilgungsplan!F353,"")</f>
        <v/>
      </c>
    </row>
    <row r="34" customFormat="false" ht="19.5" hidden="false" customHeight="true" outlineLevel="0" collapsed="false">
      <c r="A34" s="40" t="n">
        <v>30</v>
      </c>
      <c r="B34" s="39" t="str">
        <f aca="false">IFERROR(Tilgungsplan!C354,"")</f>
        <v/>
      </c>
      <c r="C34" s="39" t="str">
        <f aca="false">IFERROR(SUMPRODUCT((Tilgungsplan!A6:A365&gt;=349)*(Tilgungsplan!A6:A365&lt;=360)*IFERROR(Tilgungsplan!D6:D365,0)),"")</f>
        <v/>
      </c>
      <c r="D34" s="39" t="str">
        <f aca="false">IFERROR(SUMPRODUCT((Tilgungsplan!A6:A365&gt;=349)*(Tilgungsplan!A6:A365&lt;=360)*IFERROR(Tilgungsplan!E6:E365,0)),"")</f>
        <v/>
      </c>
      <c r="E34" s="37" t="str">
        <f aca="false">IFERROR(Tilgungsplan!G365,"")</f>
        <v/>
      </c>
      <c r="F34" s="39" t="str">
        <f aca="false">IFERROR(Tilgungsplan!F365,"")</f>
        <v/>
      </c>
    </row>
    <row r="35" customFormat="false" ht="21.75" hidden="false" customHeight="true" outlineLevel="0" collapsed="false">
      <c r="A35" s="41" t="s">
        <v>50</v>
      </c>
      <c r="B35" s="42"/>
      <c r="C35" s="43" t="n">
        <f aca="false">SUM(C5:C34)</f>
        <v>0</v>
      </c>
      <c r="D35" s="43" t="n">
        <f aca="false">SUM(D5:D34)</f>
        <v>0</v>
      </c>
      <c r="E35" s="43" t="n">
        <f aca="false">SUM(E5:E34)</f>
        <v>99187.51</v>
      </c>
      <c r="F35" s="42"/>
    </row>
  </sheetData>
  <mergeCells count="2">
    <mergeCell ref="A1:F2"/>
    <mergeCell ref="A3:F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ED7D31"/>
    <pageSetUpPr fitToPage="false"/>
  </sheetPr>
  <dimension ref="A1:E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2"/>
    <col collapsed="false" customWidth="true" hidden="false" outlineLevel="0" max="5" min="2" style="1" width="20"/>
  </cols>
  <sheetData>
    <row r="1" customFormat="false" ht="30" hidden="false" customHeight="true" outlineLevel="0" collapsed="false">
      <c r="A1" s="23" t="s">
        <v>51</v>
      </c>
      <c r="B1" s="23"/>
      <c r="C1" s="23"/>
      <c r="D1" s="23"/>
      <c r="E1" s="23"/>
    </row>
    <row r="2" customFormat="false" ht="15" hidden="false" customHeight="true" outlineLevel="0" collapsed="false">
      <c r="A2" s="23"/>
      <c r="B2" s="23"/>
      <c r="C2" s="23"/>
      <c r="D2" s="23"/>
      <c r="E2" s="23"/>
    </row>
    <row r="3" customFormat="false" ht="15" hidden="false" customHeight="true" outlineLevel="0" collapsed="false">
      <c r="A3" s="44" t="s">
        <v>52</v>
      </c>
      <c r="B3" s="44"/>
      <c r="C3" s="44"/>
      <c r="D3" s="44"/>
      <c r="E3" s="44"/>
    </row>
    <row r="5" customFormat="false" ht="27.75" hidden="false" customHeight="true" outlineLevel="0" collapsed="false">
      <c r="A5" s="45" t="s">
        <v>53</v>
      </c>
      <c r="B5" s="34" t="s">
        <v>54</v>
      </c>
      <c r="C5" s="34" t="s">
        <v>55</v>
      </c>
      <c r="D5" s="34" t="s">
        <v>56</v>
      </c>
      <c r="E5" s="34" t="s">
        <v>57</v>
      </c>
    </row>
    <row r="6" customFormat="false" ht="19.5" hidden="false" customHeight="true" outlineLevel="0" collapsed="false">
      <c r="A6" s="46" t="s">
        <v>4</v>
      </c>
      <c r="B6" s="47" t="n">
        <v>250000</v>
      </c>
      <c r="C6" s="47" t="n">
        <v>250000</v>
      </c>
      <c r="D6" s="47" t="n">
        <v>250000</v>
      </c>
      <c r="E6" s="47" t="n">
        <v>250000</v>
      </c>
    </row>
    <row r="7" customFormat="false" ht="19.5" hidden="false" customHeight="true" outlineLevel="0" collapsed="false">
      <c r="A7" s="46" t="s">
        <v>6</v>
      </c>
      <c r="B7" s="48" t="n">
        <v>0.035</v>
      </c>
      <c r="C7" s="48" t="n">
        <v>0.035</v>
      </c>
      <c r="D7" s="48" t="n">
        <v>0.035</v>
      </c>
      <c r="E7" s="48" t="n">
        <v>0.035</v>
      </c>
    </row>
    <row r="8" customFormat="false" ht="19.5" hidden="false" customHeight="true" outlineLevel="0" collapsed="false">
      <c r="A8" s="46" t="s">
        <v>58</v>
      </c>
      <c r="B8" s="48" t="n">
        <v>0.02</v>
      </c>
      <c r="C8" s="48" t="n">
        <v>0.03</v>
      </c>
      <c r="D8" s="48" t="n">
        <v>0.02</v>
      </c>
      <c r="E8" s="48" t="n">
        <v>0.02</v>
      </c>
    </row>
    <row r="9" customFormat="false" ht="19.5" hidden="false" customHeight="true" outlineLevel="0" collapsed="false">
      <c r="A9" s="46" t="s">
        <v>10</v>
      </c>
      <c r="B9" s="47" t="n">
        <v>6000</v>
      </c>
      <c r="C9" s="47" t="n">
        <v>6000</v>
      </c>
      <c r="D9" s="47" t="n">
        <v>12000</v>
      </c>
      <c r="E9" s="47" t="n">
        <v>6000</v>
      </c>
    </row>
    <row r="10" customFormat="false" ht="9.75" hidden="false" customHeight="true" outlineLevel="0" collapsed="false">
      <c r="A10" s="49" t="s">
        <v>59</v>
      </c>
      <c r="B10" s="49"/>
      <c r="C10" s="49"/>
      <c r="D10" s="49"/>
      <c r="E10" s="49"/>
    </row>
    <row r="11" customFormat="false" ht="19.5" hidden="false" customHeight="true" outlineLevel="0" collapsed="false">
      <c r="A11" s="50" t="s">
        <v>5</v>
      </c>
      <c r="B11" s="51" t="n">
        <f aca="false">ROUND(B6*(B7/12+B8/12),2)</f>
        <v>1145.83</v>
      </c>
      <c r="C11" s="51" t="n">
        <f aca="false">ROUND(C6*(C7/12+C8/12),2)</f>
        <v>1354.17</v>
      </c>
      <c r="D11" s="51" t="n">
        <f aca="false">ROUND(D6*(D7/12+D8/12),2)</f>
        <v>1145.83</v>
      </c>
      <c r="E11" s="51" t="n">
        <f aca="false">ROUND(E6*(E7/12+E8/12),2)</f>
        <v>1145.83</v>
      </c>
    </row>
    <row r="12" customFormat="false" ht="19.5" hidden="false" customHeight="true" outlineLevel="0" collapsed="false">
      <c r="A12" s="50" t="s">
        <v>60</v>
      </c>
      <c r="B12" s="52" t="n">
        <f aca="false">ROUND(-NPER(B7/12,-B11,B6)/12,1)</f>
        <v>-28.9</v>
      </c>
      <c r="C12" s="52" t="n">
        <f aca="false">ROUND(-NPER(C7/12,-C11,C6)/12,1)</f>
        <v>-22.1</v>
      </c>
      <c r="D12" s="52" t="n">
        <f aca="false">ROUND(-NPER(D7/12,-D11,D6)/12,1)</f>
        <v>-28.9</v>
      </c>
      <c r="E12" s="52" t="n">
        <f aca="false">ROUND(-NPER(E7/12,-E11,E6)/12,1)</f>
        <v>-28.9</v>
      </c>
    </row>
    <row r="13" customFormat="false" ht="19.5" hidden="false" customHeight="true" outlineLevel="0" collapsed="false">
      <c r="A13" s="50" t="s">
        <v>61</v>
      </c>
      <c r="B13" s="37" t="n">
        <f aca="false">IFERROR(NPER(B7/12,-(B6*(B7/12+B8/12)),B6)*B6*(B7/12+B8/12)/12*12-B6,0)</f>
        <v>147993.925574081</v>
      </c>
      <c r="C13" s="37" t="n">
        <f aca="false">IFERROR(NPER(C7/12,-(C6*(C7/12+C8/12)),C6)*C6*(C7/12+C8/12)/12*12-C6,0)</f>
        <v>109504.279408274</v>
      </c>
      <c r="D13" s="37" t="n">
        <f aca="false">IFERROR(NPER(D7/12,-(D6*(D7/12+D8/12)),D6)*D6*(D7/12+D8/12)/12*12-D6,0)</f>
        <v>147993.925574081</v>
      </c>
      <c r="E13" s="37" t="n">
        <f aca="false">IFERROR(NPER(E7/12,-(E6*(E7/12+E8/12)),E6)*E6*(E7/12+E8/12)/12*12-E6,0)</f>
        <v>147993.925574081</v>
      </c>
    </row>
  </sheetData>
  <mergeCells count="3">
    <mergeCell ref="A1:E2"/>
    <mergeCell ref="A3:E3"/>
    <mergeCell ref="A10:E10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2026-05-14T09:16:53Z</dcterms:created>
  <dc:creator>openpyxl</dc:creator>
  <dc:description/>
  <dc:language>en-US</dc:language>
  <cp:lastModifiedBy/>
  <dcterms:modified xsi:type="dcterms:W3CDTF">2026-05-14T09:17:45Z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