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8D416282-1AC8-47A0-AE1A-F1E158DEB91A}" xr6:coauthVersionLast="47" xr6:coauthVersionMax="47" xr10:uidLastSave="{00000000-0000-0000-0000-000000000000}"/>
  <bookViews>
    <workbookView xWindow="1035" yWindow="1035" windowWidth="25500" windowHeight="13500" tabRatio="500" xr2:uid="{00000000-000D-0000-FFFF-FFFF00000000}"/>
  </bookViews>
  <sheets>
    <sheet name="Übersicht" sheetId="1" r:id="rId1"/>
    <sheet name="Transaktionen" sheetId="2" r:id="rId2"/>
    <sheet name="Monatsbudget" sheetId="3" r:id="rId3"/>
    <sheet name="Vermögen" sheetId="4" r:id="rId4"/>
    <sheet name="Einstellungen" sheetId="5" r:id="rId5"/>
  </sheets>
  <definedNames>
    <definedName name="_xlnm._FilterDatabase" localSheetId="1" hidden="1">Transaktionen!$A$4:$H$84</definedName>
    <definedName name="AlleKategorien">Einstellungen!$B$6:$B$12,Einstellungen!$D$6:$D$15</definedName>
    <definedName name="Ausgabekategorien">Einstellungen!$D$6:$D$15</definedName>
    <definedName name="Einnahmekategorien">Einstellungen!$B$6:$B$12</definedName>
    <definedName name="Konten">Einstellungen!$F$6:$F$12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7" i="4" l="1"/>
  <c r="D17" i="4"/>
  <c r="F6" i="4" s="1"/>
  <c r="C29" i="3"/>
  <c r="F29" i="3" s="1"/>
  <c r="D28" i="3"/>
  <c r="F28" i="3" s="1"/>
  <c r="D27" i="3"/>
  <c r="F27" i="3" s="1"/>
  <c r="D26" i="3"/>
  <c r="F26" i="3" s="1"/>
  <c r="D25" i="3"/>
  <c r="F25" i="3" s="1"/>
  <c r="D24" i="3"/>
  <c r="F24" i="3" s="1"/>
  <c r="D23" i="3"/>
  <c r="F23" i="3" s="1"/>
  <c r="D22" i="3"/>
  <c r="F22" i="3" s="1"/>
  <c r="D21" i="3"/>
  <c r="F21" i="3" s="1"/>
  <c r="D20" i="3"/>
  <c r="F20" i="3" s="1"/>
  <c r="D19" i="3"/>
  <c r="D29" i="3" s="1"/>
  <c r="C16" i="3"/>
  <c r="C31" i="3" s="1"/>
  <c r="F15" i="3"/>
  <c r="D15" i="3"/>
  <c r="E15" i="3" s="1"/>
  <c r="F14" i="3"/>
  <c r="D14" i="3"/>
  <c r="E14" i="3" s="1"/>
  <c r="F13" i="3"/>
  <c r="D13" i="3"/>
  <c r="E13" i="3" s="1"/>
  <c r="F12" i="3"/>
  <c r="D12" i="3"/>
  <c r="E12" i="3" s="1"/>
  <c r="D11" i="3"/>
  <c r="F11" i="3" s="1"/>
  <c r="D10" i="3"/>
  <c r="E10" i="3" s="1"/>
  <c r="D9" i="3"/>
  <c r="D16" i="3" s="1"/>
  <c r="D5" i="3"/>
  <c r="D22" i="1"/>
  <c r="C22" i="1"/>
  <c r="D21" i="1"/>
  <c r="C21" i="1"/>
  <c r="E21" i="1" s="1"/>
  <c r="H20" i="1"/>
  <c r="I20" i="1" s="1"/>
  <c r="D20" i="1"/>
  <c r="C20" i="1"/>
  <c r="E20" i="1" s="1"/>
  <c r="H19" i="1"/>
  <c r="D19" i="1"/>
  <c r="C19" i="1"/>
  <c r="H18" i="1"/>
  <c r="D18" i="1"/>
  <c r="C18" i="1"/>
  <c r="H17" i="1"/>
  <c r="I17" i="1" s="1"/>
  <c r="D17" i="1"/>
  <c r="C17" i="1"/>
  <c r="H16" i="1"/>
  <c r="D16" i="1"/>
  <c r="C16" i="1"/>
  <c r="H15" i="1"/>
  <c r="D15" i="1"/>
  <c r="C15" i="1"/>
  <c r="H14" i="1"/>
  <c r="D14" i="1"/>
  <c r="C14" i="1"/>
  <c r="H13" i="1"/>
  <c r="I13" i="1" s="1"/>
  <c r="D13" i="1"/>
  <c r="C13" i="1"/>
  <c r="E13" i="1" s="1"/>
  <c r="H12" i="1"/>
  <c r="I12" i="1" s="1"/>
  <c r="D12" i="1"/>
  <c r="C12" i="1"/>
  <c r="E12" i="1" s="1"/>
  <c r="H11" i="1"/>
  <c r="D11" i="1"/>
  <c r="C11" i="1"/>
  <c r="E11" i="1" s="1"/>
  <c r="D6" i="1"/>
  <c r="B6" i="1"/>
  <c r="E19" i="1" l="1"/>
  <c r="D23" i="1"/>
  <c r="E15" i="1"/>
  <c r="E22" i="1"/>
  <c r="E18" i="1"/>
  <c r="E16" i="1"/>
  <c r="E14" i="1"/>
  <c r="I16" i="1"/>
  <c r="E17" i="1"/>
  <c r="I19" i="1"/>
  <c r="F16" i="3"/>
  <c r="E16" i="3"/>
  <c r="D31" i="3"/>
  <c r="E31" i="3" s="1"/>
  <c r="E19" i="3"/>
  <c r="E11" i="3"/>
  <c r="F19" i="3"/>
  <c r="E26" i="3"/>
  <c r="F10" i="3"/>
  <c r="E20" i="3"/>
  <c r="E27" i="3"/>
  <c r="E21" i="3"/>
  <c r="E28" i="3"/>
  <c r="E22" i="3"/>
  <c r="C23" i="1"/>
  <c r="E29" i="3"/>
  <c r="E23" i="3"/>
  <c r="G6" i="1"/>
  <c r="I6" i="1" s="1"/>
  <c r="I14" i="1"/>
  <c r="I18" i="1"/>
  <c r="E9" i="3"/>
  <c r="E24" i="3"/>
  <c r="F9" i="3"/>
  <c r="B6" i="4"/>
  <c r="I11" i="1"/>
  <c r="I15" i="1"/>
  <c r="E25" i="3"/>
  <c r="E23" i="1" l="1"/>
</calcChain>
</file>

<file path=xl/sharedStrings.xml><?xml version="1.0" encoding="utf-8"?>
<sst xmlns="http://schemas.openxmlformats.org/spreadsheetml/2006/main" count="579" uniqueCount="188">
  <si>
    <t>Persönliches Finanzdashboard – Stand: aktuelles Jahr</t>
  </si>
  <si>
    <t>GESAMTEINNAHMEN</t>
  </si>
  <si>
    <t>GESAMTAUSGABEN</t>
  </si>
  <si>
    <t>SALDO (Überschuss)</t>
  </si>
  <si>
    <t>SPARQUOTE</t>
  </si>
  <si>
    <t>Monatliche Entwicklung</t>
  </si>
  <si>
    <t>Top Ausgabenkategorien</t>
  </si>
  <si>
    <t>Monat</t>
  </si>
  <si>
    <t>Einnahmen</t>
  </si>
  <si>
    <t>Ausgaben</t>
  </si>
  <si>
    <t>Saldo</t>
  </si>
  <si>
    <t>Kategorie</t>
  </si>
  <si>
    <t>Anteil</t>
  </si>
  <si>
    <t>Januar</t>
  </si>
  <si>
    <t>Wohnen</t>
  </si>
  <si>
    <t>Februar</t>
  </si>
  <si>
    <t>Lebensmittel</t>
  </si>
  <si>
    <t>März</t>
  </si>
  <si>
    <t>Mobilität</t>
  </si>
  <si>
    <t>April</t>
  </si>
  <si>
    <t>Versicherungen</t>
  </si>
  <si>
    <t>Mai</t>
  </si>
  <si>
    <t>Freizeit &amp; Hobby</t>
  </si>
  <si>
    <t>Juni</t>
  </si>
  <si>
    <t>Abonnements</t>
  </si>
  <si>
    <t>Juli</t>
  </si>
  <si>
    <t>Gesundheit</t>
  </si>
  <si>
    <t>August</t>
  </si>
  <si>
    <t>Kleidung</t>
  </si>
  <si>
    <t>September</t>
  </si>
  <si>
    <t>Bildung</t>
  </si>
  <si>
    <t>Oktober</t>
  </si>
  <si>
    <t>Sonstiges</t>
  </si>
  <si>
    <t>November</t>
  </si>
  <si>
    <t>Dezember</t>
  </si>
  <si>
    <t>JAHR GESAMT</t>
  </si>
  <si>
    <t>💡 Hinweis</t>
  </si>
  <si>
    <t>Trage deine Buchungen ausschließlich im Blatt 'Transaktionen' ein. Alle Auswertungen in diesem Dashboard, im Monatsbudget und in der Vermögensübersicht werden automatisch aktualisiert. Kategorien und Konten kannst du im Blatt 'Einstellungen' anpassen.</t>
  </si>
  <si>
    <t>Transaktionen</t>
  </si>
  <si>
    <t>Erfasse hier sämtliche Einnahmen und Ausgaben.</t>
  </si>
  <si>
    <t>Datum</t>
  </si>
  <si>
    <t>Unterkategorie</t>
  </si>
  <si>
    <t>Beschreibung</t>
  </si>
  <si>
    <t>Typ</t>
  </si>
  <si>
    <t>Betrag</t>
  </si>
  <si>
    <t>Konto</t>
  </si>
  <si>
    <t>Notiz</t>
  </si>
  <si>
    <t>Gehalt</t>
  </si>
  <si>
    <t>Hauptarbeitgeber</t>
  </si>
  <si>
    <t>Monatslohn</t>
  </si>
  <si>
    <t>Einnahme</t>
  </si>
  <si>
    <t>Girokonto</t>
  </si>
  <si>
    <t>Miete</t>
  </si>
  <si>
    <t>Kaltmiete Januar</t>
  </si>
  <si>
    <t>Ausgabe</t>
  </si>
  <si>
    <t>inkl. Stellplatz</t>
  </si>
  <si>
    <t>Nebenkosten</t>
  </si>
  <si>
    <t>Strom &amp; Heizung</t>
  </si>
  <si>
    <t>Haftpflicht</t>
  </si>
  <si>
    <t>Privathaftpflicht</t>
  </si>
  <si>
    <t>monatlich</t>
  </si>
  <si>
    <t>Streaming</t>
  </si>
  <si>
    <t>Streaming-Dienst</t>
  </si>
  <si>
    <t>Kreditkarte</t>
  </si>
  <si>
    <t>Supermarkt</t>
  </si>
  <si>
    <t>Wocheneinkauf</t>
  </si>
  <si>
    <t>ÖPNV</t>
  </si>
  <si>
    <t>Monatsticket</t>
  </si>
  <si>
    <t>Deutschlandticket</t>
  </si>
  <si>
    <t>Restaurant</t>
  </si>
  <si>
    <t>Abendessen</t>
  </si>
  <si>
    <t>Nebeneinkommen</t>
  </si>
  <si>
    <t>Freelance</t>
  </si>
  <si>
    <t>Kleinauftrag</t>
  </si>
  <si>
    <t>Bekleidung</t>
  </si>
  <si>
    <t>Winterjacke</t>
  </si>
  <si>
    <t>Apotheke</t>
  </si>
  <si>
    <t>Medikamente</t>
  </si>
  <si>
    <t>Bargeld</t>
  </si>
  <si>
    <t>Haushalt</t>
  </si>
  <si>
    <t>Reinigungsmittel</t>
  </si>
  <si>
    <t>Kaltmiete Februar</t>
  </si>
  <si>
    <t>Kfz</t>
  </si>
  <si>
    <t>Kfz-Versicherung Q1</t>
  </si>
  <si>
    <t>Quartalsbeitrag</t>
  </si>
  <si>
    <t>Geschenke</t>
  </si>
  <si>
    <t>Geburtstagsgeschenk</t>
  </si>
  <si>
    <t>Kapitalerträge</t>
  </si>
  <si>
    <t>Zinsen</t>
  </si>
  <si>
    <t>Zinsgutschrift</t>
  </si>
  <si>
    <t>Sparkonto</t>
  </si>
  <si>
    <t>Tanken</t>
  </si>
  <si>
    <t>Tankfüllung</t>
  </si>
  <si>
    <t>Kino</t>
  </si>
  <si>
    <t>Kinoabend</t>
  </si>
  <si>
    <t>Bücher</t>
  </si>
  <si>
    <t>Fachbuch</t>
  </si>
  <si>
    <t>Kaltmiete März</t>
  </si>
  <si>
    <t>Fitness</t>
  </si>
  <si>
    <t>Mitgliedsbeitrag</t>
  </si>
  <si>
    <t>Projektabschluss</t>
  </si>
  <si>
    <t>Mittagessen</t>
  </si>
  <si>
    <t>Arzt</t>
  </si>
  <si>
    <t>Zuzahlung Rezept</t>
  </si>
  <si>
    <t>Hobby</t>
  </si>
  <si>
    <t>Sportausrüstung</t>
  </si>
  <si>
    <t>Schuhe</t>
  </si>
  <si>
    <t>Sportschuhe</t>
  </si>
  <si>
    <t>Kaltmiete April</t>
  </si>
  <si>
    <t>Hausrat</t>
  </si>
  <si>
    <t>Hausratversicherung</t>
  </si>
  <si>
    <t>Rückerstattung</t>
  </si>
  <si>
    <t>Steuer</t>
  </si>
  <si>
    <t>Steuererstattung</t>
  </si>
  <si>
    <t>Lohnsteuerausgleich</t>
  </si>
  <si>
    <t>Brunch</t>
  </si>
  <si>
    <t>Online-Kurs</t>
  </si>
  <si>
    <t>Weiterbildung</t>
  </si>
  <si>
    <t>Geschenk</t>
  </si>
  <si>
    <t>Hochzeitsgeschenk</t>
  </si>
  <si>
    <t>Kaltmiete Mai</t>
  </si>
  <si>
    <t>Kfz-Versicherung Q2</t>
  </si>
  <si>
    <t>Reise</t>
  </si>
  <si>
    <t>Wochenendtrip</t>
  </si>
  <si>
    <t>Unterkunft</t>
  </si>
  <si>
    <t>Dividende</t>
  </si>
  <si>
    <t>Dividendenzahlung</t>
  </si>
  <si>
    <t>Depot</t>
  </si>
  <si>
    <t>Konzert</t>
  </si>
  <si>
    <t>Konzertkarte</t>
  </si>
  <si>
    <t>Friseur</t>
  </si>
  <si>
    <t>Haarschnitt</t>
  </si>
  <si>
    <t>Monatsbudget</t>
  </si>
  <si>
    <t>Plane dein Budget pro Kategorie und vergleiche es mit den tatsächlichen Ausgaben.</t>
  </si>
  <si>
    <t>Monat auswählen:</t>
  </si>
  <si>
    <t>Geplant</t>
  </si>
  <si>
    <t>Tatsächlich</t>
  </si>
  <si>
    <t>Abweichung</t>
  </si>
  <si>
    <t>Auslastung</t>
  </si>
  <si>
    <t>EINNAHMEN</t>
  </si>
  <si>
    <t>Mieteinnahmen</t>
  </si>
  <si>
    <t>Sonstige Einnahmen</t>
  </si>
  <si>
    <t>Summe Einnahmen</t>
  </si>
  <si>
    <t>AUSGABEN</t>
  </si>
  <si>
    <t>Summe Ausgaben</t>
  </si>
  <si>
    <t>MONATSSALDO</t>
  </si>
  <si>
    <t>Bei Ausgaben bedeutet eine positive Abweichung, dass du UNTER deinem Budget geblieben bist. Eine Auslastung über 100 % zeigt an, dass du das geplante Budget überschritten hast. Wechsle den Monat oben durch die Auswahlbox – alle Werte aktualisieren sich automatisch.</t>
  </si>
  <si>
    <t>Vermögensübersicht</t>
  </si>
  <si>
    <t>Aktuelle Aufstellung deiner Vermögenswerte und Verbindlichkeiten.</t>
  </si>
  <si>
    <t>NETTOVERMÖGEN</t>
  </si>
  <si>
    <t>Eigenkapitalquote</t>
  </si>
  <si>
    <t>Vermögenswerte</t>
  </si>
  <si>
    <t>Verbindlichkeiten</t>
  </si>
  <si>
    <t>Position</t>
  </si>
  <si>
    <t>Wert</t>
  </si>
  <si>
    <t>Girokonto Hauptbank</t>
  </si>
  <si>
    <t>Konsumentenkredit</t>
  </si>
  <si>
    <t>Ratenkredit</t>
  </si>
  <si>
    <t>Tagesgeldkonto</t>
  </si>
  <si>
    <t>Sparguthaben</t>
  </si>
  <si>
    <t>Kreditkartensaldo</t>
  </si>
  <si>
    <t>kurzfristig</t>
  </si>
  <si>
    <t>Notgroschen-Sparbuch</t>
  </si>
  <si>
    <t>Privatdarlehen</t>
  </si>
  <si>
    <t>Wertpapierdepot</t>
  </si>
  <si>
    <t>Wertpapiere</t>
  </si>
  <si>
    <t>Studienkredit</t>
  </si>
  <si>
    <t>langfristig</t>
  </si>
  <si>
    <t>Bausparvertrag</t>
  </si>
  <si>
    <t>Sparvertrag</t>
  </si>
  <si>
    <t>Offene Rechnung</t>
  </si>
  <si>
    <t>Krypto-Wallet</t>
  </si>
  <si>
    <t>Kryptowährung</t>
  </si>
  <si>
    <t>Sonstige Schulden</t>
  </si>
  <si>
    <t>Sonstige Sachwerte</t>
  </si>
  <si>
    <t>Summe Vermögenswerte</t>
  </si>
  <si>
    <t>Summe Verbindlichkeiten</t>
  </si>
  <si>
    <t>Einstellungen</t>
  </si>
  <si>
    <t>Hier kannst du Kategorien und Konten an deine Bedürfnisse anpassen.</t>
  </si>
  <si>
    <t>Einnahmekategorien</t>
  </si>
  <si>
    <t>Ausgabekategorien</t>
  </si>
  <si>
    <t>Konten / Zahlungsmittel</t>
  </si>
  <si>
    <t>Alle Kategorien (Hilfsspalte)</t>
  </si>
  <si>
    <t>Tagesgeld</t>
  </si>
  <si>
    <t>PayPal</t>
  </si>
  <si>
    <t>ℹ️  Wichtig</t>
  </si>
  <si>
    <t>• Die Listen werden für die Dropdown-Auswahl im Blatt 'Transaktionen' verwendet.
• Wenn du eine neue Kategorie hinzufügst, ergänze sie hier UND – falls gewünscht – im Monatsbudget.
• Lösche keine bereits in Transaktionen verwendeten Kategorien, sonst entstehen Inkonsistenzen.</t>
  </si>
  <si>
    <t>Private Finanzübersicht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</si>
</sst>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Red]\-#,##0.00&quot; €&quot;;\-"/>
    <numFmt numFmtId="165" formatCode="0.0%;[Red]\-0.0%;\-"/>
    <numFmt numFmtId="166" formatCode="dd\.mm\.yyyy"/>
  </numFmts>
  <fonts count="28" x14ac:knownFonts="1">
    <font>
      <sz val="11"/>
      <color theme="1"/>
      <name val="Calibri"/>
      <family val="2"/>
      <charset val="1"/>
    </font>
    <font>
      <b/>
      <sz val="22"/>
      <color rgb="FF1F3A5F"/>
      <name val="Arial"/>
      <charset val="1"/>
    </font>
    <font>
      <i/>
      <sz val="11"/>
      <color rgb="FF666666"/>
      <name val="Arial"/>
      <charset val="1"/>
    </font>
    <font>
      <b/>
      <sz val="10"/>
      <color rgb="FF555555"/>
      <name val="Arial"/>
      <charset val="1"/>
    </font>
    <font>
      <b/>
      <sz val="18"/>
      <color rgb="FF2E7D32"/>
      <name val="Arial"/>
      <charset val="1"/>
    </font>
    <font>
      <b/>
      <sz val="18"/>
      <color rgb="FFC62828"/>
      <name val="Arial"/>
      <charset val="1"/>
    </font>
    <font>
      <b/>
      <sz val="18"/>
      <color rgb="FF1F3A5F"/>
      <name val="Arial"/>
      <charset val="1"/>
    </font>
    <font>
      <b/>
      <sz val="18"/>
      <color rgb="FF3D6FB3"/>
      <name val="Arial"/>
      <charset val="1"/>
    </font>
    <font>
      <b/>
      <sz val="14"/>
      <color rgb="FF1F3A5F"/>
      <name val="Arial"/>
      <charset val="1"/>
    </font>
    <font>
      <b/>
      <sz val="11"/>
      <color rgb="FFFFFFFF"/>
      <name val="Arial"/>
      <charset val="1"/>
    </font>
    <font>
      <b/>
      <sz val="10"/>
      <color rgb="FF1A1A1A"/>
      <name val="Arial"/>
      <charset val="1"/>
    </font>
    <font>
      <sz val="10"/>
      <color rgb="FF2E7D32"/>
      <name val="Arial"/>
      <charset val="1"/>
    </font>
    <font>
      <sz val="10"/>
      <color rgb="FFC62828"/>
      <name val="Arial"/>
      <charset val="1"/>
    </font>
    <font>
      <sz val="10"/>
      <color rgb="FF1A1A1A"/>
      <name val="Arial"/>
      <charset val="1"/>
    </font>
    <font>
      <b/>
      <sz val="11"/>
      <color rgb="FFF9A825"/>
      <name val="Arial"/>
      <charset val="1"/>
    </font>
    <font>
      <b/>
      <sz val="20"/>
      <color rgb="FF1F3A5F"/>
      <name val="Arial"/>
      <charset val="1"/>
    </font>
    <font>
      <sz val="10"/>
      <name val="Arial"/>
      <charset val="1"/>
    </font>
    <font>
      <b/>
      <sz val="10"/>
      <color rgb="FF2E7D32"/>
      <name val="Arial"/>
      <charset val="1"/>
    </font>
    <font>
      <b/>
      <sz val="10"/>
      <color rgb="FFC62828"/>
      <name val="Arial"/>
      <charset val="1"/>
    </font>
    <font>
      <b/>
      <sz val="11"/>
      <color rgb="FF1F3A5F"/>
      <name val="Arial"/>
      <charset val="1"/>
    </font>
    <font>
      <b/>
      <sz val="14"/>
      <color rgb="FFFFFFFF"/>
      <name val="Arial"/>
      <charset val="1"/>
    </font>
    <font>
      <b/>
      <sz val="12"/>
      <color rgb="FF1F3A5F"/>
      <name val="Arial"/>
      <charset val="1"/>
    </font>
    <font>
      <b/>
      <sz val="10"/>
      <color rgb="FFFFFFFF"/>
      <name val="Arial"/>
      <charset val="1"/>
    </font>
    <font>
      <b/>
      <sz val="12"/>
      <color rgb="FFFFFFFF"/>
      <name val="Arial"/>
      <charset val="1"/>
    </font>
    <font>
      <b/>
      <sz val="22"/>
      <color rgb="FF3D6FB3"/>
      <name val="Arial"/>
      <charset val="1"/>
    </font>
    <font>
      <i/>
      <sz val="9"/>
      <color rgb="FF888888"/>
      <name val="Arial"/>
      <charset val="1"/>
    </font>
    <font>
      <sz val="9"/>
      <color rgb="FF888888"/>
      <name val="Arial"/>
      <charset val="1"/>
    </font>
    <font>
      <b/>
      <sz val="11"/>
      <color rgb="FF3D6FB3"/>
      <name val="Arial"/>
      <charset val="1"/>
    </font>
  </fonts>
  <fills count="8">
    <fill>
      <patternFill patternType="none"/>
    </fill>
    <fill>
      <patternFill patternType="gray125"/>
    </fill>
    <fill>
      <patternFill patternType="solid">
        <fgColor rgb="FF1F3A5F"/>
        <bgColor rgb="FF1A1A1A"/>
      </patternFill>
    </fill>
    <fill>
      <patternFill patternType="solid">
        <fgColor rgb="FFE8EEF7"/>
        <bgColor rgb="FFE8F5E9"/>
      </patternFill>
    </fill>
    <fill>
      <patternFill patternType="solid">
        <fgColor rgb="FFF5F5F5"/>
        <bgColor rgb="FFF9F9F9"/>
      </patternFill>
    </fill>
    <fill>
      <patternFill patternType="solid">
        <fgColor rgb="FF3D6FB3"/>
        <bgColor rgb="FF4672A8"/>
      </patternFill>
    </fill>
    <fill>
      <patternFill patternType="solid">
        <fgColor rgb="FF2E7D32"/>
        <bgColor rgb="FF008080"/>
      </patternFill>
    </fill>
    <fill>
      <patternFill patternType="solid">
        <fgColor rgb="FFC62828"/>
        <bgColor rgb="FFAB4744"/>
      </patternFill>
    </fill>
  </fills>
  <borders count="3">
    <border>
      <left/>
      <right/>
      <top/>
      <bottom/>
      <diagonal/>
    </border>
    <border>
      <left style="thin">
        <color rgb="FF3D6FB3"/>
      </left>
      <right style="thin">
        <color rgb="FF3D6FB3"/>
      </right>
      <top style="thin">
        <color rgb="FF3D6FB3"/>
      </top>
      <bottom style="thin">
        <color rgb="FF3D6FB3"/>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74">
    <xf numFmtId="0" fontId="0" fillId="0" borderId="0" xfId="0"/>
    <xf numFmtId="0" fontId="23" fillId="7" borderId="2" xfId="0" applyFont="1" applyFill="1" applyBorder="1" applyAlignment="1">
      <alignment horizontal="left" vertical="center" indent="1"/>
    </xf>
    <xf numFmtId="0" fontId="23" fillId="6" borderId="2" xfId="0" applyFont="1" applyFill="1" applyBorder="1" applyAlignment="1">
      <alignment horizontal="left" vertical="center" indent="1"/>
    </xf>
    <xf numFmtId="165" fontId="24" fillId="3" borderId="0" xfId="0" applyNumberFormat="1" applyFont="1" applyFill="1"/>
    <xf numFmtId="164" fontId="1" fillId="3" borderId="0" xfId="0" applyNumberFormat="1" applyFont="1" applyFill="1" applyAlignment="1">
      <alignment horizontal="left" vertical="center"/>
    </xf>
    <xf numFmtId="0" fontId="3" fillId="3" borderId="0" xfId="0" applyFont="1" applyFill="1"/>
    <xf numFmtId="0" fontId="3" fillId="3" borderId="0" xfId="0" applyFont="1" applyFill="1" applyAlignment="1">
      <alignment horizontal="left" vertical="center"/>
    </xf>
    <xf numFmtId="0" fontId="22" fillId="7" borderId="2" xfId="0" applyFont="1" applyFill="1" applyBorder="1" applyAlignment="1">
      <alignment horizontal="left" vertical="center" indent="1"/>
    </xf>
    <xf numFmtId="0" fontId="22" fillId="6" borderId="2" xfId="0" applyFont="1" applyFill="1" applyBorder="1" applyAlignment="1">
      <alignment horizontal="left" vertical="center" indent="1"/>
    </xf>
    <xf numFmtId="0" fontId="13" fillId="0" borderId="0" xfId="0" applyFont="1" applyAlignment="1">
      <alignment vertical="top" wrapText="1"/>
    </xf>
    <xf numFmtId="165" fontId="7" fillId="3" borderId="1" xfId="0" applyNumberFormat="1" applyFont="1" applyFill="1" applyBorder="1" applyAlignment="1">
      <alignment horizontal="left" vertical="center"/>
    </xf>
    <xf numFmtId="164" fontId="6" fillId="3" borderId="1" xfId="0" applyNumberFormat="1" applyFont="1" applyFill="1" applyBorder="1" applyAlignment="1">
      <alignment horizontal="left" vertical="center"/>
    </xf>
    <xf numFmtId="164" fontId="5" fillId="3" borderId="1"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0" fillId="2" borderId="0" xfId="0" applyFill="1"/>
    <xf numFmtId="0" fontId="8" fillId="0" borderId="0" xfId="0" applyFont="1"/>
    <xf numFmtId="0" fontId="9" fillId="2" borderId="2" xfId="0" applyFont="1" applyFill="1" applyBorder="1" applyAlignment="1">
      <alignment horizontal="center" vertical="center" wrapText="1"/>
    </xf>
    <xf numFmtId="0" fontId="10" fillId="0" borderId="2" xfId="0" applyFont="1" applyBorder="1" applyAlignment="1">
      <alignment horizontal="left" vertical="center"/>
    </xf>
    <xf numFmtId="164" fontId="11" fillId="0" borderId="2" xfId="0" applyNumberFormat="1" applyFont="1" applyBorder="1" applyAlignment="1">
      <alignment horizontal="right" vertical="center"/>
    </xf>
    <xf numFmtId="164" fontId="12" fillId="0" borderId="2" xfId="0" applyNumberFormat="1" applyFont="1" applyBorder="1" applyAlignment="1">
      <alignment horizontal="right" vertical="center"/>
    </xf>
    <xf numFmtId="164" fontId="10" fillId="0" borderId="2" xfId="0" applyNumberFormat="1" applyFont="1" applyBorder="1" applyAlignment="1">
      <alignment horizontal="right" vertical="center"/>
    </xf>
    <xf numFmtId="0" fontId="13" fillId="0" borderId="2" xfId="0" applyFont="1" applyBorder="1" applyAlignment="1">
      <alignment horizontal="left" vertical="center"/>
    </xf>
    <xf numFmtId="165" fontId="13" fillId="0" borderId="2" xfId="0" applyNumberFormat="1" applyFont="1" applyBorder="1" applyAlignment="1">
      <alignment horizontal="right" vertical="center"/>
    </xf>
    <xf numFmtId="0" fontId="10" fillId="4" borderId="2" xfId="0" applyFont="1" applyFill="1" applyBorder="1" applyAlignment="1">
      <alignment horizontal="left" vertical="center"/>
    </xf>
    <xf numFmtId="164" fontId="11" fillId="4" borderId="2" xfId="0" applyNumberFormat="1" applyFont="1" applyFill="1" applyBorder="1" applyAlignment="1">
      <alignment horizontal="right" vertical="center"/>
    </xf>
    <xf numFmtId="164" fontId="12" fillId="4" borderId="2" xfId="0" applyNumberFormat="1" applyFont="1" applyFill="1" applyBorder="1" applyAlignment="1">
      <alignment horizontal="right" vertical="center"/>
    </xf>
    <xf numFmtId="164" fontId="10" fillId="4" borderId="2" xfId="0" applyNumberFormat="1" applyFont="1" applyFill="1" applyBorder="1" applyAlignment="1">
      <alignment horizontal="right" vertical="center"/>
    </xf>
    <xf numFmtId="0" fontId="13" fillId="4" borderId="2" xfId="0" applyFont="1" applyFill="1" applyBorder="1" applyAlignment="1">
      <alignment horizontal="left" vertical="center"/>
    </xf>
    <xf numFmtId="165" fontId="13" fillId="4" borderId="2" xfId="0" applyNumberFormat="1" applyFont="1" applyFill="1" applyBorder="1" applyAlignment="1">
      <alignment horizontal="right" vertical="center"/>
    </xf>
    <xf numFmtId="0" fontId="9" fillId="2" borderId="2" xfId="0" applyFont="1" applyFill="1" applyBorder="1" applyAlignment="1">
      <alignment horizontal="left" vertical="center"/>
    </xf>
    <xf numFmtId="164" fontId="9" fillId="2" borderId="2" xfId="0" applyNumberFormat="1" applyFont="1" applyFill="1" applyBorder="1" applyAlignment="1">
      <alignment horizontal="right" vertical="center"/>
    </xf>
    <xf numFmtId="0" fontId="14" fillId="0" borderId="0" xfId="0" applyFont="1"/>
    <xf numFmtId="0" fontId="15" fillId="0" borderId="0" xfId="0" applyFont="1" applyAlignment="1">
      <alignment horizontal="left" vertical="center"/>
    </xf>
    <xf numFmtId="166" fontId="16" fillId="0" borderId="2" xfId="0" applyNumberFormat="1" applyFont="1" applyBorder="1" applyAlignment="1">
      <alignment horizontal="right" vertical="center"/>
    </xf>
    <xf numFmtId="0" fontId="16" fillId="0" borderId="2" xfId="0" applyFont="1" applyBorder="1" applyAlignment="1">
      <alignment horizontal="left" vertical="center"/>
    </xf>
    <xf numFmtId="0" fontId="17" fillId="0" borderId="2" xfId="0" applyFont="1" applyBorder="1" applyAlignment="1">
      <alignment horizontal="left" vertical="center"/>
    </xf>
    <xf numFmtId="164" fontId="17" fillId="0" borderId="2" xfId="0" applyNumberFormat="1" applyFont="1" applyBorder="1" applyAlignment="1">
      <alignment horizontal="right" vertical="center"/>
    </xf>
    <xf numFmtId="166" fontId="16" fillId="4" borderId="2" xfId="0" applyNumberFormat="1" applyFont="1" applyFill="1" applyBorder="1" applyAlignment="1">
      <alignment horizontal="right" vertical="center"/>
    </xf>
    <xf numFmtId="0" fontId="16" fillId="4" borderId="2" xfId="0" applyFont="1" applyFill="1" applyBorder="1" applyAlignment="1">
      <alignment horizontal="left" vertical="center"/>
    </xf>
    <xf numFmtId="0" fontId="18" fillId="4" borderId="2" xfId="0" applyFont="1" applyFill="1" applyBorder="1" applyAlignment="1">
      <alignment horizontal="left" vertical="center"/>
    </xf>
    <xf numFmtId="164" fontId="13" fillId="4" borderId="2" xfId="0" applyNumberFormat="1" applyFont="1" applyFill="1" applyBorder="1" applyAlignment="1">
      <alignment horizontal="right" vertical="center"/>
    </xf>
    <xf numFmtId="0" fontId="18" fillId="0" borderId="2" xfId="0" applyFont="1" applyBorder="1" applyAlignment="1">
      <alignment horizontal="left" vertical="center"/>
    </xf>
    <xf numFmtId="164" fontId="13" fillId="0" borderId="2" xfId="0" applyNumberFormat="1" applyFont="1" applyBorder="1" applyAlignment="1">
      <alignment horizontal="right" vertical="center"/>
    </xf>
    <xf numFmtId="0" fontId="17" fillId="4" borderId="2" xfId="0" applyFont="1" applyFill="1" applyBorder="1" applyAlignment="1">
      <alignment horizontal="left" vertical="center"/>
    </xf>
    <xf numFmtId="164" fontId="17" fillId="4" borderId="2" xfId="0" applyNumberFormat="1" applyFont="1" applyFill="1" applyBorder="1" applyAlignment="1">
      <alignment horizontal="right" vertical="center"/>
    </xf>
    <xf numFmtId="0" fontId="19" fillId="0" borderId="0" xfId="0" applyFont="1" applyAlignment="1">
      <alignment horizontal="right" vertical="center"/>
    </xf>
    <xf numFmtId="0" fontId="20" fillId="5" borderId="2" xfId="0" applyFont="1" applyFill="1" applyBorder="1" applyAlignment="1">
      <alignment horizontal="center" vertical="center"/>
    </xf>
    <xf numFmtId="0" fontId="21" fillId="0" borderId="0" xfId="0" applyFont="1" applyAlignment="1">
      <alignment horizontal="left" vertical="center"/>
    </xf>
    <xf numFmtId="164" fontId="16" fillId="0" borderId="2" xfId="0" applyNumberFormat="1" applyFont="1" applyBorder="1" applyAlignment="1">
      <alignment horizontal="right" vertical="center"/>
    </xf>
    <xf numFmtId="165" fontId="16" fillId="0" borderId="2" xfId="0" applyNumberFormat="1" applyFont="1" applyBorder="1" applyAlignment="1">
      <alignment horizontal="right" vertical="center"/>
    </xf>
    <xf numFmtId="164" fontId="16" fillId="4" borderId="2" xfId="0" applyNumberFormat="1" applyFont="1" applyFill="1" applyBorder="1" applyAlignment="1">
      <alignment horizontal="right" vertical="center"/>
    </xf>
    <xf numFmtId="165" fontId="16" fillId="4" borderId="2" xfId="0" applyNumberFormat="1" applyFont="1" applyFill="1" applyBorder="1" applyAlignment="1">
      <alignment horizontal="right" vertical="center"/>
    </xf>
    <xf numFmtId="0" fontId="22" fillId="6" borderId="2" xfId="0" applyFont="1" applyFill="1" applyBorder="1" applyAlignment="1">
      <alignment horizontal="left" vertical="center"/>
    </xf>
    <xf numFmtId="164" fontId="22" fillId="6" borderId="2" xfId="0" applyNumberFormat="1" applyFont="1" applyFill="1" applyBorder="1" applyAlignment="1">
      <alignment horizontal="right" vertical="center"/>
    </xf>
    <xf numFmtId="165" fontId="22" fillId="6" borderId="2" xfId="0" applyNumberFormat="1" applyFont="1" applyFill="1" applyBorder="1" applyAlignment="1">
      <alignment horizontal="right" vertical="center"/>
    </xf>
    <xf numFmtId="0" fontId="22" fillId="7" borderId="2" xfId="0" applyFont="1" applyFill="1" applyBorder="1" applyAlignment="1">
      <alignment horizontal="left" vertical="center"/>
    </xf>
    <xf numFmtId="164" fontId="22" fillId="7" borderId="2" xfId="0" applyNumberFormat="1" applyFont="1" applyFill="1" applyBorder="1" applyAlignment="1">
      <alignment horizontal="right" vertical="center"/>
    </xf>
    <xf numFmtId="165" fontId="22" fillId="7" borderId="2" xfId="0" applyNumberFormat="1" applyFont="1" applyFill="1" applyBorder="1" applyAlignment="1">
      <alignment horizontal="right" vertical="center"/>
    </xf>
    <xf numFmtId="0" fontId="23" fillId="2" borderId="2" xfId="0" applyFont="1" applyFill="1" applyBorder="1" applyAlignment="1">
      <alignment horizontal="left" vertical="center"/>
    </xf>
    <xf numFmtId="164" fontId="23" fillId="2" borderId="2" xfId="0" applyNumberFormat="1" applyFont="1" applyFill="1" applyBorder="1" applyAlignment="1">
      <alignment horizontal="right" vertical="center"/>
    </xf>
    <xf numFmtId="0" fontId="23" fillId="2" borderId="2" xfId="0" applyFont="1" applyFill="1" applyBorder="1" applyAlignment="1">
      <alignment horizontal="right" vertical="center"/>
    </xf>
    <xf numFmtId="0" fontId="9" fillId="6" borderId="2" xfId="0" applyFont="1" applyFill="1" applyBorder="1" applyAlignment="1">
      <alignment horizontal="left" vertical="center"/>
    </xf>
    <xf numFmtId="164" fontId="9" fillId="6" borderId="2" xfId="0" applyNumberFormat="1" applyFont="1" applyFill="1" applyBorder="1" applyAlignment="1">
      <alignment horizontal="right" vertical="center"/>
    </xf>
    <xf numFmtId="0" fontId="9" fillId="7" borderId="2" xfId="0" applyFont="1" applyFill="1" applyBorder="1" applyAlignment="1">
      <alignment horizontal="left" vertical="center"/>
    </xf>
    <xf numFmtId="164" fontId="9" fillId="7" borderId="2" xfId="0" applyNumberFormat="1" applyFont="1" applyFill="1" applyBorder="1" applyAlignment="1">
      <alignment horizontal="right" vertical="center"/>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25" fillId="0" borderId="0" xfId="0" applyFont="1"/>
    <xf numFmtId="0" fontId="26" fillId="0" borderId="0" xfId="0" applyFont="1"/>
    <xf numFmtId="0" fontId="27" fillId="0" borderId="0" xfId="0" applyFont="1"/>
  </cellXfs>
  <cellStyles count="1">
    <cellStyle name="Standard" xfId="0" builtinId="0"/>
  </cellStyles>
  <dxfs count="6">
    <dxf>
      <font>
        <b/>
        <sz val="10"/>
        <color rgb="FFC62828"/>
        <name val="Arial"/>
        <charset val="1"/>
      </font>
      <fill>
        <patternFill>
          <bgColor rgb="FFFFEBEE"/>
        </patternFill>
      </fill>
    </dxf>
    <dxf>
      <font>
        <b/>
        <sz val="10"/>
        <color rgb="FF2E7D32"/>
        <name val="Arial"/>
        <charset val="1"/>
      </font>
    </dxf>
    <dxf>
      <font>
        <b/>
        <sz val="10"/>
        <color rgb="FFC62828"/>
        <name val="Arial"/>
        <charset val="1"/>
      </font>
    </dxf>
    <dxf>
      <font>
        <b/>
        <sz val="10"/>
        <color rgb="FF2E7D32"/>
        <name val="Arial"/>
        <charset val="1"/>
      </font>
    </dxf>
    <dxf>
      <font>
        <b/>
        <sz val="10"/>
        <color rgb="FF2E7D32"/>
        <name val="Arial"/>
        <charset val="1"/>
      </font>
      <fill>
        <patternFill>
          <bgColor rgb="FFE8F5E9"/>
        </patternFill>
      </fill>
    </dxf>
    <dxf>
      <font>
        <b/>
        <sz val="10"/>
        <color rgb="FFC62828"/>
        <name val="Arial"/>
        <charset val="1"/>
      </font>
      <fill>
        <patternFill>
          <bgColor rgb="FFFFEBE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2E7D32"/>
      <rgbColor rgb="FF000080"/>
      <rgbColor rgb="FF8AA64F"/>
      <rgbColor rgb="FF800080"/>
      <rgbColor rgb="FF4F81BD"/>
      <rgbColor rgb="FFC0C0C0"/>
      <rgbColor rgb="FF878787"/>
      <rgbColor rgb="FF93A9CE"/>
      <rgbColor rgb="FFAB4744"/>
      <rgbColor rgb="FFF9F9F9"/>
      <rgbColor rgb="FFE8F5E9"/>
      <rgbColor rgb="FF660066"/>
      <rgbColor rgb="FFDC853E"/>
      <rgbColor rgb="FF4672A8"/>
      <rgbColor rgb="FFD9D9D9"/>
      <rgbColor rgb="FF000080"/>
      <rgbColor rgb="FFFF00FF"/>
      <rgbColor rgb="FFFFFF00"/>
      <rgbColor rgb="FF00FFFF"/>
      <rgbColor rgb="FF800080"/>
      <rgbColor rgb="FF800000"/>
      <rgbColor rgb="FF008080"/>
      <rgbColor rgb="FF0000FF"/>
      <rgbColor rgb="FF00CCFF"/>
      <rgbColor rgb="FFE8EEF7"/>
      <rgbColor rgb="FFF5F5F5"/>
      <rgbColor rgb="FFFFEBEE"/>
      <rgbColor rgb="FF99CCFF"/>
      <rgbColor rgb="FFFF99CC"/>
      <rgbColor rgb="FFCC99FF"/>
      <rgbColor rgb="FFFFCC99"/>
      <rgbColor rgb="FF3D6FB3"/>
      <rgbColor rgb="FF33CCCC"/>
      <rgbColor rgb="FF99CC00"/>
      <rgbColor rgb="FFFFCC00"/>
      <rgbColor rgb="FFF9A825"/>
      <rgbColor rgb="FFFF6600"/>
      <rgbColor rgb="FF725990"/>
      <rgbColor rgb="FF888888"/>
      <rgbColor rgb="FF1F3A5F"/>
      <rgbColor rgb="FF4299B0"/>
      <rgbColor rgb="FF003300"/>
      <rgbColor rgb="FF333300"/>
      <rgbColor rgb="FFC62828"/>
      <rgbColor rgb="FF666666"/>
      <rgbColor rgb="FF555555"/>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Einnahmen vs. Ausgaben pro Monat</a:t>
            </a:r>
          </a:p>
        </c:rich>
      </c:tx>
      <c:overlay val="0"/>
      <c:spPr>
        <a:noFill/>
        <a:ln w="0">
          <a:noFill/>
        </a:ln>
      </c:spPr>
    </c:title>
    <c:autoTitleDeleted val="0"/>
    <c:plotArea>
      <c:layout/>
      <c:barChart>
        <c:barDir val="col"/>
        <c:grouping val="clustered"/>
        <c:varyColors val="0"/>
        <c:ser>
          <c:idx val="0"/>
          <c:order val="0"/>
          <c:tx>
            <c:strRef>
              <c:f>Übersicht!$C$10</c:f>
              <c:strCache>
                <c:ptCount val="1"/>
                <c:pt idx="0">
                  <c:v>Einnahmen</c:v>
                </c:pt>
              </c:strCache>
            </c:strRef>
          </c:tx>
          <c:spPr>
            <a:solidFill>
              <a:srgbClr val="4672A8"/>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Übersicht!$B$11:$B$22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Übersicht!$C$11:$C$22</c:f>
              <c:numCache>
                <c:formatCode>General</c:formatCode>
                <c:ptCount val="12"/>
                <c:pt idx="0">
                  <c:v>3170</c:v>
                </c:pt>
                <c:pt idx="1">
                  <c:v>2868.4</c:v>
                </c:pt>
                <c:pt idx="2">
                  <c:v>3330</c:v>
                </c:pt>
                <c:pt idx="3">
                  <c:v>3390</c:v>
                </c:pt>
                <c:pt idx="4">
                  <c:v>2892.8</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C2-4D8C-BCEE-36046002799B}"/>
            </c:ext>
          </c:extLst>
        </c:ser>
        <c:ser>
          <c:idx val="1"/>
          <c:order val="1"/>
          <c:tx>
            <c:strRef>
              <c:f>Übersicht!$D$10</c:f>
              <c:strCache>
                <c:ptCount val="1"/>
                <c:pt idx="0">
                  <c:v>Ausgaben</c:v>
                </c:pt>
              </c:strCache>
            </c:strRef>
          </c:tx>
          <c:spPr>
            <a:solidFill>
              <a:srgbClr val="93A9CE"/>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Übersicht!$B$11:$B$22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Übersicht!$D$11:$D$22</c:f>
              <c:numCache>
                <c:formatCode>General</c:formatCode>
                <c:ptCount val="12"/>
                <c:pt idx="0">
                  <c:v>1363.6299999999999</c:v>
                </c:pt>
                <c:pt idx="1">
                  <c:v>1559.4900000000002</c:v>
                </c:pt>
                <c:pt idx="2">
                  <c:v>1437.13</c:v>
                </c:pt>
                <c:pt idx="3">
                  <c:v>1469.19</c:v>
                </c:pt>
                <c:pt idx="4">
                  <c:v>1722.9900000000002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6C2-4D8C-BCEE-36046002799B}"/>
            </c:ext>
          </c:extLst>
        </c:ser>
        <c:dLbls>
          <c:showLegendKey val="0"/>
          <c:showVal val="0"/>
          <c:showCatName val="0"/>
          <c:showSerName val="0"/>
          <c:showPercent val="0"/>
          <c:showBubbleSize val="0"/>
        </c:dLbls>
        <c:gapWidth val="150"/>
        <c:axId val="76939188"/>
        <c:axId val="51286189"/>
      </c:barChart>
      <c:catAx>
        <c:axId val="76939188"/>
        <c:scaling>
          <c:orientation val="minMax"/>
        </c:scaling>
        <c:delete val="0"/>
        <c:axPos val="b"/>
        <c:title>
          <c:tx>
            <c:rich>
              <a:bodyPr rot="0"/>
              <a:lstStyle/>
              <a:p>
                <a:pPr>
                  <a:defRPr sz="1000" b="1" strike="noStrike" spc="-1">
                    <a:solidFill>
                      <a:srgbClr val="000000"/>
                    </a:solidFill>
                    <a:latin typeface="Calibri"/>
                  </a:defRPr>
                </a:pPr>
                <a:r>
                  <a:rPr lang="de-DE" sz="1000" b="1" strike="noStrike" spc="-1">
                    <a:solidFill>
                      <a:srgbClr val="000000"/>
                    </a:solidFill>
                    <a:latin typeface="Calibri"/>
                  </a:rPr>
                  <a:t>Monat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51286189"/>
        <c:crosses val="autoZero"/>
        <c:auto val="1"/>
        <c:lblAlgn val="ctr"/>
        <c:lblOffset val="100"/>
        <c:noMultiLvlLbl val="0"/>
      </c:catAx>
      <c:valAx>
        <c:axId val="51286189"/>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de-DE" sz="1000" b="1" strike="noStrike" spc="-1">
                    <a:solidFill>
                      <a:srgbClr val="000000"/>
                    </a:solidFill>
                    <a:latin typeface="Calibri"/>
                  </a:rPr>
                  <a:t>Betrag (€)</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76939188"/>
        <c:crosses val="autoZero"/>
        <c:crossBetween val="between"/>
      </c:valAx>
      <c:spPr>
        <a:solidFill>
          <a:schemeClr val="bg1"/>
        </a:solid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chemeClr val="bg1">
        <a:lumMod val="95000"/>
      </a:schemeClr>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Vermögensaufteilung</a:t>
            </a:r>
          </a:p>
        </c:rich>
      </c:tx>
      <c:overlay val="0"/>
      <c:spPr>
        <a:noFill/>
        <a:ln w="0">
          <a:noFill/>
        </a:ln>
      </c:spPr>
    </c:title>
    <c:autoTitleDeleted val="0"/>
    <c:plotArea>
      <c:layout/>
      <c:pieChart>
        <c:varyColors val="1"/>
        <c:ser>
          <c:idx val="0"/>
          <c:order val="0"/>
          <c:tx>
            <c:strRef>
              <c:f>Vermögen!$D$9</c:f>
              <c:strCache>
                <c:ptCount val="1"/>
                <c:pt idx="0">
                  <c:v>Wert</c:v>
                </c:pt>
              </c:strCache>
            </c:strRef>
          </c:tx>
          <c:spPr>
            <a:solidFill>
              <a:srgbClr val="4F81BD"/>
            </a:solidFill>
            <a:ln w="0">
              <a:noFill/>
            </a:ln>
          </c:spPr>
          <c:dPt>
            <c:idx val="0"/>
            <c:bubble3D val="0"/>
            <c:spPr>
              <a:solidFill>
                <a:srgbClr val="4672A8"/>
              </a:solidFill>
              <a:ln w="0">
                <a:noFill/>
              </a:ln>
            </c:spPr>
            <c:extLst>
              <c:ext xmlns:c16="http://schemas.microsoft.com/office/drawing/2014/chart" uri="{C3380CC4-5D6E-409C-BE32-E72D297353CC}">
                <c16:uniqueId val="{00000001-C9C3-4312-8E69-766C73C380AE}"/>
              </c:ext>
            </c:extLst>
          </c:dPt>
          <c:dPt>
            <c:idx val="1"/>
            <c:bubble3D val="0"/>
            <c:spPr>
              <a:solidFill>
                <a:srgbClr val="AB4744"/>
              </a:solidFill>
              <a:ln w="0">
                <a:noFill/>
              </a:ln>
            </c:spPr>
            <c:extLst>
              <c:ext xmlns:c16="http://schemas.microsoft.com/office/drawing/2014/chart" uri="{C3380CC4-5D6E-409C-BE32-E72D297353CC}">
                <c16:uniqueId val="{00000003-C9C3-4312-8E69-766C73C380AE}"/>
              </c:ext>
            </c:extLst>
          </c:dPt>
          <c:dPt>
            <c:idx val="2"/>
            <c:bubble3D val="0"/>
            <c:spPr>
              <a:solidFill>
                <a:srgbClr val="8AA64F"/>
              </a:solidFill>
              <a:ln w="0">
                <a:noFill/>
              </a:ln>
            </c:spPr>
            <c:extLst>
              <c:ext xmlns:c16="http://schemas.microsoft.com/office/drawing/2014/chart" uri="{C3380CC4-5D6E-409C-BE32-E72D297353CC}">
                <c16:uniqueId val="{00000005-C9C3-4312-8E69-766C73C380AE}"/>
              </c:ext>
            </c:extLst>
          </c:dPt>
          <c:dPt>
            <c:idx val="3"/>
            <c:bubble3D val="0"/>
            <c:spPr>
              <a:solidFill>
                <a:srgbClr val="725990"/>
              </a:solidFill>
              <a:ln w="0">
                <a:noFill/>
              </a:ln>
            </c:spPr>
            <c:extLst>
              <c:ext xmlns:c16="http://schemas.microsoft.com/office/drawing/2014/chart" uri="{C3380CC4-5D6E-409C-BE32-E72D297353CC}">
                <c16:uniqueId val="{00000007-C9C3-4312-8E69-766C73C380AE}"/>
              </c:ext>
            </c:extLst>
          </c:dPt>
          <c:dPt>
            <c:idx val="4"/>
            <c:bubble3D val="0"/>
            <c:spPr>
              <a:solidFill>
                <a:srgbClr val="4299B0"/>
              </a:solidFill>
              <a:ln w="0">
                <a:noFill/>
              </a:ln>
            </c:spPr>
            <c:extLst>
              <c:ext xmlns:c16="http://schemas.microsoft.com/office/drawing/2014/chart" uri="{C3380CC4-5D6E-409C-BE32-E72D297353CC}">
                <c16:uniqueId val="{00000009-C9C3-4312-8E69-766C73C380AE}"/>
              </c:ext>
            </c:extLst>
          </c:dPt>
          <c:dPt>
            <c:idx val="5"/>
            <c:bubble3D val="0"/>
            <c:spPr>
              <a:solidFill>
                <a:srgbClr val="DC853E"/>
              </a:solidFill>
              <a:ln w="0">
                <a:noFill/>
              </a:ln>
            </c:spPr>
            <c:extLst>
              <c:ext xmlns:c16="http://schemas.microsoft.com/office/drawing/2014/chart" uri="{C3380CC4-5D6E-409C-BE32-E72D297353CC}">
                <c16:uniqueId val="{0000000B-C9C3-4312-8E69-766C73C380AE}"/>
              </c:ext>
            </c:extLst>
          </c:dPt>
          <c:dPt>
            <c:idx val="6"/>
            <c:bubble3D val="0"/>
            <c:spPr>
              <a:solidFill>
                <a:srgbClr val="93A9CE"/>
              </a:solidFill>
              <a:ln w="0">
                <a:noFill/>
              </a:ln>
            </c:spPr>
            <c:extLst>
              <c:ext xmlns:c16="http://schemas.microsoft.com/office/drawing/2014/chart" uri="{C3380CC4-5D6E-409C-BE32-E72D297353CC}">
                <c16:uniqueId val="{0000000D-C9C3-4312-8E69-766C73C380AE}"/>
              </c:ext>
            </c:extLst>
          </c:dPt>
          <c:dLbls>
            <c:dLbl>
              <c:idx val="0"/>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1-C9C3-4312-8E69-766C73C380AE}"/>
                </c:ext>
              </c:extLst>
            </c:dLbl>
            <c:dLbl>
              <c:idx val="1"/>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3-C9C3-4312-8E69-766C73C380AE}"/>
                </c:ext>
              </c:extLst>
            </c:dLbl>
            <c:dLbl>
              <c:idx val="2"/>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5-C9C3-4312-8E69-766C73C380AE}"/>
                </c:ext>
              </c:extLst>
            </c:dLbl>
            <c:dLbl>
              <c:idx val="3"/>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7-C9C3-4312-8E69-766C73C380AE}"/>
                </c:ext>
              </c:extLst>
            </c:dLbl>
            <c:dLbl>
              <c:idx val="4"/>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9-C9C3-4312-8E69-766C73C380AE}"/>
                </c:ext>
              </c:extLst>
            </c:dLbl>
            <c:dLbl>
              <c:idx val="5"/>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B-C9C3-4312-8E69-766C73C380AE}"/>
                </c:ext>
              </c:extLst>
            </c:dLbl>
            <c:dLbl>
              <c:idx val="6"/>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extLst>
                <c:ext xmlns:c16="http://schemas.microsoft.com/office/drawing/2014/chart" uri="{C3380CC4-5D6E-409C-BE32-E72D297353CC}">
                  <c16:uniqueId val="{0000000D-C9C3-4312-8E69-766C73C380AE}"/>
                </c:ext>
              </c:extLst>
            </c:dLbl>
            <c:spPr>
              <a:noFill/>
              <a:ln>
                <a:noFill/>
              </a:ln>
              <a:effectLst/>
            </c:spPr>
            <c:txPr>
              <a:bodyPr wrap="square"/>
              <a:lstStyle/>
              <a:p>
                <a:pPr>
                  <a:defRPr sz="1000" b="0" strike="noStrike" spc="-1">
                    <a:solidFill>
                      <a:srgbClr val="000000"/>
                    </a:solidFill>
                    <a:latin typeface="Calibri"/>
                  </a:defRPr>
                </a:pPr>
                <a:endParaRPr lang="de-DE"/>
              </a:p>
            </c:txPr>
            <c:dLblPos val="bestFit"/>
            <c:showLegendKey val="1"/>
            <c:showVal val="1"/>
            <c:showCatName val="1"/>
            <c:showSerName val="1"/>
            <c:showPercent val="1"/>
            <c:showBubbleSize val="1"/>
            <c:separator>; </c:separator>
            <c:showLeaderLines val="1"/>
            <c:extLst>
              <c:ext xmlns:c15="http://schemas.microsoft.com/office/drawing/2012/chart" uri="{CE6537A1-D6FC-4f65-9D91-7224C49458BB}"/>
            </c:extLst>
          </c:dLbls>
          <c:cat>
            <c:strRef>
              <c:f>Vermögen!$B$10:$B$16</c:f>
              <c:strCache>
                <c:ptCount val="7"/>
                <c:pt idx="0">
                  <c:v>Girokonto Hauptbank</c:v>
                </c:pt>
                <c:pt idx="1">
                  <c:v>Tagesgeldkonto</c:v>
                </c:pt>
                <c:pt idx="2">
                  <c:v>Notgroschen-Sparbuch</c:v>
                </c:pt>
                <c:pt idx="3">
                  <c:v>Wertpapierdepot</c:v>
                </c:pt>
                <c:pt idx="4">
                  <c:v>Bausparvertrag</c:v>
                </c:pt>
                <c:pt idx="5">
                  <c:v>Krypto-Wallet</c:v>
                </c:pt>
                <c:pt idx="6">
                  <c:v>Sonstige Sachwerte</c:v>
                </c:pt>
              </c:strCache>
            </c:strRef>
          </c:cat>
          <c:val>
            <c:numRef>
              <c:f>Vermögen!$D$10:$D$16</c:f>
              <c:numCache>
                <c:formatCode>General</c:formatCode>
                <c:ptCount val="7"/>
                <c:pt idx="0">
                  <c:v>2150</c:v>
                </c:pt>
                <c:pt idx="1">
                  <c:v>6800</c:v>
                </c:pt>
                <c:pt idx="2">
                  <c:v>4500</c:v>
                </c:pt>
                <c:pt idx="3">
                  <c:v>12400</c:v>
                </c:pt>
                <c:pt idx="4">
                  <c:v>3200</c:v>
                </c:pt>
                <c:pt idx="5">
                  <c:v>850</c:v>
                </c:pt>
                <c:pt idx="6">
                  <c:v>1500</c:v>
                </c:pt>
              </c:numCache>
            </c:numRef>
          </c:val>
          <c:extLst>
            <c:ext xmlns:c16="http://schemas.microsoft.com/office/drawing/2014/chart" uri="{C3380CC4-5D6E-409C-BE32-E72D297353CC}">
              <c16:uniqueId val="{0000000E-C9C3-4312-8E69-766C73C380AE}"/>
            </c:ext>
          </c:extLst>
        </c:ser>
        <c:dLbls>
          <c:showLegendKey val="0"/>
          <c:showVal val="0"/>
          <c:showCatName val="0"/>
          <c:showSerName val="0"/>
          <c:showPercent val="0"/>
          <c:showBubbleSize val="0"/>
          <c:showLeaderLines val="1"/>
        </c:dLbls>
        <c:firstSliceAng val="0"/>
      </c:pie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6</xdr:col>
      <xdr:colOff>840960</xdr:colOff>
      <xdr:row>41</xdr:row>
      <xdr:rowOff>1080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4</xdr:col>
      <xdr:colOff>246960</xdr:colOff>
      <xdr:row>36</xdr:row>
      <xdr:rowOff>1440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6"/>
  <sheetViews>
    <sheetView showGridLines="0" tabSelected="1" zoomScaleNormal="100" workbookViewId="0">
      <selection activeCell="I26" sqref="I26"/>
    </sheetView>
  </sheetViews>
  <sheetFormatPr baseColWidth="10" defaultColWidth="8.7109375" defaultRowHeight="15" x14ac:dyDescent="0.25"/>
  <cols>
    <col min="1" max="1" width="2" customWidth="1"/>
    <col min="2" max="2" width="22" customWidth="1"/>
    <col min="3" max="5" width="18" customWidth="1"/>
    <col min="6" max="6" width="4" customWidth="1"/>
    <col min="7" max="7" width="22" customWidth="1"/>
    <col min="8" max="10" width="18" customWidth="1"/>
    <col min="11" max="11" width="4" customWidth="1"/>
  </cols>
  <sheetData>
    <row r="1" spans="2:10" ht="31.5" customHeight="1" x14ac:dyDescent="0.25">
      <c r="B1" s="15" t="s">
        <v>187</v>
      </c>
    </row>
    <row r="2" spans="2:10" x14ac:dyDescent="0.25">
      <c r="B2" s="16" t="s">
        <v>0</v>
      </c>
    </row>
    <row r="3" spans="2:10" ht="3" customHeight="1" x14ac:dyDescent="0.25">
      <c r="B3" s="17"/>
      <c r="C3" s="17"/>
      <c r="D3" s="17"/>
      <c r="E3" s="17"/>
      <c r="F3" s="17"/>
      <c r="G3" s="17"/>
      <c r="H3" s="17"/>
      <c r="I3" s="17"/>
      <c r="J3" s="17"/>
    </row>
    <row r="5" spans="2:10" ht="18" customHeight="1" x14ac:dyDescent="0.25">
      <c r="B5" s="14" t="s">
        <v>1</v>
      </c>
      <c r="C5" s="14"/>
      <c r="D5" s="14" t="s">
        <v>2</v>
      </c>
      <c r="E5" s="14"/>
      <c r="G5" s="14" t="s">
        <v>3</v>
      </c>
      <c r="H5" s="14"/>
      <c r="I5" s="14" t="s">
        <v>4</v>
      </c>
      <c r="J5" s="14"/>
    </row>
    <row r="6" spans="2:10" ht="30" customHeight="1" x14ac:dyDescent="0.25">
      <c r="B6" s="13">
        <f>SUMIF(Transaktionen!$E$5:$E$1000,"Einnahme",Transaktionen!$F$5:$F$1000)</f>
        <v>15651.199999999999</v>
      </c>
      <c r="C6" s="13"/>
      <c r="D6" s="12">
        <f>SUMIF(Transaktionen!$E$5:$E$1000,"Ausgabe",Transaktionen!$F$5:$F$1000)</f>
        <v>7552.4299999999976</v>
      </c>
      <c r="E6" s="12"/>
      <c r="G6" s="11">
        <f>B6-D6</f>
        <v>8098.7700000000013</v>
      </c>
      <c r="H6" s="11"/>
      <c r="I6" s="10">
        <f>IF(B6=0,0,G6/B6)</f>
        <v>0.5174536137804131</v>
      </c>
      <c r="J6" s="10"/>
    </row>
    <row r="8" spans="2:10" ht="18" x14ac:dyDescent="0.25">
      <c r="B8" s="18" t="s">
        <v>5</v>
      </c>
      <c r="G8" s="18" t="s">
        <v>6</v>
      </c>
    </row>
    <row r="9" spans="2:10" ht="3.75" customHeight="1" x14ac:dyDescent="0.25"/>
    <row r="10" spans="2:10" ht="21.75" customHeight="1" x14ac:dyDescent="0.25">
      <c r="B10" s="19" t="s">
        <v>7</v>
      </c>
      <c r="C10" s="19" t="s">
        <v>8</v>
      </c>
      <c r="D10" s="19" t="s">
        <v>9</v>
      </c>
      <c r="E10" s="19" t="s">
        <v>10</v>
      </c>
      <c r="G10" s="19" t="s">
        <v>11</v>
      </c>
      <c r="H10" s="19" t="s">
        <v>9</v>
      </c>
      <c r="I10" s="19" t="s">
        <v>12</v>
      </c>
    </row>
    <row r="11" spans="2:10" x14ac:dyDescent="0.25">
      <c r="B11" s="20" t="s">
        <v>13</v>
      </c>
      <c r="C11" s="21">
        <f>SUMPRODUCT((MONTH(Transaktionen!$A$5:$A$1000)=1)*(Transaktionen!$E$5:$E$1000="Einnahme")*Transaktionen!$F$5:$F$1000)</f>
        <v>3170</v>
      </c>
      <c r="D11" s="22">
        <f>SUMPRODUCT((MONTH(Transaktionen!$A$5:$A$1000)=1)*(Transaktionen!$E$5:$E$1000="Ausgabe")*Transaktionen!$F$5:$F$1000)</f>
        <v>1363.6299999999999</v>
      </c>
      <c r="E11" s="23">
        <f t="shared" ref="E11:E22" si="0">C11-D11</f>
        <v>1806.3700000000001</v>
      </c>
      <c r="G11" s="24" t="s">
        <v>14</v>
      </c>
      <c r="H11" s="22">
        <f>SUMIFS(Transaktionen!$F$5:$F$1000,Transaktionen!$E$5:$E$1000,"Ausgabe",Transaktionen!$B$5:$B$1000,"Wohnen")</f>
        <v>4325</v>
      </c>
      <c r="I11" s="25">
        <f t="shared" ref="I11:I20" si="1">IF($D$6=0,0,H11/$D$6)</f>
        <v>0.57266336794912387</v>
      </c>
    </row>
    <row r="12" spans="2:10" x14ac:dyDescent="0.25">
      <c r="B12" s="26" t="s">
        <v>15</v>
      </c>
      <c r="C12" s="27">
        <f>SUMPRODUCT((MONTH(Transaktionen!$A$5:$A$1000)=2)*(Transaktionen!$E$5:$E$1000="Einnahme")*Transaktionen!$F$5:$F$1000)</f>
        <v>2868.4</v>
      </c>
      <c r="D12" s="28">
        <f>SUMPRODUCT((MONTH(Transaktionen!$A$5:$A$1000)=2)*(Transaktionen!$E$5:$E$1000="Ausgabe")*Transaktionen!$F$5:$F$1000)</f>
        <v>1559.4900000000002</v>
      </c>
      <c r="E12" s="29">
        <f t="shared" si="0"/>
        <v>1308.9099999999999</v>
      </c>
      <c r="G12" s="30" t="s">
        <v>16</v>
      </c>
      <c r="H12" s="28">
        <f>SUMIFS(Transaktionen!$F$5:$F$1000,Transaktionen!$E$5:$E$1000,"Ausgabe",Transaktionen!$B$5:$B$1000,"Lebensmittel")</f>
        <v>1312.6000000000001</v>
      </c>
      <c r="I12" s="31">
        <f t="shared" si="1"/>
        <v>0.17379836688324163</v>
      </c>
    </row>
    <row r="13" spans="2:10" x14ac:dyDescent="0.25">
      <c r="B13" s="20" t="s">
        <v>17</v>
      </c>
      <c r="C13" s="21">
        <f>SUMPRODUCT((MONTH(Transaktionen!$A$5:$A$1000)=3)*(Transaktionen!$E$5:$E$1000="Einnahme")*Transaktionen!$F$5:$F$1000)</f>
        <v>3330</v>
      </c>
      <c r="D13" s="22">
        <f>SUMPRODUCT((MONTH(Transaktionen!$A$5:$A$1000)=3)*(Transaktionen!$E$5:$E$1000="Ausgabe")*Transaktionen!$F$5:$F$1000)</f>
        <v>1437.13</v>
      </c>
      <c r="E13" s="23">
        <f t="shared" si="0"/>
        <v>1892.87</v>
      </c>
      <c r="G13" s="24" t="s">
        <v>18</v>
      </c>
      <c r="H13" s="22">
        <f>SUMIFS(Transaktionen!$F$5:$F$1000,Transaktionen!$E$5:$E$1000,"Ausgabe",Transaktionen!$B$5:$B$1000,"Mobilität")</f>
        <v>392.7</v>
      </c>
      <c r="I13" s="25">
        <f t="shared" si="1"/>
        <v>5.1996509732629113E-2</v>
      </c>
    </row>
    <row r="14" spans="2:10" x14ac:dyDescent="0.25">
      <c r="B14" s="26" t="s">
        <v>19</v>
      </c>
      <c r="C14" s="27">
        <f>SUMPRODUCT((MONTH(Transaktionen!$A$5:$A$1000)=4)*(Transaktionen!$E$5:$E$1000="Einnahme")*Transaktionen!$F$5:$F$1000)</f>
        <v>3390</v>
      </c>
      <c r="D14" s="28">
        <f>SUMPRODUCT((MONTH(Transaktionen!$A$5:$A$1000)=4)*(Transaktionen!$E$5:$E$1000="Ausgabe")*Transaktionen!$F$5:$F$1000)</f>
        <v>1469.19</v>
      </c>
      <c r="E14" s="29">
        <f t="shared" si="0"/>
        <v>1920.81</v>
      </c>
      <c r="G14" s="30" t="s">
        <v>20</v>
      </c>
      <c r="H14" s="28">
        <f>SUMIFS(Transaktionen!$F$5:$F$1000,Transaktionen!$E$5:$E$1000,"Ausgabe",Transaktionen!$B$5:$B$1000,"Versicherungen")</f>
        <v>429</v>
      </c>
      <c r="I14" s="31">
        <f t="shared" si="1"/>
        <v>5.6802909791947777E-2</v>
      </c>
    </row>
    <row r="15" spans="2:10" x14ac:dyDescent="0.25">
      <c r="B15" s="20" t="s">
        <v>21</v>
      </c>
      <c r="C15" s="21">
        <f>SUMPRODUCT((MONTH(Transaktionen!$A$5:$A$1000)=5)*(Transaktionen!$E$5:$E$1000="Einnahme")*Transaktionen!$F$5:$F$1000)</f>
        <v>2892.8</v>
      </c>
      <c r="D15" s="22">
        <f>SUMPRODUCT((MONTH(Transaktionen!$A$5:$A$1000)=5)*(Transaktionen!$E$5:$E$1000="Ausgabe")*Transaktionen!$F$5:$F$1000)</f>
        <v>1722.9900000000002</v>
      </c>
      <c r="E15" s="23">
        <f t="shared" si="0"/>
        <v>1169.81</v>
      </c>
      <c r="G15" s="24" t="s">
        <v>22</v>
      </c>
      <c r="H15" s="22">
        <f>SUMIFS(Transaktionen!$F$5:$F$1000,Transaktionen!$E$5:$E$1000,"Ausgabe",Transaktionen!$B$5:$B$1000,"Freizeit &amp; Hobby")</f>
        <v>533.85</v>
      </c>
      <c r="I15" s="25">
        <f t="shared" si="1"/>
        <v>7.068585872361613E-2</v>
      </c>
    </row>
    <row r="16" spans="2:10" x14ac:dyDescent="0.25">
      <c r="B16" s="26" t="s">
        <v>23</v>
      </c>
      <c r="C16" s="27">
        <f>SUMPRODUCT((MONTH(Transaktionen!$A$5:$A$1000)=6)*(Transaktionen!$E$5:$E$1000="Einnahme")*Transaktionen!$F$5:$F$1000)</f>
        <v>0</v>
      </c>
      <c r="D16" s="28">
        <f>SUMPRODUCT((MONTH(Transaktionen!$A$5:$A$1000)=6)*(Transaktionen!$E$5:$E$1000="Ausgabe")*Transaktionen!$F$5:$F$1000)</f>
        <v>0</v>
      </c>
      <c r="E16" s="29">
        <f t="shared" si="0"/>
        <v>0</v>
      </c>
      <c r="G16" s="30" t="s">
        <v>24</v>
      </c>
      <c r="H16" s="28">
        <f>SUMIFS(Transaktionen!$F$5:$F$1000,Transaktionen!$E$5:$E$1000,"Ausgabe",Transaktionen!$B$5:$B$1000,"Abonnements")</f>
        <v>154.64999999999998</v>
      </c>
      <c r="I16" s="31">
        <f t="shared" si="1"/>
        <v>2.0476853145279073E-2</v>
      </c>
    </row>
    <row r="17" spans="2:9" x14ac:dyDescent="0.25">
      <c r="B17" s="20" t="s">
        <v>25</v>
      </c>
      <c r="C17" s="21">
        <f>SUMPRODUCT((MONTH(Transaktionen!$A$5:$A$1000)=7)*(Transaktionen!$E$5:$E$1000="Einnahme")*Transaktionen!$F$5:$F$1000)</f>
        <v>0</v>
      </c>
      <c r="D17" s="22">
        <f>SUMPRODUCT((MONTH(Transaktionen!$A$5:$A$1000)=7)*(Transaktionen!$E$5:$E$1000="Ausgabe")*Transaktionen!$F$5:$F$1000)</f>
        <v>0</v>
      </c>
      <c r="E17" s="23">
        <f t="shared" si="0"/>
        <v>0</v>
      </c>
      <c r="G17" s="24" t="s">
        <v>26</v>
      </c>
      <c r="H17" s="22">
        <f>SUMIFS(Transaktionen!$F$5:$F$1000,Transaktionen!$E$5:$E$1000,"Ausgabe",Transaktionen!$B$5:$B$1000,"Gesundheit")</f>
        <v>39.299999999999997</v>
      </c>
      <c r="I17" s="25">
        <f t="shared" si="1"/>
        <v>5.2036232047168937E-3</v>
      </c>
    </row>
    <row r="18" spans="2:9" x14ac:dyDescent="0.25">
      <c r="B18" s="26" t="s">
        <v>27</v>
      </c>
      <c r="C18" s="27">
        <f>SUMPRODUCT((MONTH(Transaktionen!$A$5:$A$1000)=8)*(Transaktionen!$E$5:$E$1000="Einnahme")*Transaktionen!$F$5:$F$1000)</f>
        <v>0</v>
      </c>
      <c r="D18" s="28">
        <f>SUMPRODUCT((MONTH(Transaktionen!$A$5:$A$1000)=8)*(Transaktionen!$E$5:$E$1000="Ausgabe")*Transaktionen!$F$5:$F$1000)</f>
        <v>0</v>
      </c>
      <c r="E18" s="29">
        <f t="shared" si="0"/>
        <v>0</v>
      </c>
      <c r="G18" s="30" t="s">
        <v>28</v>
      </c>
      <c r="H18" s="28">
        <f>SUMIFS(Transaktionen!$F$5:$F$1000,Transaktionen!$E$5:$E$1000,"Ausgabe",Transaktionen!$B$5:$B$1000,"Kleidung")</f>
        <v>169.98</v>
      </c>
      <c r="I18" s="31">
        <f t="shared" si="1"/>
        <v>2.2506663418264062E-2</v>
      </c>
    </row>
    <row r="19" spans="2:9" x14ac:dyDescent="0.25">
      <c r="B19" s="20" t="s">
        <v>29</v>
      </c>
      <c r="C19" s="21">
        <f>SUMPRODUCT((MONTH(Transaktionen!$A$5:$A$1000)=9)*(Transaktionen!$E$5:$E$1000="Einnahme")*Transaktionen!$F$5:$F$1000)</f>
        <v>0</v>
      </c>
      <c r="D19" s="22">
        <f>SUMPRODUCT((MONTH(Transaktionen!$A$5:$A$1000)=9)*(Transaktionen!$E$5:$E$1000="Ausgabe")*Transaktionen!$F$5:$F$1000)</f>
        <v>0</v>
      </c>
      <c r="E19" s="23">
        <f t="shared" si="0"/>
        <v>0</v>
      </c>
      <c r="G19" s="24" t="s">
        <v>30</v>
      </c>
      <c r="H19" s="22">
        <f>SUMIFS(Transaktionen!$F$5:$F$1000,Transaktionen!$E$5:$E$1000,"Ausgabe",Transaktionen!$B$5:$B$1000,"Bildung")</f>
        <v>81.95</v>
      </c>
      <c r="I19" s="25">
        <f t="shared" si="1"/>
        <v>1.0850812255128486E-2</v>
      </c>
    </row>
    <row r="20" spans="2:9" x14ac:dyDescent="0.25">
      <c r="B20" s="26" t="s">
        <v>31</v>
      </c>
      <c r="C20" s="27">
        <f>SUMPRODUCT((MONTH(Transaktionen!$A$5:$A$1000)=10)*(Transaktionen!$E$5:$E$1000="Einnahme")*Transaktionen!$F$5:$F$1000)</f>
        <v>0</v>
      </c>
      <c r="D20" s="28">
        <f>SUMPRODUCT((MONTH(Transaktionen!$A$5:$A$1000)=10)*(Transaktionen!$E$5:$E$1000="Ausgabe")*Transaktionen!$F$5:$F$1000)</f>
        <v>0</v>
      </c>
      <c r="E20" s="29">
        <f t="shared" si="0"/>
        <v>0</v>
      </c>
      <c r="G20" s="30" t="s">
        <v>32</v>
      </c>
      <c r="H20" s="28">
        <f>SUMIFS(Transaktionen!$F$5:$F$1000,Transaktionen!$E$5:$E$1000,"Ausgabe",Transaktionen!$B$5:$B$1000,"Sonstiges")</f>
        <v>113.4</v>
      </c>
      <c r="I20" s="31">
        <f t="shared" si="1"/>
        <v>1.5015034896053329E-2</v>
      </c>
    </row>
    <row r="21" spans="2:9" x14ac:dyDescent="0.25">
      <c r="B21" s="20" t="s">
        <v>33</v>
      </c>
      <c r="C21" s="21">
        <f>SUMPRODUCT((MONTH(Transaktionen!$A$5:$A$1000)=11)*(Transaktionen!$E$5:$E$1000="Einnahme")*Transaktionen!$F$5:$F$1000)</f>
        <v>0</v>
      </c>
      <c r="D21" s="22">
        <f>SUMPRODUCT((MONTH(Transaktionen!$A$5:$A$1000)=11)*(Transaktionen!$E$5:$E$1000="Ausgabe")*Transaktionen!$F$5:$F$1000)</f>
        <v>0</v>
      </c>
      <c r="E21" s="23">
        <f t="shared" si="0"/>
        <v>0</v>
      </c>
    </row>
    <row r="22" spans="2:9" x14ac:dyDescent="0.25">
      <c r="B22" s="26" t="s">
        <v>34</v>
      </c>
      <c r="C22" s="27">
        <f>SUMPRODUCT((MONTH(Transaktionen!$A$5:$A$1000)=12)*(Transaktionen!$E$5:$E$1000="Einnahme")*Transaktionen!$F$5:$F$1000)</f>
        <v>0</v>
      </c>
      <c r="D22" s="28">
        <f>SUMPRODUCT((MONTH(Transaktionen!$A$5:$A$1000)=12)*(Transaktionen!$E$5:$E$1000="Ausgabe")*Transaktionen!$F$5:$F$1000)</f>
        <v>0</v>
      </c>
      <c r="E22" s="29">
        <f t="shared" si="0"/>
        <v>0</v>
      </c>
    </row>
    <row r="23" spans="2:9" x14ac:dyDescent="0.25">
      <c r="B23" s="32" t="s">
        <v>35</v>
      </c>
      <c r="C23" s="33">
        <f>SUM(C11:C22)</f>
        <v>15651.2</v>
      </c>
      <c r="D23" s="33">
        <f>SUM(D11:D22)</f>
        <v>7552.43</v>
      </c>
      <c r="E23" s="33">
        <f>SUM(E11:E22)</f>
        <v>8098.7699999999986</v>
      </c>
    </row>
    <row r="43" spans="2:10" x14ac:dyDescent="0.25">
      <c r="B43" s="34" t="s">
        <v>36</v>
      </c>
    </row>
    <row r="44" spans="2:10" ht="15" customHeight="1" x14ac:dyDescent="0.25">
      <c r="B44" s="9" t="s">
        <v>37</v>
      </c>
      <c r="C44" s="9"/>
      <c r="D44" s="9"/>
      <c r="E44" s="9"/>
      <c r="F44" s="9"/>
      <c r="G44" s="9"/>
      <c r="H44" s="9"/>
      <c r="I44" s="9"/>
      <c r="J44" s="9"/>
    </row>
    <row r="45" spans="2:10" x14ac:dyDescent="0.25">
      <c r="B45" s="9"/>
      <c r="C45" s="9"/>
      <c r="D45" s="9"/>
      <c r="E45" s="9"/>
      <c r="F45" s="9"/>
      <c r="G45" s="9"/>
      <c r="H45" s="9"/>
      <c r="I45" s="9"/>
      <c r="J45" s="9"/>
    </row>
    <row r="46" spans="2:10" x14ac:dyDescent="0.25">
      <c r="B46" s="9"/>
      <c r="C46" s="9"/>
      <c r="D46" s="9"/>
      <c r="E46" s="9"/>
      <c r="F46" s="9"/>
      <c r="G46" s="9"/>
      <c r="H46" s="9"/>
      <c r="I46" s="9"/>
      <c r="J46" s="9"/>
    </row>
  </sheetData>
  <mergeCells count="9">
    <mergeCell ref="B44:J46"/>
    <mergeCell ref="B5:C5"/>
    <mergeCell ref="D5:E5"/>
    <mergeCell ref="G5:H5"/>
    <mergeCell ref="I5:J5"/>
    <mergeCell ref="B6:C6"/>
    <mergeCell ref="D6:E6"/>
    <mergeCell ref="G6:H6"/>
    <mergeCell ref="I6:J6"/>
  </mergeCells>
  <conditionalFormatting sqref="E11:E22">
    <cfRule type="cellIs" dxfId="5" priority="2" operator="lessThan">
      <formula>0</formula>
    </cfRule>
    <cfRule type="cellIs" dxfId="4" priority="3" operator="greaterThan">
      <formula>0</formula>
    </cfRule>
  </conditionalFormatting>
  <conditionalFormatting sqref="H11:H20">
    <cfRule type="dataBar" priority="4">
      <dataBar>
        <cfvo type="min"/>
        <cfvo type="max"/>
        <color rgb="FF3D6FB3"/>
      </dataBar>
      <extLst>
        <ext xmlns:x14="http://schemas.microsoft.com/office/spreadsheetml/2009/9/main" uri="{B025F937-C7B1-47D3-B67F-A62EFF666E3E}">
          <x14:id>{25E3ABF4-A6D2-4726-B6BC-C78290A6004C}</x14:id>
        </ext>
      </extLst>
    </cfRule>
  </conditionalFormatting>
  <pageMargins left="0.75" right="0.75" top="1" bottom="1" header="0.511811023622047" footer="0.511811023622047"/>
  <pageSetup paperSize="9" orientation="portrait" horizontalDpi="300" verticalDpi="300"/>
  <drawing r:id="rId1"/>
  <extLst>
    <ext xmlns:x14="http://schemas.microsoft.com/office/spreadsheetml/2009/9/main" uri="{78C0D931-6437-407d-A8EE-F0AAD7539E65}">
      <x14:conditionalFormattings>
        <x14:conditionalFormatting xmlns:xm="http://schemas.microsoft.com/office/excel/2006/main">
          <x14:cfRule type="dataBar" id="{25E3ABF4-A6D2-4726-B6BC-C78290A6004C}">
            <x14:dataBar axisPosition="none">
              <x14:cfvo type="min"/>
              <x14:cfvo type="max"/>
              <x14:negativeFillColor rgb="FF3D6FB3"/>
            </x14:dataBar>
          </x14:cfRule>
          <xm:sqref>H11:H20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4"/>
  <sheetViews>
    <sheetView showGridLines="0" zoomScaleNormal="100" workbookViewId="0">
      <pane ySplit="4" topLeftCell="A5" activePane="bottomLeft" state="frozen"/>
      <selection pane="bottomLeft"/>
    </sheetView>
  </sheetViews>
  <sheetFormatPr baseColWidth="10" defaultColWidth="8.7109375" defaultRowHeight="15" x14ac:dyDescent="0.25"/>
  <cols>
    <col min="1" max="1" width="13" customWidth="1"/>
    <col min="2" max="3" width="22" customWidth="1"/>
    <col min="4" max="4" width="32" customWidth="1"/>
    <col min="5" max="5" width="12" customWidth="1"/>
    <col min="6" max="6" width="14" customWidth="1"/>
    <col min="7" max="7" width="16" customWidth="1"/>
    <col min="8" max="8" width="25" customWidth="1"/>
  </cols>
  <sheetData>
    <row r="1" spans="1:8" ht="27.75" customHeight="1" x14ac:dyDescent="0.25">
      <c r="A1" s="35" t="s">
        <v>38</v>
      </c>
    </row>
    <row r="2" spans="1:8" x14ac:dyDescent="0.25">
      <c r="A2" s="16" t="s">
        <v>39</v>
      </c>
    </row>
    <row r="4" spans="1:8" ht="25.5" customHeight="1" x14ac:dyDescent="0.25">
      <c r="A4" s="19" t="s">
        <v>40</v>
      </c>
      <c r="B4" s="19" t="s">
        <v>11</v>
      </c>
      <c r="C4" s="19" t="s">
        <v>41</v>
      </c>
      <c r="D4" s="19" t="s">
        <v>42</v>
      </c>
      <c r="E4" s="19" t="s">
        <v>43</v>
      </c>
      <c r="F4" s="19" t="s">
        <v>44</v>
      </c>
      <c r="G4" s="19" t="s">
        <v>45</v>
      </c>
      <c r="H4" s="19" t="s">
        <v>46</v>
      </c>
    </row>
    <row r="5" spans="1:8" x14ac:dyDescent="0.25">
      <c r="A5" s="36">
        <v>46024</v>
      </c>
      <c r="B5" s="37" t="s">
        <v>47</v>
      </c>
      <c r="C5" s="37" t="s">
        <v>48</v>
      </c>
      <c r="D5" s="37" t="s">
        <v>49</v>
      </c>
      <c r="E5" s="38" t="s">
        <v>50</v>
      </c>
      <c r="F5" s="39">
        <v>2850</v>
      </c>
      <c r="G5" s="37" t="s">
        <v>51</v>
      </c>
      <c r="H5" s="37"/>
    </row>
    <row r="6" spans="1:8" x14ac:dyDescent="0.25">
      <c r="A6" s="40">
        <v>46025</v>
      </c>
      <c r="B6" s="41" t="s">
        <v>14</v>
      </c>
      <c r="C6" s="41" t="s">
        <v>52</v>
      </c>
      <c r="D6" s="41" t="s">
        <v>53</v>
      </c>
      <c r="E6" s="42" t="s">
        <v>54</v>
      </c>
      <c r="F6" s="43">
        <v>720</v>
      </c>
      <c r="G6" s="41" t="s">
        <v>51</v>
      </c>
      <c r="H6" s="41" t="s">
        <v>55</v>
      </c>
    </row>
    <row r="7" spans="1:8" x14ac:dyDescent="0.25">
      <c r="A7" s="36">
        <v>46025</v>
      </c>
      <c r="B7" s="37" t="s">
        <v>14</v>
      </c>
      <c r="C7" s="37" t="s">
        <v>56</v>
      </c>
      <c r="D7" s="37" t="s">
        <v>57</v>
      </c>
      <c r="E7" s="44" t="s">
        <v>54</v>
      </c>
      <c r="F7" s="45">
        <v>145</v>
      </c>
      <c r="G7" s="37" t="s">
        <v>51</v>
      </c>
      <c r="H7" s="37"/>
    </row>
    <row r="8" spans="1:8" x14ac:dyDescent="0.25">
      <c r="A8" s="40">
        <v>46027</v>
      </c>
      <c r="B8" s="41" t="s">
        <v>20</v>
      </c>
      <c r="C8" s="41" t="s">
        <v>58</v>
      </c>
      <c r="D8" s="41" t="s">
        <v>59</v>
      </c>
      <c r="E8" s="42" t="s">
        <v>54</v>
      </c>
      <c r="F8" s="43">
        <v>8.9</v>
      </c>
      <c r="G8" s="41" t="s">
        <v>51</v>
      </c>
      <c r="H8" s="41" t="s">
        <v>60</v>
      </c>
    </row>
    <row r="9" spans="1:8" x14ac:dyDescent="0.25">
      <c r="A9" s="36">
        <v>46027</v>
      </c>
      <c r="B9" s="37" t="s">
        <v>24</v>
      </c>
      <c r="C9" s="37" t="s">
        <v>61</v>
      </c>
      <c r="D9" s="37" t="s">
        <v>62</v>
      </c>
      <c r="E9" s="44" t="s">
        <v>54</v>
      </c>
      <c r="F9" s="45">
        <v>12.99</v>
      </c>
      <c r="G9" s="37" t="s">
        <v>63</v>
      </c>
      <c r="H9" s="37"/>
    </row>
    <row r="10" spans="1:8" x14ac:dyDescent="0.25">
      <c r="A10" s="40">
        <v>46029</v>
      </c>
      <c r="B10" s="41" t="s">
        <v>16</v>
      </c>
      <c r="C10" s="41" t="s">
        <v>64</v>
      </c>
      <c r="D10" s="41" t="s">
        <v>65</v>
      </c>
      <c r="E10" s="42" t="s">
        <v>54</v>
      </c>
      <c r="F10" s="43">
        <v>68.45</v>
      </c>
      <c r="G10" s="41" t="s">
        <v>51</v>
      </c>
      <c r="H10" s="41"/>
    </row>
    <row r="11" spans="1:8" x14ac:dyDescent="0.25">
      <c r="A11" s="36">
        <v>46031</v>
      </c>
      <c r="B11" s="37" t="s">
        <v>18</v>
      </c>
      <c r="C11" s="37" t="s">
        <v>66</v>
      </c>
      <c r="D11" s="37" t="s">
        <v>67</v>
      </c>
      <c r="E11" s="44" t="s">
        <v>54</v>
      </c>
      <c r="F11" s="45">
        <v>49</v>
      </c>
      <c r="G11" s="37" t="s">
        <v>51</v>
      </c>
      <c r="H11" s="37" t="s">
        <v>68</v>
      </c>
    </row>
    <row r="12" spans="1:8" x14ac:dyDescent="0.25">
      <c r="A12" s="40">
        <v>46034</v>
      </c>
      <c r="B12" s="41" t="s">
        <v>16</v>
      </c>
      <c r="C12" s="41" t="s">
        <v>64</v>
      </c>
      <c r="D12" s="41" t="s">
        <v>65</v>
      </c>
      <c r="E12" s="42" t="s">
        <v>54</v>
      </c>
      <c r="F12" s="43">
        <v>54.2</v>
      </c>
      <c r="G12" s="41" t="s">
        <v>51</v>
      </c>
      <c r="H12" s="41"/>
    </row>
    <row r="13" spans="1:8" x14ac:dyDescent="0.25">
      <c r="A13" s="36">
        <v>46036</v>
      </c>
      <c r="B13" s="37" t="s">
        <v>22</v>
      </c>
      <c r="C13" s="37" t="s">
        <v>69</v>
      </c>
      <c r="D13" s="37" t="s">
        <v>70</v>
      </c>
      <c r="E13" s="44" t="s">
        <v>54</v>
      </c>
      <c r="F13" s="45">
        <v>38.5</v>
      </c>
      <c r="G13" s="37" t="s">
        <v>63</v>
      </c>
      <c r="H13" s="37"/>
    </row>
    <row r="14" spans="1:8" x14ac:dyDescent="0.25">
      <c r="A14" s="40">
        <v>46037</v>
      </c>
      <c r="B14" s="41" t="s">
        <v>71</v>
      </c>
      <c r="C14" s="41" t="s">
        <v>72</v>
      </c>
      <c r="D14" s="41" t="s">
        <v>73</v>
      </c>
      <c r="E14" s="46" t="s">
        <v>50</v>
      </c>
      <c r="F14" s="47">
        <v>320</v>
      </c>
      <c r="G14" s="41" t="s">
        <v>51</v>
      </c>
      <c r="H14" s="41"/>
    </row>
    <row r="15" spans="1:8" x14ac:dyDescent="0.25">
      <c r="A15" s="36">
        <v>46040</v>
      </c>
      <c r="B15" s="37" t="s">
        <v>16</v>
      </c>
      <c r="C15" s="37" t="s">
        <v>64</v>
      </c>
      <c r="D15" s="37" t="s">
        <v>65</v>
      </c>
      <c r="E15" s="44" t="s">
        <v>54</v>
      </c>
      <c r="F15" s="45">
        <v>71.8</v>
      </c>
      <c r="G15" s="37" t="s">
        <v>51</v>
      </c>
      <c r="H15" s="37"/>
    </row>
    <row r="16" spans="1:8" x14ac:dyDescent="0.25">
      <c r="A16" s="40">
        <v>46042</v>
      </c>
      <c r="B16" s="41" t="s">
        <v>28</v>
      </c>
      <c r="C16" s="41" t="s">
        <v>74</v>
      </c>
      <c r="D16" s="41" t="s">
        <v>75</v>
      </c>
      <c r="E16" s="42" t="s">
        <v>54</v>
      </c>
      <c r="F16" s="43">
        <v>89.99</v>
      </c>
      <c r="G16" s="41" t="s">
        <v>63</v>
      </c>
      <c r="H16" s="41"/>
    </row>
    <row r="17" spans="1:8" x14ac:dyDescent="0.25">
      <c r="A17" s="36">
        <v>46044</v>
      </c>
      <c r="B17" s="37" t="s">
        <v>26</v>
      </c>
      <c r="C17" s="37" t="s">
        <v>76</v>
      </c>
      <c r="D17" s="37" t="s">
        <v>77</v>
      </c>
      <c r="E17" s="44" t="s">
        <v>54</v>
      </c>
      <c r="F17" s="45">
        <v>24.3</v>
      </c>
      <c r="G17" s="37" t="s">
        <v>78</v>
      </c>
      <c r="H17" s="37"/>
    </row>
    <row r="18" spans="1:8" x14ac:dyDescent="0.25">
      <c r="A18" s="40">
        <v>46047</v>
      </c>
      <c r="B18" s="41" t="s">
        <v>16</v>
      </c>
      <c r="C18" s="41" t="s">
        <v>64</v>
      </c>
      <c r="D18" s="41" t="s">
        <v>65</v>
      </c>
      <c r="E18" s="42" t="s">
        <v>54</v>
      </c>
      <c r="F18" s="43">
        <v>62.1</v>
      </c>
      <c r="G18" s="41" t="s">
        <v>51</v>
      </c>
      <c r="H18" s="41"/>
    </row>
    <row r="19" spans="1:8" x14ac:dyDescent="0.25">
      <c r="A19" s="36">
        <v>46050</v>
      </c>
      <c r="B19" s="37" t="s">
        <v>32</v>
      </c>
      <c r="C19" s="37" t="s">
        <v>79</v>
      </c>
      <c r="D19" s="37" t="s">
        <v>80</v>
      </c>
      <c r="E19" s="44" t="s">
        <v>54</v>
      </c>
      <c r="F19" s="45">
        <v>18.399999999999999</v>
      </c>
      <c r="G19" s="37" t="s">
        <v>51</v>
      </c>
      <c r="H19" s="37"/>
    </row>
    <row r="20" spans="1:8" x14ac:dyDescent="0.25">
      <c r="A20" s="40">
        <v>46055</v>
      </c>
      <c r="B20" s="41" t="s">
        <v>47</v>
      </c>
      <c r="C20" s="41" t="s">
        <v>48</v>
      </c>
      <c r="D20" s="41" t="s">
        <v>49</v>
      </c>
      <c r="E20" s="46" t="s">
        <v>50</v>
      </c>
      <c r="F20" s="47">
        <v>2850</v>
      </c>
      <c r="G20" s="41" t="s">
        <v>51</v>
      </c>
      <c r="H20" s="41"/>
    </row>
    <row r="21" spans="1:8" x14ac:dyDescent="0.25">
      <c r="A21" s="36">
        <v>46056</v>
      </c>
      <c r="B21" s="37" t="s">
        <v>14</v>
      </c>
      <c r="C21" s="37" t="s">
        <v>52</v>
      </c>
      <c r="D21" s="37" t="s">
        <v>81</v>
      </c>
      <c r="E21" s="44" t="s">
        <v>54</v>
      </c>
      <c r="F21" s="45">
        <v>720</v>
      </c>
      <c r="G21" s="37" t="s">
        <v>51</v>
      </c>
      <c r="H21" s="37"/>
    </row>
    <row r="22" spans="1:8" x14ac:dyDescent="0.25">
      <c r="A22" s="40">
        <v>46056</v>
      </c>
      <c r="B22" s="41" t="s">
        <v>14</v>
      </c>
      <c r="C22" s="41" t="s">
        <v>56</v>
      </c>
      <c r="D22" s="41" t="s">
        <v>57</v>
      </c>
      <c r="E22" s="42" t="s">
        <v>54</v>
      </c>
      <c r="F22" s="43">
        <v>145</v>
      </c>
      <c r="G22" s="41" t="s">
        <v>51</v>
      </c>
      <c r="H22" s="41"/>
    </row>
    <row r="23" spans="1:8" x14ac:dyDescent="0.25">
      <c r="A23" s="36">
        <v>46058</v>
      </c>
      <c r="B23" s="37" t="s">
        <v>20</v>
      </c>
      <c r="C23" s="37" t="s">
        <v>58</v>
      </c>
      <c r="D23" s="37" t="s">
        <v>59</v>
      </c>
      <c r="E23" s="44" t="s">
        <v>54</v>
      </c>
      <c r="F23" s="45">
        <v>8.9</v>
      </c>
      <c r="G23" s="37" t="s">
        <v>51</v>
      </c>
      <c r="H23" s="37"/>
    </row>
    <row r="24" spans="1:8" x14ac:dyDescent="0.25">
      <c r="A24" s="40">
        <v>46058</v>
      </c>
      <c r="B24" s="41" t="s">
        <v>20</v>
      </c>
      <c r="C24" s="41" t="s">
        <v>82</v>
      </c>
      <c r="D24" s="41" t="s">
        <v>83</v>
      </c>
      <c r="E24" s="42" t="s">
        <v>54</v>
      </c>
      <c r="F24" s="43">
        <v>185</v>
      </c>
      <c r="G24" s="41" t="s">
        <v>51</v>
      </c>
      <c r="H24" s="41" t="s">
        <v>84</v>
      </c>
    </row>
    <row r="25" spans="1:8" x14ac:dyDescent="0.25">
      <c r="A25" s="36">
        <v>46058</v>
      </c>
      <c r="B25" s="37" t="s">
        <v>24</v>
      </c>
      <c r="C25" s="37" t="s">
        <v>61</v>
      </c>
      <c r="D25" s="37" t="s">
        <v>62</v>
      </c>
      <c r="E25" s="44" t="s">
        <v>54</v>
      </c>
      <c r="F25" s="45">
        <v>12.99</v>
      </c>
      <c r="G25" s="37" t="s">
        <v>63</v>
      </c>
      <c r="H25" s="37"/>
    </row>
    <row r="26" spans="1:8" x14ac:dyDescent="0.25">
      <c r="A26" s="40">
        <v>46060</v>
      </c>
      <c r="B26" s="41" t="s">
        <v>16</v>
      </c>
      <c r="C26" s="41" t="s">
        <v>64</v>
      </c>
      <c r="D26" s="41" t="s">
        <v>65</v>
      </c>
      <c r="E26" s="42" t="s">
        <v>54</v>
      </c>
      <c r="F26" s="43">
        <v>73.2</v>
      </c>
      <c r="G26" s="41" t="s">
        <v>51</v>
      </c>
      <c r="H26" s="41"/>
    </row>
    <row r="27" spans="1:8" x14ac:dyDescent="0.25">
      <c r="A27" s="36">
        <v>46062</v>
      </c>
      <c r="B27" s="37" t="s">
        <v>18</v>
      </c>
      <c r="C27" s="37" t="s">
        <v>66</v>
      </c>
      <c r="D27" s="37" t="s">
        <v>67</v>
      </c>
      <c r="E27" s="44" t="s">
        <v>54</v>
      </c>
      <c r="F27" s="45">
        <v>49</v>
      </c>
      <c r="G27" s="37" t="s">
        <v>51</v>
      </c>
      <c r="H27" s="37"/>
    </row>
    <row r="28" spans="1:8" x14ac:dyDescent="0.25">
      <c r="A28" s="40">
        <v>46065</v>
      </c>
      <c r="B28" s="41" t="s">
        <v>16</v>
      </c>
      <c r="C28" s="41" t="s">
        <v>64</v>
      </c>
      <c r="D28" s="41" t="s">
        <v>65</v>
      </c>
      <c r="E28" s="42" t="s">
        <v>54</v>
      </c>
      <c r="F28" s="43">
        <v>59.75</v>
      </c>
      <c r="G28" s="41" t="s">
        <v>51</v>
      </c>
      <c r="H28" s="41"/>
    </row>
    <row r="29" spans="1:8" x14ac:dyDescent="0.25">
      <c r="A29" s="36">
        <v>46067</v>
      </c>
      <c r="B29" s="37" t="s">
        <v>22</v>
      </c>
      <c r="C29" s="37" t="s">
        <v>85</v>
      </c>
      <c r="D29" s="37" t="s">
        <v>86</v>
      </c>
      <c r="E29" s="44" t="s">
        <v>54</v>
      </c>
      <c r="F29" s="45">
        <v>45</v>
      </c>
      <c r="G29" s="37" t="s">
        <v>78</v>
      </c>
      <c r="H29" s="37"/>
    </row>
    <row r="30" spans="1:8" x14ac:dyDescent="0.25">
      <c r="A30" s="40">
        <v>46068</v>
      </c>
      <c r="B30" s="41" t="s">
        <v>87</v>
      </c>
      <c r="C30" s="41" t="s">
        <v>88</v>
      </c>
      <c r="D30" s="41" t="s">
        <v>89</v>
      </c>
      <c r="E30" s="46" t="s">
        <v>50</v>
      </c>
      <c r="F30" s="47">
        <v>18.399999999999999</v>
      </c>
      <c r="G30" s="41" t="s">
        <v>90</v>
      </c>
      <c r="H30" s="41"/>
    </row>
    <row r="31" spans="1:8" x14ac:dyDescent="0.25">
      <c r="A31" s="36">
        <v>46071</v>
      </c>
      <c r="B31" s="37" t="s">
        <v>16</v>
      </c>
      <c r="C31" s="37" t="s">
        <v>64</v>
      </c>
      <c r="D31" s="37" t="s">
        <v>65</v>
      </c>
      <c r="E31" s="44" t="s">
        <v>54</v>
      </c>
      <c r="F31" s="45">
        <v>66.3</v>
      </c>
      <c r="G31" s="37" t="s">
        <v>51</v>
      </c>
      <c r="H31" s="37"/>
    </row>
    <row r="32" spans="1:8" x14ac:dyDescent="0.25">
      <c r="A32" s="40">
        <v>46073</v>
      </c>
      <c r="B32" s="41" t="s">
        <v>18</v>
      </c>
      <c r="C32" s="41" t="s">
        <v>91</v>
      </c>
      <c r="D32" s="41" t="s">
        <v>92</v>
      </c>
      <c r="E32" s="42" t="s">
        <v>54</v>
      </c>
      <c r="F32" s="43">
        <v>72.5</v>
      </c>
      <c r="G32" s="41" t="s">
        <v>63</v>
      </c>
      <c r="H32" s="41"/>
    </row>
    <row r="33" spans="1:8" x14ac:dyDescent="0.25">
      <c r="A33" s="36">
        <v>46075</v>
      </c>
      <c r="B33" s="37" t="s">
        <v>22</v>
      </c>
      <c r="C33" s="37" t="s">
        <v>93</v>
      </c>
      <c r="D33" s="37" t="s">
        <v>94</v>
      </c>
      <c r="E33" s="44" t="s">
        <v>54</v>
      </c>
      <c r="F33" s="45">
        <v>24</v>
      </c>
      <c r="G33" s="37" t="s">
        <v>78</v>
      </c>
      <c r="H33" s="37"/>
    </row>
    <row r="34" spans="1:8" x14ac:dyDescent="0.25">
      <c r="A34" s="40">
        <v>46078</v>
      </c>
      <c r="B34" s="41" t="s">
        <v>16</v>
      </c>
      <c r="C34" s="41" t="s">
        <v>64</v>
      </c>
      <c r="D34" s="41" t="s">
        <v>65</v>
      </c>
      <c r="E34" s="42" t="s">
        <v>54</v>
      </c>
      <c r="F34" s="43">
        <v>64.900000000000006</v>
      </c>
      <c r="G34" s="41" t="s">
        <v>51</v>
      </c>
      <c r="H34" s="41"/>
    </row>
    <row r="35" spans="1:8" x14ac:dyDescent="0.25">
      <c r="A35" s="36">
        <v>46081</v>
      </c>
      <c r="B35" s="37" t="s">
        <v>30</v>
      </c>
      <c r="C35" s="37" t="s">
        <v>95</v>
      </c>
      <c r="D35" s="37" t="s">
        <v>96</v>
      </c>
      <c r="E35" s="44" t="s">
        <v>54</v>
      </c>
      <c r="F35" s="45">
        <v>32.950000000000003</v>
      </c>
      <c r="G35" s="37" t="s">
        <v>63</v>
      </c>
      <c r="H35" s="37"/>
    </row>
    <row r="36" spans="1:8" x14ac:dyDescent="0.25">
      <c r="A36" s="40">
        <v>46083</v>
      </c>
      <c r="B36" s="41" t="s">
        <v>47</v>
      </c>
      <c r="C36" s="41" t="s">
        <v>48</v>
      </c>
      <c r="D36" s="41" t="s">
        <v>49</v>
      </c>
      <c r="E36" s="46" t="s">
        <v>50</v>
      </c>
      <c r="F36" s="47">
        <v>2850</v>
      </c>
      <c r="G36" s="41" t="s">
        <v>51</v>
      </c>
      <c r="H36" s="41"/>
    </row>
    <row r="37" spans="1:8" x14ac:dyDescent="0.25">
      <c r="A37" s="36">
        <v>46084</v>
      </c>
      <c r="B37" s="37" t="s">
        <v>14</v>
      </c>
      <c r="C37" s="37" t="s">
        <v>52</v>
      </c>
      <c r="D37" s="37" t="s">
        <v>97</v>
      </c>
      <c r="E37" s="44" t="s">
        <v>54</v>
      </c>
      <c r="F37" s="45">
        <v>720</v>
      </c>
      <c r="G37" s="37" t="s">
        <v>51</v>
      </c>
      <c r="H37" s="37"/>
    </row>
    <row r="38" spans="1:8" x14ac:dyDescent="0.25">
      <c r="A38" s="40">
        <v>46084</v>
      </c>
      <c r="B38" s="41" t="s">
        <v>14</v>
      </c>
      <c r="C38" s="41" t="s">
        <v>56</v>
      </c>
      <c r="D38" s="41" t="s">
        <v>57</v>
      </c>
      <c r="E38" s="42" t="s">
        <v>54</v>
      </c>
      <c r="F38" s="43">
        <v>145</v>
      </c>
      <c r="G38" s="41" t="s">
        <v>51</v>
      </c>
      <c r="H38" s="41"/>
    </row>
    <row r="39" spans="1:8" x14ac:dyDescent="0.25">
      <c r="A39" s="36">
        <v>46086</v>
      </c>
      <c r="B39" s="37" t="s">
        <v>20</v>
      </c>
      <c r="C39" s="37" t="s">
        <v>58</v>
      </c>
      <c r="D39" s="37" t="s">
        <v>59</v>
      </c>
      <c r="E39" s="44" t="s">
        <v>54</v>
      </c>
      <c r="F39" s="45">
        <v>8.9</v>
      </c>
      <c r="G39" s="37" t="s">
        <v>51</v>
      </c>
      <c r="H39" s="37"/>
    </row>
    <row r="40" spans="1:8" x14ac:dyDescent="0.25">
      <c r="A40" s="40">
        <v>46086</v>
      </c>
      <c r="B40" s="41" t="s">
        <v>24</v>
      </c>
      <c r="C40" s="41" t="s">
        <v>61</v>
      </c>
      <c r="D40" s="41" t="s">
        <v>62</v>
      </c>
      <c r="E40" s="42" t="s">
        <v>54</v>
      </c>
      <c r="F40" s="43">
        <v>12.99</v>
      </c>
      <c r="G40" s="41" t="s">
        <v>63</v>
      </c>
      <c r="H40" s="41"/>
    </row>
    <row r="41" spans="1:8" x14ac:dyDescent="0.25">
      <c r="A41" s="36">
        <v>46086</v>
      </c>
      <c r="B41" s="37" t="s">
        <v>24</v>
      </c>
      <c r="C41" s="37" t="s">
        <v>98</v>
      </c>
      <c r="D41" s="37" t="s">
        <v>99</v>
      </c>
      <c r="E41" s="44" t="s">
        <v>54</v>
      </c>
      <c r="F41" s="45">
        <v>29.9</v>
      </c>
      <c r="G41" s="37" t="s">
        <v>51</v>
      </c>
      <c r="H41" s="37"/>
    </row>
    <row r="42" spans="1:8" x14ac:dyDescent="0.25">
      <c r="A42" s="40">
        <v>46089</v>
      </c>
      <c r="B42" s="41" t="s">
        <v>16</v>
      </c>
      <c r="C42" s="41" t="s">
        <v>64</v>
      </c>
      <c r="D42" s="41" t="s">
        <v>65</v>
      </c>
      <c r="E42" s="42" t="s">
        <v>54</v>
      </c>
      <c r="F42" s="43">
        <v>70.400000000000006</v>
      </c>
      <c r="G42" s="41" t="s">
        <v>51</v>
      </c>
      <c r="H42" s="41"/>
    </row>
    <row r="43" spans="1:8" x14ac:dyDescent="0.25">
      <c r="A43" s="36">
        <v>46090</v>
      </c>
      <c r="B43" s="37" t="s">
        <v>18</v>
      </c>
      <c r="C43" s="37" t="s">
        <v>66</v>
      </c>
      <c r="D43" s="37" t="s">
        <v>67</v>
      </c>
      <c r="E43" s="44" t="s">
        <v>54</v>
      </c>
      <c r="F43" s="45">
        <v>49</v>
      </c>
      <c r="G43" s="37" t="s">
        <v>51</v>
      </c>
      <c r="H43" s="37"/>
    </row>
    <row r="44" spans="1:8" x14ac:dyDescent="0.25">
      <c r="A44" s="40">
        <v>46093</v>
      </c>
      <c r="B44" s="41" t="s">
        <v>16</v>
      </c>
      <c r="C44" s="41" t="s">
        <v>64</v>
      </c>
      <c r="D44" s="41" t="s">
        <v>65</v>
      </c>
      <c r="E44" s="42" t="s">
        <v>54</v>
      </c>
      <c r="F44" s="43">
        <v>58.2</v>
      </c>
      <c r="G44" s="41" t="s">
        <v>51</v>
      </c>
      <c r="H44" s="41"/>
    </row>
    <row r="45" spans="1:8" x14ac:dyDescent="0.25">
      <c r="A45" s="36">
        <v>46095</v>
      </c>
      <c r="B45" s="37" t="s">
        <v>71</v>
      </c>
      <c r="C45" s="37" t="s">
        <v>72</v>
      </c>
      <c r="D45" s="37" t="s">
        <v>100</v>
      </c>
      <c r="E45" s="38" t="s">
        <v>50</v>
      </c>
      <c r="F45" s="39">
        <v>480</v>
      </c>
      <c r="G45" s="37" t="s">
        <v>51</v>
      </c>
      <c r="H45" s="37"/>
    </row>
    <row r="46" spans="1:8" x14ac:dyDescent="0.25">
      <c r="A46" s="40">
        <v>46096</v>
      </c>
      <c r="B46" s="41" t="s">
        <v>22</v>
      </c>
      <c r="C46" s="41" t="s">
        <v>69</v>
      </c>
      <c r="D46" s="41" t="s">
        <v>101</v>
      </c>
      <c r="E46" s="42" t="s">
        <v>54</v>
      </c>
      <c r="F46" s="43">
        <v>28.9</v>
      </c>
      <c r="G46" s="41" t="s">
        <v>63</v>
      </c>
      <c r="H46" s="41"/>
    </row>
    <row r="47" spans="1:8" x14ac:dyDescent="0.25">
      <c r="A47" s="36">
        <v>46099</v>
      </c>
      <c r="B47" s="37" t="s">
        <v>16</v>
      </c>
      <c r="C47" s="37" t="s">
        <v>64</v>
      </c>
      <c r="D47" s="37" t="s">
        <v>65</v>
      </c>
      <c r="E47" s="44" t="s">
        <v>54</v>
      </c>
      <c r="F47" s="45">
        <v>67.099999999999994</v>
      </c>
      <c r="G47" s="37" t="s">
        <v>51</v>
      </c>
      <c r="H47" s="37"/>
    </row>
    <row r="48" spans="1:8" x14ac:dyDescent="0.25">
      <c r="A48" s="40">
        <v>46101</v>
      </c>
      <c r="B48" s="41" t="s">
        <v>26</v>
      </c>
      <c r="C48" s="41" t="s">
        <v>102</v>
      </c>
      <c r="D48" s="41" t="s">
        <v>103</v>
      </c>
      <c r="E48" s="42" t="s">
        <v>54</v>
      </c>
      <c r="F48" s="43">
        <v>15</v>
      </c>
      <c r="G48" s="41" t="s">
        <v>78</v>
      </c>
      <c r="H48" s="41"/>
    </row>
    <row r="49" spans="1:8" x14ac:dyDescent="0.25">
      <c r="A49" s="36">
        <v>46103</v>
      </c>
      <c r="B49" s="37" t="s">
        <v>22</v>
      </c>
      <c r="C49" s="37" t="s">
        <v>104</v>
      </c>
      <c r="D49" s="37" t="s">
        <v>105</v>
      </c>
      <c r="E49" s="44" t="s">
        <v>54</v>
      </c>
      <c r="F49" s="45">
        <v>89.95</v>
      </c>
      <c r="G49" s="37" t="s">
        <v>63</v>
      </c>
      <c r="H49" s="37"/>
    </row>
    <row r="50" spans="1:8" x14ac:dyDescent="0.25">
      <c r="A50" s="40">
        <v>46106</v>
      </c>
      <c r="B50" s="41" t="s">
        <v>16</v>
      </c>
      <c r="C50" s="41" t="s">
        <v>64</v>
      </c>
      <c r="D50" s="41" t="s">
        <v>65</v>
      </c>
      <c r="E50" s="42" t="s">
        <v>54</v>
      </c>
      <c r="F50" s="43">
        <v>61.8</v>
      </c>
      <c r="G50" s="41" t="s">
        <v>51</v>
      </c>
      <c r="H50" s="41"/>
    </row>
    <row r="51" spans="1:8" x14ac:dyDescent="0.25">
      <c r="A51" s="36">
        <v>46109</v>
      </c>
      <c r="B51" s="37" t="s">
        <v>28</v>
      </c>
      <c r="C51" s="37" t="s">
        <v>106</v>
      </c>
      <c r="D51" s="37" t="s">
        <v>107</v>
      </c>
      <c r="E51" s="44" t="s">
        <v>54</v>
      </c>
      <c r="F51" s="45">
        <v>79.989999999999995</v>
      </c>
      <c r="G51" s="37" t="s">
        <v>63</v>
      </c>
      <c r="H51" s="37"/>
    </row>
    <row r="52" spans="1:8" x14ac:dyDescent="0.25">
      <c r="A52" s="40">
        <v>46114</v>
      </c>
      <c r="B52" s="41" t="s">
        <v>47</v>
      </c>
      <c r="C52" s="41" t="s">
        <v>48</v>
      </c>
      <c r="D52" s="41" t="s">
        <v>49</v>
      </c>
      <c r="E52" s="46" t="s">
        <v>50</v>
      </c>
      <c r="F52" s="47">
        <v>2850</v>
      </c>
      <c r="G52" s="41" t="s">
        <v>51</v>
      </c>
      <c r="H52" s="41"/>
    </row>
    <row r="53" spans="1:8" x14ac:dyDescent="0.25">
      <c r="A53" s="36">
        <v>46115</v>
      </c>
      <c r="B53" s="37" t="s">
        <v>14</v>
      </c>
      <c r="C53" s="37" t="s">
        <v>52</v>
      </c>
      <c r="D53" s="37" t="s">
        <v>108</v>
      </c>
      <c r="E53" s="44" t="s">
        <v>54</v>
      </c>
      <c r="F53" s="45">
        <v>720</v>
      </c>
      <c r="G53" s="37" t="s">
        <v>51</v>
      </c>
      <c r="H53" s="37"/>
    </row>
    <row r="54" spans="1:8" x14ac:dyDescent="0.25">
      <c r="A54" s="40">
        <v>46115</v>
      </c>
      <c r="B54" s="41" t="s">
        <v>14</v>
      </c>
      <c r="C54" s="41" t="s">
        <v>56</v>
      </c>
      <c r="D54" s="41" t="s">
        <v>57</v>
      </c>
      <c r="E54" s="42" t="s">
        <v>54</v>
      </c>
      <c r="F54" s="43">
        <v>145</v>
      </c>
      <c r="G54" s="41" t="s">
        <v>51</v>
      </c>
      <c r="H54" s="41"/>
    </row>
    <row r="55" spans="1:8" x14ac:dyDescent="0.25">
      <c r="A55" s="36">
        <v>46117</v>
      </c>
      <c r="B55" s="37" t="s">
        <v>20</v>
      </c>
      <c r="C55" s="37" t="s">
        <v>58</v>
      </c>
      <c r="D55" s="37" t="s">
        <v>59</v>
      </c>
      <c r="E55" s="44" t="s">
        <v>54</v>
      </c>
      <c r="F55" s="45">
        <v>8.9</v>
      </c>
      <c r="G55" s="37" t="s">
        <v>51</v>
      </c>
      <c r="H55" s="37"/>
    </row>
    <row r="56" spans="1:8" x14ac:dyDescent="0.25">
      <c r="A56" s="40">
        <v>46117</v>
      </c>
      <c r="B56" s="41" t="s">
        <v>20</v>
      </c>
      <c r="C56" s="41" t="s">
        <v>109</v>
      </c>
      <c r="D56" s="41" t="s">
        <v>110</v>
      </c>
      <c r="E56" s="42" t="s">
        <v>54</v>
      </c>
      <c r="F56" s="43">
        <v>14.5</v>
      </c>
      <c r="G56" s="41" t="s">
        <v>51</v>
      </c>
      <c r="H56" s="41" t="s">
        <v>60</v>
      </c>
    </row>
    <row r="57" spans="1:8" x14ac:dyDescent="0.25">
      <c r="A57" s="36">
        <v>46117</v>
      </c>
      <c r="B57" s="37" t="s">
        <v>24</v>
      </c>
      <c r="C57" s="37" t="s">
        <v>61</v>
      </c>
      <c r="D57" s="37" t="s">
        <v>62</v>
      </c>
      <c r="E57" s="44" t="s">
        <v>54</v>
      </c>
      <c r="F57" s="45">
        <v>12.99</v>
      </c>
      <c r="G57" s="37" t="s">
        <v>63</v>
      </c>
      <c r="H57" s="37"/>
    </row>
    <row r="58" spans="1:8" x14ac:dyDescent="0.25">
      <c r="A58" s="40">
        <v>46117</v>
      </c>
      <c r="B58" s="41" t="s">
        <v>24</v>
      </c>
      <c r="C58" s="41" t="s">
        <v>98</v>
      </c>
      <c r="D58" s="41" t="s">
        <v>99</v>
      </c>
      <c r="E58" s="42" t="s">
        <v>54</v>
      </c>
      <c r="F58" s="43">
        <v>29.9</v>
      </c>
      <c r="G58" s="41" t="s">
        <v>51</v>
      </c>
      <c r="H58" s="41"/>
    </row>
    <row r="59" spans="1:8" x14ac:dyDescent="0.25">
      <c r="A59" s="36">
        <v>46119</v>
      </c>
      <c r="B59" s="37" t="s">
        <v>16</v>
      </c>
      <c r="C59" s="37" t="s">
        <v>64</v>
      </c>
      <c r="D59" s="37" t="s">
        <v>65</v>
      </c>
      <c r="E59" s="44" t="s">
        <v>54</v>
      </c>
      <c r="F59" s="45">
        <v>75.599999999999994</v>
      </c>
      <c r="G59" s="37" t="s">
        <v>51</v>
      </c>
      <c r="H59" s="37"/>
    </row>
    <row r="60" spans="1:8" x14ac:dyDescent="0.25">
      <c r="A60" s="40">
        <v>46121</v>
      </c>
      <c r="B60" s="41" t="s">
        <v>18</v>
      </c>
      <c r="C60" s="41" t="s">
        <v>66</v>
      </c>
      <c r="D60" s="41" t="s">
        <v>67</v>
      </c>
      <c r="E60" s="42" t="s">
        <v>54</v>
      </c>
      <c r="F60" s="43">
        <v>49</v>
      </c>
      <c r="G60" s="41" t="s">
        <v>51</v>
      </c>
      <c r="H60" s="41"/>
    </row>
    <row r="61" spans="1:8" x14ac:dyDescent="0.25">
      <c r="A61" s="36">
        <v>46124</v>
      </c>
      <c r="B61" s="37" t="s">
        <v>16</v>
      </c>
      <c r="C61" s="37" t="s">
        <v>64</v>
      </c>
      <c r="D61" s="37" t="s">
        <v>65</v>
      </c>
      <c r="E61" s="44" t="s">
        <v>54</v>
      </c>
      <c r="F61" s="45">
        <v>62.3</v>
      </c>
      <c r="G61" s="37" t="s">
        <v>51</v>
      </c>
      <c r="H61" s="37"/>
    </row>
    <row r="62" spans="1:8" x14ac:dyDescent="0.25">
      <c r="A62" s="40">
        <v>46126</v>
      </c>
      <c r="B62" s="41" t="s">
        <v>111</v>
      </c>
      <c r="C62" s="41" t="s">
        <v>112</v>
      </c>
      <c r="D62" s="41" t="s">
        <v>113</v>
      </c>
      <c r="E62" s="46" t="s">
        <v>50</v>
      </c>
      <c r="F62" s="47">
        <v>540</v>
      </c>
      <c r="G62" s="41" t="s">
        <v>51</v>
      </c>
      <c r="H62" s="41" t="s">
        <v>114</v>
      </c>
    </row>
    <row r="63" spans="1:8" x14ac:dyDescent="0.25">
      <c r="A63" s="36">
        <v>46127</v>
      </c>
      <c r="B63" s="37" t="s">
        <v>22</v>
      </c>
      <c r="C63" s="37" t="s">
        <v>69</v>
      </c>
      <c r="D63" s="37" t="s">
        <v>115</v>
      </c>
      <c r="E63" s="44" t="s">
        <v>54</v>
      </c>
      <c r="F63" s="45">
        <v>32.5</v>
      </c>
      <c r="G63" s="37" t="s">
        <v>63</v>
      </c>
      <c r="H63" s="37"/>
    </row>
    <row r="64" spans="1:8" x14ac:dyDescent="0.25">
      <c r="A64" s="40">
        <v>46130</v>
      </c>
      <c r="B64" s="41" t="s">
        <v>16</v>
      </c>
      <c r="C64" s="41" t="s">
        <v>64</v>
      </c>
      <c r="D64" s="41" t="s">
        <v>65</v>
      </c>
      <c r="E64" s="42" t="s">
        <v>54</v>
      </c>
      <c r="F64" s="43">
        <v>68.900000000000006</v>
      </c>
      <c r="G64" s="41" t="s">
        <v>51</v>
      </c>
      <c r="H64" s="41"/>
    </row>
    <row r="65" spans="1:8" x14ac:dyDescent="0.25">
      <c r="A65" s="36">
        <v>46132</v>
      </c>
      <c r="B65" s="37" t="s">
        <v>18</v>
      </c>
      <c r="C65" s="37" t="s">
        <v>91</v>
      </c>
      <c r="D65" s="37" t="s">
        <v>92</v>
      </c>
      <c r="E65" s="44" t="s">
        <v>54</v>
      </c>
      <c r="F65" s="45">
        <v>75.2</v>
      </c>
      <c r="G65" s="37" t="s">
        <v>63</v>
      </c>
      <c r="H65" s="37"/>
    </row>
    <row r="66" spans="1:8" x14ac:dyDescent="0.25">
      <c r="A66" s="40">
        <v>46134</v>
      </c>
      <c r="B66" s="41" t="s">
        <v>30</v>
      </c>
      <c r="C66" s="41" t="s">
        <v>116</v>
      </c>
      <c r="D66" s="41" t="s">
        <v>117</v>
      </c>
      <c r="E66" s="42" t="s">
        <v>54</v>
      </c>
      <c r="F66" s="43">
        <v>49</v>
      </c>
      <c r="G66" s="41" t="s">
        <v>63</v>
      </c>
      <c r="H66" s="41"/>
    </row>
    <row r="67" spans="1:8" x14ac:dyDescent="0.25">
      <c r="A67" s="36">
        <v>46137</v>
      </c>
      <c r="B67" s="37" t="s">
        <v>16</v>
      </c>
      <c r="C67" s="37" t="s">
        <v>64</v>
      </c>
      <c r="D67" s="37" t="s">
        <v>65</v>
      </c>
      <c r="E67" s="44" t="s">
        <v>54</v>
      </c>
      <c r="F67" s="45">
        <v>65.400000000000006</v>
      </c>
      <c r="G67" s="37" t="s">
        <v>51</v>
      </c>
      <c r="H67" s="37"/>
    </row>
    <row r="68" spans="1:8" x14ac:dyDescent="0.25">
      <c r="A68" s="40">
        <v>46140</v>
      </c>
      <c r="B68" s="41" t="s">
        <v>32</v>
      </c>
      <c r="C68" s="41" t="s">
        <v>118</v>
      </c>
      <c r="D68" s="41" t="s">
        <v>119</v>
      </c>
      <c r="E68" s="42" t="s">
        <v>54</v>
      </c>
      <c r="F68" s="43">
        <v>60</v>
      </c>
      <c r="G68" s="41" t="s">
        <v>78</v>
      </c>
      <c r="H68" s="41"/>
    </row>
    <row r="69" spans="1:8" x14ac:dyDescent="0.25">
      <c r="A69" s="36">
        <v>46144</v>
      </c>
      <c r="B69" s="37" t="s">
        <v>47</v>
      </c>
      <c r="C69" s="37" t="s">
        <v>48</v>
      </c>
      <c r="D69" s="37" t="s">
        <v>49</v>
      </c>
      <c r="E69" s="38" t="s">
        <v>50</v>
      </c>
      <c r="F69" s="39">
        <v>2850</v>
      </c>
      <c r="G69" s="37" t="s">
        <v>51</v>
      </c>
      <c r="H69" s="37"/>
    </row>
    <row r="70" spans="1:8" x14ac:dyDescent="0.25">
      <c r="A70" s="40">
        <v>46145</v>
      </c>
      <c r="B70" s="41" t="s">
        <v>14</v>
      </c>
      <c r="C70" s="41" t="s">
        <v>52</v>
      </c>
      <c r="D70" s="41" t="s">
        <v>120</v>
      </c>
      <c r="E70" s="42" t="s">
        <v>54</v>
      </c>
      <c r="F70" s="43">
        <v>720</v>
      </c>
      <c r="G70" s="41" t="s">
        <v>51</v>
      </c>
      <c r="H70" s="41"/>
    </row>
    <row r="71" spans="1:8" x14ac:dyDescent="0.25">
      <c r="A71" s="36">
        <v>46145</v>
      </c>
      <c r="B71" s="37" t="s">
        <v>14</v>
      </c>
      <c r="C71" s="37" t="s">
        <v>56</v>
      </c>
      <c r="D71" s="37" t="s">
        <v>57</v>
      </c>
      <c r="E71" s="44" t="s">
        <v>54</v>
      </c>
      <c r="F71" s="45">
        <v>145</v>
      </c>
      <c r="G71" s="37" t="s">
        <v>51</v>
      </c>
      <c r="H71" s="37"/>
    </row>
    <row r="72" spans="1:8" x14ac:dyDescent="0.25">
      <c r="A72" s="40">
        <v>46147</v>
      </c>
      <c r="B72" s="41" t="s">
        <v>20</v>
      </c>
      <c r="C72" s="41" t="s">
        <v>58</v>
      </c>
      <c r="D72" s="41" t="s">
        <v>59</v>
      </c>
      <c r="E72" s="42" t="s">
        <v>54</v>
      </c>
      <c r="F72" s="43">
        <v>8.9</v>
      </c>
      <c r="G72" s="41" t="s">
        <v>51</v>
      </c>
      <c r="H72" s="41"/>
    </row>
    <row r="73" spans="1:8" x14ac:dyDescent="0.25">
      <c r="A73" s="36">
        <v>46147</v>
      </c>
      <c r="B73" s="37" t="s">
        <v>20</v>
      </c>
      <c r="C73" s="37" t="s">
        <v>82</v>
      </c>
      <c r="D73" s="37" t="s">
        <v>121</v>
      </c>
      <c r="E73" s="44" t="s">
        <v>54</v>
      </c>
      <c r="F73" s="45">
        <v>185</v>
      </c>
      <c r="G73" s="37" t="s">
        <v>51</v>
      </c>
      <c r="H73" s="37" t="s">
        <v>84</v>
      </c>
    </row>
    <row r="74" spans="1:8" x14ac:dyDescent="0.25">
      <c r="A74" s="40">
        <v>46147</v>
      </c>
      <c r="B74" s="41" t="s">
        <v>24</v>
      </c>
      <c r="C74" s="41" t="s">
        <v>61</v>
      </c>
      <c r="D74" s="41" t="s">
        <v>62</v>
      </c>
      <c r="E74" s="42" t="s">
        <v>54</v>
      </c>
      <c r="F74" s="43">
        <v>12.99</v>
      </c>
      <c r="G74" s="41" t="s">
        <v>63</v>
      </c>
      <c r="H74" s="41"/>
    </row>
    <row r="75" spans="1:8" x14ac:dyDescent="0.25">
      <c r="A75" s="36">
        <v>46147</v>
      </c>
      <c r="B75" s="37" t="s">
        <v>24</v>
      </c>
      <c r="C75" s="37" t="s">
        <v>98</v>
      </c>
      <c r="D75" s="37" t="s">
        <v>99</v>
      </c>
      <c r="E75" s="44" t="s">
        <v>54</v>
      </c>
      <c r="F75" s="45">
        <v>29.9</v>
      </c>
      <c r="G75" s="37" t="s">
        <v>51</v>
      </c>
      <c r="H75" s="37"/>
    </row>
    <row r="76" spans="1:8" x14ac:dyDescent="0.25">
      <c r="A76" s="40">
        <v>46150</v>
      </c>
      <c r="B76" s="41" t="s">
        <v>16</v>
      </c>
      <c r="C76" s="41" t="s">
        <v>64</v>
      </c>
      <c r="D76" s="41" t="s">
        <v>65</v>
      </c>
      <c r="E76" s="42" t="s">
        <v>54</v>
      </c>
      <c r="F76" s="43">
        <v>71.5</v>
      </c>
      <c r="G76" s="41" t="s">
        <v>51</v>
      </c>
      <c r="H76" s="41"/>
    </row>
    <row r="77" spans="1:8" x14ac:dyDescent="0.25">
      <c r="A77" s="36">
        <v>46151</v>
      </c>
      <c r="B77" s="37" t="s">
        <v>18</v>
      </c>
      <c r="C77" s="37" t="s">
        <v>66</v>
      </c>
      <c r="D77" s="37" t="s">
        <v>67</v>
      </c>
      <c r="E77" s="44" t="s">
        <v>54</v>
      </c>
      <c r="F77" s="45">
        <v>49</v>
      </c>
      <c r="G77" s="37" t="s">
        <v>51</v>
      </c>
      <c r="H77" s="37"/>
    </row>
    <row r="78" spans="1:8" x14ac:dyDescent="0.25">
      <c r="A78" s="40">
        <v>46154</v>
      </c>
      <c r="B78" s="41" t="s">
        <v>22</v>
      </c>
      <c r="C78" s="41" t="s">
        <v>122</v>
      </c>
      <c r="D78" s="41" t="s">
        <v>123</v>
      </c>
      <c r="E78" s="42" t="s">
        <v>54</v>
      </c>
      <c r="F78" s="43">
        <v>220</v>
      </c>
      <c r="G78" s="41" t="s">
        <v>63</v>
      </c>
      <c r="H78" s="41" t="s">
        <v>124</v>
      </c>
    </row>
    <row r="79" spans="1:8" x14ac:dyDescent="0.25">
      <c r="A79" s="36">
        <v>46157</v>
      </c>
      <c r="B79" s="37" t="s">
        <v>16</v>
      </c>
      <c r="C79" s="37" t="s">
        <v>64</v>
      </c>
      <c r="D79" s="37" t="s">
        <v>65</v>
      </c>
      <c r="E79" s="44" t="s">
        <v>54</v>
      </c>
      <c r="F79" s="45">
        <v>59.8</v>
      </c>
      <c r="G79" s="37" t="s">
        <v>51</v>
      </c>
      <c r="H79" s="37"/>
    </row>
    <row r="80" spans="1:8" x14ac:dyDescent="0.25">
      <c r="A80" s="40">
        <v>46160</v>
      </c>
      <c r="B80" s="41" t="s">
        <v>16</v>
      </c>
      <c r="C80" s="41" t="s">
        <v>64</v>
      </c>
      <c r="D80" s="41" t="s">
        <v>65</v>
      </c>
      <c r="E80" s="42" t="s">
        <v>54</v>
      </c>
      <c r="F80" s="43">
        <v>66.2</v>
      </c>
      <c r="G80" s="41" t="s">
        <v>51</v>
      </c>
      <c r="H80" s="41"/>
    </row>
    <row r="81" spans="1:8" x14ac:dyDescent="0.25">
      <c r="A81" s="36">
        <v>46162</v>
      </c>
      <c r="B81" s="37" t="s">
        <v>87</v>
      </c>
      <c r="C81" s="37" t="s">
        <v>125</v>
      </c>
      <c r="D81" s="37" t="s">
        <v>126</v>
      </c>
      <c r="E81" s="38" t="s">
        <v>50</v>
      </c>
      <c r="F81" s="39">
        <v>42.8</v>
      </c>
      <c r="G81" s="37" t="s">
        <v>127</v>
      </c>
      <c r="H81" s="37"/>
    </row>
    <row r="82" spans="1:8" x14ac:dyDescent="0.25">
      <c r="A82" s="40">
        <v>46164</v>
      </c>
      <c r="B82" s="41" t="s">
        <v>22</v>
      </c>
      <c r="C82" s="41" t="s">
        <v>128</v>
      </c>
      <c r="D82" s="41" t="s">
        <v>129</v>
      </c>
      <c r="E82" s="42" t="s">
        <v>54</v>
      </c>
      <c r="F82" s="43">
        <v>55</v>
      </c>
      <c r="G82" s="41" t="s">
        <v>63</v>
      </c>
      <c r="H82" s="41"/>
    </row>
    <row r="83" spans="1:8" x14ac:dyDescent="0.25">
      <c r="A83" s="36">
        <v>46167</v>
      </c>
      <c r="B83" s="37" t="s">
        <v>16</v>
      </c>
      <c r="C83" s="37" t="s">
        <v>64</v>
      </c>
      <c r="D83" s="37" t="s">
        <v>65</v>
      </c>
      <c r="E83" s="44" t="s">
        <v>54</v>
      </c>
      <c r="F83" s="45">
        <v>64.7</v>
      </c>
      <c r="G83" s="37" t="s">
        <v>51</v>
      </c>
      <c r="H83" s="37"/>
    </row>
    <row r="84" spans="1:8" x14ac:dyDescent="0.25">
      <c r="A84" s="40">
        <v>46170</v>
      </c>
      <c r="B84" s="41" t="s">
        <v>32</v>
      </c>
      <c r="C84" s="41" t="s">
        <v>130</v>
      </c>
      <c r="D84" s="41" t="s">
        <v>131</v>
      </c>
      <c r="E84" s="42" t="s">
        <v>54</v>
      </c>
      <c r="F84" s="43">
        <v>35</v>
      </c>
      <c r="G84" s="41" t="s">
        <v>78</v>
      </c>
      <c r="H84" s="41"/>
    </row>
  </sheetData>
  <autoFilter ref="A4:H84" xr:uid="{00000000-0009-0000-0000-000001000000}"/>
  <conditionalFormatting sqref="F5:F1000">
    <cfRule type="expression" dxfId="3" priority="2">
      <formula>$E5="Einnahme"</formula>
    </cfRule>
  </conditionalFormatting>
  <dataValidations count="1">
    <dataValidation type="list" allowBlank="1" errorTitle="Ungültiger Typ" error="Bitte 'Einnahme' oder 'Ausgabe' wählen." sqref="E5:E1000" xr:uid="{00000000-0002-0000-0100-000000000000}">
      <formula1>"Einnahme,Ausgabe"</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errorTitle="Unbekannte Kategorie" error="Bitte aus der Kategorienliste wählen oder im Blatt 'Einstellungen' ergänzen." xr:uid="{00000000-0002-0000-0100-000001000000}">
          <x14:formula1>
            <xm:f>Einstellungen!$H$6:$H$22</xm:f>
          </x14:formula1>
          <x14:formula2>
            <xm:f>0</xm:f>
          </x14:formula2>
          <xm:sqref>B5:B1000</xm:sqref>
        </x14:dataValidation>
        <x14:dataValidation type="list" allowBlank="1" xr:uid="{00000000-0002-0000-0100-000002000000}">
          <x14:formula1>
            <xm:f>Einstellungen!$F$6:$F$12</xm:f>
          </x14:formula1>
          <x14:formula2>
            <xm:f>0</xm:f>
          </x14:formula2>
          <xm:sqref>G5:G1000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37"/>
  <sheetViews>
    <sheetView showGridLines="0" zoomScaleNormal="100" workbookViewId="0"/>
  </sheetViews>
  <sheetFormatPr baseColWidth="10" defaultColWidth="8.7109375" defaultRowHeight="15" x14ac:dyDescent="0.25"/>
  <cols>
    <col min="1" max="1" width="2" customWidth="1"/>
    <col min="2" max="2" width="22" customWidth="1"/>
    <col min="3" max="5" width="16" customWidth="1"/>
    <col min="6" max="6" width="14" customWidth="1"/>
    <col min="7" max="7" width="4" customWidth="1"/>
  </cols>
  <sheetData>
    <row r="2" spans="2:6" ht="31.5" customHeight="1" x14ac:dyDescent="0.25">
      <c r="B2" s="15" t="s">
        <v>132</v>
      </c>
    </row>
    <row r="3" spans="2:6" x14ac:dyDescent="0.25">
      <c r="B3" s="16" t="s">
        <v>133</v>
      </c>
    </row>
    <row r="5" spans="2:6" ht="25.5" customHeight="1" x14ac:dyDescent="0.25">
      <c r="B5" s="48" t="s">
        <v>134</v>
      </c>
      <c r="C5" s="49">
        <v>5</v>
      </c>
      <c r="D5" s="50" t="str">
        <f>CHOOSE(C5,"Januar","Februar","März","April","Mai","Juni","Juli","August","September","Oktober","November","Dezember")</f>
        <v>Mai</v>
      </c>
    </row>
    <row r="6" spans="2:6" ht="7.5" customHeight="1" x14ac:dyDescent="0.25"/>
    <row r="7" spans="2:6" ht="25.5" customHeight="1" x14ac:dyDescent="0.25">
      <c r="B7" s="19" t="s">
        <v>11</v>
      </c>
      <c r="C7" s="19" t="s">
        <v>135</v>
      </c>
      <c r="D7" s="19" t="s">
        <v>136</v>
      </c>
      <c r="E7" s="19" t="s">
        <v>137</v>
      </c>
      <c r="F7" s="19" t="s">
        <v>138</v>
      </c>
    </row>
    <row r="8" spans="2:6" x14ac:dyDescent="0.25">
      <c r="B8" s="8" t="s">
        <v>139</v>
      </c>
      <c r="C8" s="8"/>
      <c r="D8" s="8"/>
      <c r="E8" s="8"/>
      <c r="F8" s="8"/>
    </row>
    <row r="9" spans="2:6" x14ac:dyDescent="0.25">
      <c r="B9" s="37" t="s">
        <v>47</v>
      </c>
      <c r="C9" s="51">
        <v>2850</v>
      </c>
      <c r="D9" s="51">
        <f>SUMPRODUCT((MONTH(Transaktionen!$A$5:$A$1000)=$C$5)*(Transaktionen!$B$5:$B$1000=B9)*Transaktionen!$F$5:$F$1000)</f>
        <v>2850</v>
      </c>
      <c r="E9" s="51">
        <f t="shared" ref="E9:E16" si="0">D9-C9</f>
        <v>0</v>
      </c>
      <c r="F9" s="52">
        <f t="shared" ref="F9:F16" si="1">IF(C9=0,0,D9/C9)</f>
        <v>1</v>
      </c>
    </row>
    <row r="10" spans="2:6" x14ac:dyDescent="0.25">
      <c r="B10" s="41" t="s">
        <v>71</v>
      </c>
      <c r="C10" s="53">
        <v>300</v>
      </c>
      <c r="D10" s="53">
        <f>SUMPRODUCT((MONTH(Transaktionen!$A$5:$A$1000)=$C$5)*(Transaktionen!$B$5:$B$1000=B10)*Transaktionen!$F$5:$F$1000)</f>
        <v>0</v>
      </c>
      <c r="E10" s="53">
        <f t="shared" si="0"/>
        <v>-300</v>
      </c>
      <c r="F10" s="54">
        <f t="shared" si="1"/>
        <v>0</v>
      </c>
    </row>
    <row r="11" spans="2:6" x14ac:dyDescent="0.25">
      <c r="B11" s="37" t="s">
        <v>87</v>
      </c>
      <c r="C11" s="51">
        <v>30</v>
      </c>
      <c r="D11" s="51">
        <f>SUMPRODUCT((MONTH(Transaktionen!$A$5:$A$1000)=$C$5)*(Transaktionen!$B$5:$B$1000=B11)*Transaktionen!$F$5:$F$1000)</f>
        <v>42.8</v>
      </c>
      <c r="E11" s="51">
        <f t="shared" si="0"/>
        <v>12.799999999999997</v>
      </c>
      <c r="F11" s="52">
        <f t="shared" si="1"/>
        <v>1.4266666666666665</v>
      </c>
    </row>
    <row r="12" spans="2:6" x14ac:dyDescent="0.25">
      <c r="B12" s="41" t="s">
        <v>140</v>
      </c>
      <c r="C12" s="53">
        <v>0</v>
      </c>
      <c r="D12" s="53">
        <f>SUMPRODUCT((MONTH(Transaktionen!$A$5:$A$1000)=$C$5)*(Transaktionen!$B$5:$B$1000=B12)*Transaktionen!$F$5:$F$1000)</f>
        <v>0</v>
      </c>
      <c r="E12" s="53">
        <f t="shared" si="0"/>
        <v>0</v>
      </c>
      <c r="F12" s="54">
        <f t="shared" si="1"/>
        <v>0</v>
      </c>
    </row>
    <row r="13" spans="2:6" x14ac:dyDescent="0.25">
      <c r="B13" s="37" t="s">
        <v>111</v>
      </c>
      <c r="C13" s="51">
        <v>0</v>
      </c>
      <c r="D13" s="51">
        <f>SUMPRODUCT((MONTH(Transaktionen!$A$5:$A$1000)=$C$5)*(Transaktionen!$B$5:$B$1000=B13)*Transaktionen!$F$5:$F$1000)</f>
        <v>0</v>
      </c>
      <c r="E13" s="51">
        <f t="shared" si="0"/>
        <v>0</v>
      </c>
      <c r="F13" s="52">
        <f t="shared" si="1"/>
        <v>0</v>
      </c>
    </row>
    <row r="14" spans="2:6" x14ac:dyDescent="0.25">
      <c r="B14" s="41" t="s">
        <v>85</v>
      </c>
      <c r="C14" s="53">
        <v>0</v>
      </c>
      <c r="D14" s="53">
        <f>SUMPRODUCT((MONTH(Transaktionen!$A$5:$A$1000)=$C$5)*(Transaktionen!$B$5:$B$1000=B14)*Transaktionen!$F$5:$F$1000)</f>
        <v>0</v>
      </c>
      <c r="E14" s="53">
        <f t="shared" si="0"/>
        <v>0</v>
      </c>
      <c r="F14" s="54">
        <f t="shared" si="1"/>
        <v>0</v>
      </c>
    </row>
    <row r="15" spans="2:6" x14ac:dyDescent="0.25">
      <c r="B15" s="37" t="s">
        <v>141</v>
      </c>
      <c r="C15" s="51">
        <v>0</v>
      </c>
      <c r="D15" s="51">
        <f>SUMPRODUCT((MONTH(Transaktionen!$A$5:$A$1000)=$C$5)*(Transaktionen!$B$5:$B$1000=B15)*Transaktionen!$F$5:$F$1000)</f>
        <v>0</v>
      </c>
      <c r="E15" s="51">
        <f t="shared" si="0"/>
        <v>0</v>
      </c>
      <c r="F15" s="52">
        <f t="shared" si="1"/>
        <v>0</v>
      </c>
    </row>
    <row r="16" spans="2:6" x14ac:dyDescent="0.25">
      <c r="B16" s="55" t="s">
        <v>142</v>
      </c>
      <c r="C16" s="56">
        <f>SUM(C9:C15)</f>
        <v>3180</v>
      </c>
      <c r="D16" s="56">
        <f>SUM(D9:D15)</f>
        <v>2892.8</v>
      </c>
      <c r="E16" s="56">
        <f t="shared" si="0"/>
        <v>-287.19999999999982</v>
      </c>
      <c r="F16" s="57">
        <f t="shared" si="1"/>
        <v>0.90968553459119506</v>
      </c>
    </row>
    <row r="18" spans="2:6" x14ac:dyDescent="0.25">
      <c r="B18" s="7" t="s">
        <v>143</v>
      </c>
      <c r="C18" s="7"/>
      <c r="D18" s="7"/>
      <c r="E18" s="7"/>
      <c r="F18" s="7"/>
    </row>
    <row r="19" spans="2:6" x14ac:dyDescent="0.25">
      <c r="B19" s="37" t="s">
        <v>14</v>
      </c>
      <c r="C19" s="51">
        <v>880</v>
      </c>
      <c r="D19" s="51">
        <f>SUMPRODUCT((MONTH(Transaktionen!$A$5:$A$1000)=$C$5)*(Transaktionen!$B$5:$B$1000=B19)*(Transaktionen!$E$5:$E$1000="Ausgabe")*Transaktionen!$F$5:$F$1000)</f>
        <v>865</v>
      </c>
      <c r="E19" s="51">
        <f t="shared" ref="E19:E29" si="2">C19-D19</f>
        <v>15</v>
      </c>
      <c r="F19" s="52">
        <f t="shared" ref="F19:F29" si="3">IF(C19=0,0,D19/C19)</f>
        <v>0.98295454545454541</v>
      </c>
    </row>
    <row r="20" spans="2:6" x14ac:dyDescent="0.25">
      <c r="B20" s="41" t="s">
        <v>16</v>
      </c>
      <c r="C20" s="53">
        <v>320</v>
      </c>
      <c r="D20" s="53">
        <f>SUMPRODUCT((MONTH(Transaktionen!$A$5:$A$1000)=$C$5)*(Transaktionen!$B$5:$B$1000=B20)*(Transaktionen!$E$5:$E$1000="Ausgabe")*Transaktionen!$F$5:$F$1000)</f>
        <v>262.2</v>
      </c>
      <c r="E20" s="53">
        <f t="shared" si="2"/>
        <v>57.800000000000011</v>
      </c>
      <c r="F20" s="54">
        <f t="shared" si="3"/>
        <v>0.81937499999999996</v>
      </c>
    </row>
    <row r="21" spans="2:6" x14ac:dyDescent="0.25">
      <c r="B21" s="37" t="s">
        <v>18</v>
      </c>
      <c r="C21" s="51">
        <v>110</v>
      </c>
      <c r="D21" s="51">
        <f>SUMPRODUCT((MONTH(Transaktionen!$A$5:$A$1000)=$C$5)*(Transaktionen!$B$5:$B$1000=B21)*(Transaktionen!$E$5:$E$1000="Ausgabe")*Transaktionen!$F$5:$F$1000)</f>
        <v>49</v>
      </c>
      <c r="E21" s="51">
        <f t="shared" si="2"/>
        <v>61</v>
      </c>
      <c r="F21" s="52">
        <f t="shared" si="3"/>
        <v>0.44545454545454544</v>
      </c>
    </row>
    <row r="22" spans="2:6" x14ac:dyDescent="0.25">
      <c r="B22" s="41" t="s">
        <v>20</v>
      </c>
      <c r="C22" s="53">
        <v>220</v>
      </c>
      <c r="D22" s="53">
        <f>SUMPRODUCT((MONTH(Transaktionen!$A$5:$A$1000)=$C$5)*(Transaktionen!$B$5:$B$1000=B22)*(Transaktionen!$E$5:$E$1000="Ausgabe")*Transaktionen!$F$5:$F$1000)</f>
        <v>193.9</v>
      </c>
      <c r="E22" s="53">
        <f t="shared" si="2"/>
        <v>26.099999999999994</v>
      </c>
      <c r="F22" s="54">
        <f t="shared" si="3"/>
        <v>0.88136363636363635</v>
      </c>
    </row>
    <row r="23" spans="2:6" x14ac:dyDescent="0.25">
      <c r="B23" s="37" t="s">
        <v>22</v>
      </c>
      <c r="C23" s="51">
        <v>150</v>
      </c>
      <c r="D23" s="51">
        <f>SUMPRODUCT((MONTH(Transaktionen!$A$5:$A$1000)=$C$5)*(Transaktionen!$B$5:$B$1000=B23)*(Transaktionen!$E$5:$E$1000="Ausgabe")*Transaktionen!$F$5:$F$1000)</f>
        <v>275</v>
      </c>
      <c r="E23" s="51">
        <f t="shared" si="2"/>
        <v>-125</v>
      </c>
      <c r="F23" s="52">
        <f t="shared" si="3"/>
        <v>1.8333333333333333</v>
      </c>
    </row>
    <row r="24" spans="2:6" x14ac:dyDescent="0.25">
      <c r="B24" s="41" t="s">
        <v>24</v>
      </c>
      <c r="C24" s="53">
        <v>60</v>
      </c>
      <c r="D24" s="53">
        <f>SUMPRODUCT((MONTH(Transaktionen!$A$5:$A$1000)=$C$5)*(Transaktionen!$B$5:$B$1000=B24)*(Transaktionen!$E$5:$E$1000="Ausgabe")*Transaktionen!$F$5:$F$1000)</f>
        <v>42.89</v>
      </c>
      <c r="E24" s="53">
        <f t="shared" si="2"/>
        <v>17.11</v>
      </c>
      <c r="F24" s="54">
        <f t="shared" si="3"/>
        <v>0.71483333333333332</v>
      </c>
    </row>
    <row r="25" spans="2:6" x14ac:dyDescent="0.25">
      <c r="B25" s="37" t="s">
        <v>26</v>
      </c>
      <c r="C25" s="51">
        <v>30</v>
      </c>
      <c r="D25" s="51">
        <f>SUMPRODUCT((MONTH(Transaktionen!$A$5:$A$1000)=$C$5)*(Transaktionen!$B$5:$B$1000=B25)*(Transaktionen!$E$5:$E$1000="Ausgabe")*Transaktionen!$F$5:$F$1000)</f>
        <v>0</v>
      </c>
      <c r="E25" s="51">
        <f t="shared" si="2"/>
        <v>30</v>
      </c>
      <c r="F25" s="52">
        <f t="shared" si="3"/>
        <v>0</v>
      </c>
    </row>
    <row r="26" spans="2:6" x14ac:dyDescent="0.25">
      <c r="B26" s="41" t="s">
        <v>28</v>
      </c>
      <c r="C26" s="53">
        <v>80</v>
      </c>
      <c r="D26" s="53">
        <f>SUMPRODUCT((MONTH(Transaktionen!$A$5:$A$1000)=$C$5)*(Transaktionen!$B$5:$B$1000=B26)*(Transaktionen!$E$5:$E$1000="Ausgabe")*Transaktionen!$F$5:$F$1000)</f>
        <v>0</v>
      </c>
      <c r="E26" s="53">
        <f t="shared" si="2"/>
        <v>80</v>
      </c>
      <c r="F26" s="54">
        <f t="shared" si="3"/>
        <v>0</v>
      </c>
    </row>
    <row r="27" spans="2:6" x14ac:dyDescent="0.25">
      <c r="B27" s="37" t="s">
        <v>30</v>
      </c>
      <c r="C27" s="51">
        <v>40</v>
      </c>
      <c r="D27" s="51">
        <f>SUMPRODUCT((MONTH(Transaktionen!$A$5:$A$1000)=$C$5)*(Transaktionen!$B$5:$B$1000=B27)*(Transaktionen!$E$5:$E$1000="Ausgabe")*Transaktionen!$F$5:$F$1000)</f>
        <v>0</v>
      </c>
      <c r="E27" s="51">
        <f t="shared" si="2"/>
        <v>40</v>
      </c>
      <c r="F27" s="52">
        <f t="shared" si="3"/>
        <v>0</v>
      </c>
    </row>
    <row r="28" spans="2:6" x14ac:dyDescent="0.25">
      <c r="B28" s="41" t="s">
        <v>32</v>
      </c>
      <c r="C28" s="53">
        <v>60</v>
      </c>
      <c r="D28" s="53">
        <f>SUMPRODUCT((MONTH(Transaktionen!$A$5:$A$1000)=$C$5)*(Transaktionen!$B$5:$B$1000=B28)*(Transaktionen!$E$5:$E$1000="Ausgabe")*Transaktionen!$F$5:$F$1000)</f>
        <v>35</v>
      </c>
      <c r="E28" s="53">
        <f t="shared" si="2"/>
        <v>25</v>
      </c>
      <c r="F28" s="54">
        <f t="shared" si="3"/>
        <v>0.58333333333333337</v>
      </c>
    </row>
    <row r="29" spans="2:6" x14ac:dyDescent="0.25">
      <c r="B29" s="58" t="s">
        <v>144</v>
      </c>
      <c r="C29" s="59">
        <f>SUM(C19:C28)</f>
        <v>1950</v>
      </c>
      <c r="D29" s="59">
        <f>SUM(D19:D28)</f>
        <v>1722.9900000000002</v>
      </c>
      <c r="E29" s="59">
        <f t="shared" si="2"/>
        <v>227.00999999999976</v>
      </c>
      <c r="F29" s="60">
        <f t="shared" si="3"/>
        <v>0.88358461538461552</v>
      </c>
    </row>
    <row r="31" spans="2:6" ht="24" customHeight="1" x14ac:dyDescent="0.25">
      <c r="B31" s="61" t="s">
        <v>145</v>
      </c>
      <c r="C31" s="62">
        <f>C16-C29</f>
        <v>1230</v>
      </c>
      <c r="D31" s="62">
        <f>D16-D29</f>
        <v>1169.81</v>
      </c>
      <c r="E31" s="62">
        <f>D31-C31</f>
        <v>-60.190000000000055</v>
      </c>
      <c r="F31" s="63"/>
    </row>
    <row r="34" spans="2:6" x14ac:dyDescent="0.25">
      <c r="B34" s="34" t="s">
        <v>36</v>
      </c>
    </row>
    <row r="35" spans="2:6" ht="15" customHeight="1" x14ac:dyDescent="0.25">
      <c r="B35" s="9" t="s">
        <v>146</v>
      </c>
      <c r="C35" s="9"/>
      <c r="D35" s="9"/>
      <c r="E35" s="9"/>
      <c r="F35" s="9"/>
    </row>
    <row r="36" spans="2:6" x14ac:dyDescent="0.25">
      <c r="B36" s="9"/>
      <c r="C36" s="9"/>
      <c r="D36" s="9"/>
      <c r="E36" s="9"/>
      <c r="F36" s="9"/>
    </row>
    <row r="37" spans="2:6" x14ac:dyDescent="0.25">
      <c r="B37" s="9"/>
      <c r="C37" s="9"/>
      <c r="D37" s="9"/>
      <c r="E37" s="9"/>
      <c r="F37" s="9"/>
    </row>
  </sheetData>
  <mergeCells count="3">
    <mergeCell ref="B8:F8"/>
    <mergeCell ref="B18:F18"/>
    <mergeCell ref="B35:F37"/>
  </mergeCells>
  <conditionalFormatting sqref="E19:E28">
    <cfRule type="cellIs" dxfId="2" priority="4" operator="lessThan">
      <formula>0</formula>
    </cfRule>
    <cfRule type="cellIs" dxfId="1" priority="5" operator="greaterThan">
      <formula>0</formula>
    </cfRule>
  </conditionalFormatting>
  <conditionalFormatting sqref="F19:F28">
    <cfRule type="dataBar" priority="2">
      <dataBar>
        <cfvo type="num" val="0"/>
        <cfvo type="num" val="1.5"/>
        <color rgb="FF3D6FB3"/>
      </dataBar>
      <extLst>
        <ext xmlns:x14="http://schemas.microsoft.com/office/spreadsheetml/2009/9/main" uri="{B025F937-C7B1-47D3-B67F-A62EFF666E3E}">
          <x14:id>{9210C837-A685-4275-AFD7-40D54519C9CB}</x14:id>
        </ext>
      </extLst>
    </cfRule>
    <cfRule type="cellIs" dxfId="0" priority="3" operator="greaterThan">
      <formula>1</formula>
    </cfRule>
  </conditionalFormatting>
  <dataValidations count="1">
    <dataValidation type="list" error="Bitte eine Zahl zwischen 1 und 12 wählen." sqref="C5" xr:uid="{00000000-0002-0000-0200-000000000000}">
      <formula1>"1,2,3,4,5,6,7,8,9,10,11,12"</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dataBar" id="{9210C837-A685-4275-AFD7-40D54519C9CB}">
            <x14:dataBar axisPosition="none">
              <x14:cfvo type="num">
                <xm:f>0</xm:f>
              </x14:cfvo>
              <x14:cfvo type="num">
                <xm:f>1.5</xm:f>
              </x14:cfvo>
              <x14:negativeFillColor rgb="FF3D6FB3"/>
            </x14:dataBar>
          </x14:cfRule>
          <xm:sqref>F19:F28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17"/>
  <sheetViews>
    <sheetView showGridLines="0" zoomScaleNormal="100" workbookViewId="0"/>
  </sheetViews>
  <sheetFormatPr baseColWidth="10" defaultColWidth="8.7109375" defaultRowHeight="15" x14ac:dyDescent="0.25"/>
  <cols>
    <col min="1" max="1" width="2" customWidth="1"/>
    <col min="2" max="2" width="28" customWidth="1"/>
    <col min="3" max="3" width="22" customWidth="1"/>
    <col min="4" max="4" width="18" customWidth="1"/>
    <col min="5" max="5" width="4" customWidth="1"/>
    <col min="6" max="6" width="28" customWidth="1"/>
    <col min="7" max="7" width="22" customWidth="1"/>
    <col min="8" max="8" width="18" customWidth="1"/>
    <col min="9" max="9" width="2" customWidth="1"/>
  </cols>
  <sheetData>
    <row r="2" spans="2:8" ht="31.5" customHeight="1" x14ac:dyDescent="0.25">
      <c r="B2" s="15" t="s">
        <v>147</v>
      </c>
    </row>
    <row r="3" spans="2:8" x14ac:dyDescent="0.25">
      <c r="B3" s="16" t="s">
        <v>148</v>
      </c>
    </row>
    <row r="5" spans="2:8" x14ac:dyDescent="0.25">
      <c r="B5" s="6" t="s">
        <v>149</v>
      </c>
      <c r="C5" s="6"/>
      <c r="D5" s="6"/>
      <c r="F5" s="5" t="s">
        <v>150</v>
      </c>
      <c r="G5" s="5"/>
      <c r="H5" s="5"/>
    </row>
    <row r="6" spans="2:8" ht="33.75" customHeight="1" x14ac:dyDescent="0.4">
      <c r="B6" s="4">
        <f>D17-H17</f>
        <v>23520</v>
      </c>
      <c r="C6" s="4"/>
      <c r="D6" s="4"/>
      <c r="F6" s="3">
        <f>IF(D17=0,0,(D17-H17)/D17)</f>
        <v>0.74904458598726109</v>
      </c>
      <c r="G6" s="3"/>
      <c r="H6" s="3"/>
    </row>
    <row r="7" spans="2:8" ht="12" customHeight="1" x14ac:dyDescent="0.25"/>
    <row r="8" spans="2:8" ht="24" customHeight="1" x14ac:dyDescent="0.25">
      <c r="B8" s="2" t="s">
        <v>151</v>
      </c>
      <c r="C8" s="2"/>
      <c r="D8" s="2"/>
      <c r="F8" s="1" t="s">
        <v>152</v>
      </c>
      <c r="G8" s="1"/>
      <c r="H8" s="1"/>
    </row>
    <row r="9" spans="2:8" ht="21.75" customHeight="1" x14ac:dyDescent="0.25">
      <c r="B9" s="19" t="s">
        <v>153</v>
      </c>
      <c r="C9" s="19" t="s">
        <v>43</v>
      </c>
      <c r="D9" s="19" t="s">
        <v>154</v>
      </c>
      <c r="F9" s="19" t="s">
        <v>153</v>
      </c>
      <c r="G9" s="19" t="s">
        <v>43</v>
      </c>
      <c r="H9" s="19" t="s">
        <v>154</v>
      </c>
    </row>
    <row r="10" spans="2:8" x14ac:dyDescent="0.25">
      <c r="B10" s="37" t="s">
        <v>155</v>
      </c>
      <c r="C10" s="37" t="s">
        <v>78</v>
      </c>
      <c r="D10" s="51">
        <v>2150</v>
      </c>
      <c r="F10" s="37" t="s">
        <v>156</v>
      </c>
      <c r="G10" s="37" t="s">
        <v>157</v>
      </c>
      <c r="H10" s="51">
        <v>3400</v>
      </c>
    </row>
    <row r="11" spans="2:8" x14ac:dyDescent="0.25">
      <c r="B11" s="41" t="s">
        <v>158</v>
      </c>
      <c r="C11" s="41" t="s">
        <v>159</v>
      </c>
      <c r="D11" s="53">
        <v>6800</v>
      </c>
      <c r="F11" s="41" t="s">
        <v>160</v>
      </c>
      <c r="G11" s="41" t="s">
        <v>161</v>
      </c>
      <c r="H11" s="53">
        <v>480</v>
      </c>
    </row>
    <row r="12" spans="2:8" x14ac:dyDescent="0.25">
      <c r="B12" s="37" t="s">
        <v>162</v>
      </c>
      <c r="C12" s="37" t="s">
        <v>159</v>
      </c>
      <c r="D12" s="51">
        <v>4500</v>
      </c>
      <c r="F12" s="37" t="s">
        <v>163</v>
      </c>
      <c r="G12" s="37" t="s">
        <v>32</v>
      </c>
      <c r="H12" s="51">
        <v>1200</v>
      </c>
    </row>
    <row r="13" spans="2:8" x14ac:dyDescent="0.25">
      <c r="B13" s="41" t="s">
        <v>164</v>
      </c>
      <c r="C13" s="41" t="s">
        <v>165</v>
      </c>
      <c r="D13" s="53">
        <v>12400</v>
      </c>
      <c r="F13" s="41" t="s">
        <v>166</v>
      </c>
      <c r="G13" s="41" t="s">
        <v>167</v>
      </c>
      <c r="H13" s="53">
        <v>2800</v>
      </c>
    </row>
    <row r="14" spans="2:8" x14ac:dyDescent="0.25">
      <c r="B14" s="37" t="s">
        <v>168</v>
      </c>
      <c r="C14" s="37" t="s">
        <v>169</v>
      </c>
      <c r="D14" s="51">
        <v>3200</v>
      </c>
      <c r="F14" s="37" t="s">
        <v>170</v>
      </c>
      <c r="G14" s="37" t="s">
        <v>161</v>
      </c>
      <c r="H14" s="51"/>
    </row>
    <row r="15" spans="2:8" x14ac:dyDescent="0.25">
      <c r="B15" s="41" t="s">
        <v>171</v>
      </c>
      <c r="C15" s="41" t="s">
        <v>172</v>
      </c>
      <c r="D15" s="53">
        <v>850</v>
      </c>
      <c r="F15" s="41" t="s">
        <v>173</v>
      </c>
      <c r="G15" s="41" t="s">
        <v>32</v>
      </c>
      <c r="H15" s="53"/>
    </row>
    <row r="16" spans="2:8" x14ac:dyDescent="0.25">
      <c r="B16" s="37" t="s">
        <v>174</v>
      </c>
      <c r="C16" s="37" t="s">
        <v>32</v>
      </c>
      <c r="D16" s="51">
        <v>1500</v>
      </c>
      <c r="F16" s="37"/>
      <c r="G16" s="37"/>
      <c r="H16" s="51"/>
    </row>
    <row r="17" spans="2:8" x14ac:dyDescent="0.25">
      <c r="B17" s="64" t="s">
        <v>175</v>
      </c>
      <c r="C17" s="64"/>
      <c r="D17" s="65">
        <f>SUM(D10:D16)</f>
        <v>31400</v>
      </c>
      <c r="F17" s="66" t="s">
        <v>176</v>
      </c>
      <c r="G17" s="66"/>
      <c r="H17" s="67">
        <f>SUM(H10:H16)</f>
        <v>7880</v>
      </c>
    </row>
  </sheetData>
  <mergeCells count="6">
    <mergeCell ref="B5:D5"/>
    <mergeCell ref="F5:H5"/>
    <mergeCell ref="B6:D6"/>
    <mergeCell ref="F6:H6"/>
    <mergeCell ref="B8:D8"/>
    <mergeCell ref="F8:H8"/>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2"/>
  <sheetViews>
    <sheetView showGridLines="0" zoomScaleNormal="100" workbookViewId="0"/>
  </sheetViews>
  <sheetFormatPr baseColWidth="10" defaultColWidth="8.7109375" defaultRowHeight="15" x14ac:dyDescent="0.25"/>
  <cols>
    <col min="1" max="1" width="2" customWidth="1"/>
    <col min="2" max="2" width="28" customWidth="1"/>
    <col min="3" max="3" width="4" customWidth="1"/>
    <col min="4" max="4" width="28" customWidth="1"/>
    <col min="5" max="5" width="4" customWidth="1"/>
    <col min="6" max="6" width="28" customWidth="1"/>
    <col min="7" max="7" width="2" customWidth="1"/>
    <col min="8" max="8" width="28" customWidth="1"/>
  </cols>
  <sheetData>
    <row r="2" spans="2:8" ht="31.5" customHeight="1" x14ac:dyDescent="0.25">
      <c r="B2" s="15" t="s">
        <v>177</v>
      </c>
    </row>
    <row r="3" spans="2:8" x14ac:dyDescent="0.25">
      <c r="B3" s="16" t="s">
        <v>178</v>
      </c>
    </row>
    <row r="5" spans="2:8" x14ac:dyDescent="0.25">
      <c r="B5" s="68" t="s">
        <v>179</v>
      </c>
      <c r="D5" s="69" t="s">
        <v>180</v>
      </c>
      <c r="F5" s="70" t="s">
        <v>181</v>
      </c>
      <c r="H5" s="71" t="s">
        <v>182</v>
      </c>
    </row>
    <row r="6" spans="2:8" x14ac:dyDescent="0.25">
      <c r="B6" s="24" t="s">
        <v>47</v>
      </c>
      <c r="D6" s="24" t="s">
        <v>14</v>
      </c>
      <c r="F6" s="24" t="s">
        <v>51</v>
      </c>
      <c r="H6" s="72" t="s">
        <v>47</v>
      </c>
    </row>
    <row r="7" spans="2:8" x14ac:dyDescent="0.25">
      <c r="B7" s="30" t="s">
        <v>71</v>
      </c>
      <c r="D7" s="30" t="s">
        <v>16</v>
      </c>
      <c r="F7" s="30" t="s">
        <v>90</v>
      </c>
      <c r="H7" s="72" t="s">
        <v>71</v>
      </c>
    </row>
    <row r="8" spans="2:8" x14ac:dyDescent="0.25">
      <c r="B8" s="24" t="s">
        <v>87</v>
      </c>
      <c r="D8" s="24" t="s">
        <v>18</v>
      </c>
      <c r="F8" s="24" t="s">
        <v>63</v>
      </c>
      <c r="H8" s="72" t="s">
        <v>87</v>
      </c>
    </row>
    <row r="9" spans="2:8" x14ac:dyDescent="0.25">
      <c r="B9" s="30" t="s">
        <v>140</v>
      </c>
      <c r="D9" s="30" t="s">
        <v>20</v>
      </c>
      <c r="F9" s="30" t="s">
        <v>78</v>
      </c>
      <c r="H9" s="72" t="s">
        <v>140</v>
      </c>
    </row>
    <row r="10" spans="2:8" x14ac:dyDescent="0.25">
      <c r="B10" s="24" t="s">
        <v>111</v>
      </c>
      <c r="D10" s="24" t="s">
        <v>22</v>
      </c>
      <c r="F10" s="24" t="s">
        <v>183</v>
      </c>
      <c r="H10" s="72" t="s">
        <v>111</v>
      </c>
    </row>
    <row r="11" spans="2:8" x14ac:dyDescent="0.25">
      <c r="B11" s="30" t="s">
        <v>85</v>
      </c>
      <c r="D11" s="30" t="s">
        <v>24</v>
      </c>
      <c r="F11" s="30" t="s">
        <v>127</v>
      </c>
      <c r="H11" s="72" t="s">
        <v>85</v>
      </c>
    </row>
    <row r="12" spans="2:8" x14ac:dyDescent="0.25">
      <c r="B12" s="24" t="s">
        <v>141</v>
      </c>
      <c r="D12" s="24" t="s">
        <v>26</v>
      </c>
      <c r="F12" s="24" t="s">
        <v>184</v>
      </c>
      <c r="H12" s="72" t="s">
        <v>141</v>
      </c>
    </row>
    <row r="13" spans="2:8" x14ac:dyDescent="0.25">
      <c r="D13" s="30" t="s">
        <v>28</v>
      </c>
      <c r="H13" s="72" t="s">
        <v>14</v>
      </c>
    </row>
    <row r="14" spans="2:8" x14ac:dyDescent="0.25">
      <c r="D14" s="24" t="s">
        <v>30</v>
      </c>
      <c r="H14" s="72" t="s">
        <v>16</v>
      </c>
    </row>
    <row r="15" spans="2:8" x14ac:dyDescent="0.25">
      <c r="D15" s="30" t="s">
        <v>32</v>
      </c>
      <c r="H15" s="72" t="s">
        <v>18</v>
      </c>
    </row>
    <row r="16" spans="2:8" x14ac:dyDescent="0.25">
      <c r="H16" s="72" t="s">
        <v>20</v>
      </c>
    </row>
    <row r="17" spans="2:8" x14ac:dyDescent="0.25">
      <c r="B17" s="73" t="s">
        <v>185</v>
      </c>
      <c r="H17" s="72" t="s">
        <v>22</v>
      </c>
    </row>
    <row r="18" spans="2:8" ht="15" customHeight="1" x14ac:dyDescent="0.25">
      <c r="B18" s="9" t="s">
        <v>186</v>
      </c>
      <c r="C18" s="9"/>
      <c r="D18" s="9"/>
      <c r="E18" s="9"/>
      <c r="F18" s="9"/>
      <c r="H18" s="72" t="s">
        <v>24</v>
      </c>
    </row>
    <row r="19" spans="2:8" x14ac:dyDescent="0.25">
      <c r="B19" s="9"/>
      <c r="C19" s="9"/>
      <c r="D19" s="9"/>
      <c r="E19" s="9"/>
      <c r="F19" s="9"/>
      <c r="H19" s="72" t="s">
        <v>26</v>
      </c>
    </row>
    <row r="20" spans="2:8" x14ac:dyDescent="0.25">
      <c r="B20" s="9"/>
      <c r="C20" s="9"/>
      <c r="D20" s="9"/>
      <c r="E20" s="9"/>
      <c r="F20" s="9"/>
      <c r="H20" s="72" t="s">
        <v>28</v>
      </c>
    </row>
    <row r="21" spans="2:8" x14ac:dyDescent="0.25">
      <c r="B21" s="9"/>
      <c r="C21" s="9"/>
      <c r="D21" s="9"/>
      <c r="E21" s="9"/>
      <c r="F21" s="9"/>
      <c r="H21" s="72" t="s">
        <v>30</v>
      </c>
    </row>
    <row r="22" spans="2:8" x14ac:dyDescent="0.25">
      <c r="B22" s="9"/>
      <c r="C22" s="9"/>
      <c r="D22" s="9"/>
      <c r="E22" s="9"/>
      <c r="F22" s="9"/>
      <c r="H22" s="72" t="s">
        <v>32</v>
      </c>
    </row>
  </sheetData>
  <mergeCells count="1">
    <mergeCell ref="B18:F2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Übersicht</vt:lpstr>
      <vt:lpstr>Transaktionen</vt:lpstr>
      <vt:lpstr>Monatsbudget</vt:lpstr>
      <vt:lpstr>Vermögen</vt:lpstr>
      <vt:lpstr>Einstellungen</vt:lpstr>
      <vt:lpstr>AlleKategorien</vt:lpstr>
      <vt:lpstr>Ausgabekategorien</vt:lpstr>
      <vt:lpstr>Einnahmekategorien</vt:lpstr>
      <vt:lpstr>Konten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1</cp:revision>
  <dcterms:created xsi:type="dcterms:W3CDTF">2026-05-30T11:08:09Z</dcterms:created>
  <dcterms:modified xsi:type="dcterms:W3CDTF">2026-05-30T11:12:16Z</dcterms:modified>
  <dc:language>en-US</dc:language>
</cp:coreProperties>
</file>