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90FBEA0D-EE29-465A-BDE9-C3F28E06C8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Übersicht" sheetId="1" r:id="rId1"/>
    <sheet name="Planung" sheetId="2" r:id="rId2"/>
    <sheet name="Buchungen" sheetId="3" r:id="rId3"/>
    <sheet name="Ziele &amp; Vermögen" sheetId="4" r:id="rId4"/>
    <sheet name="Listen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4" l="1"/>
  <c r="H34" i="4" s="1"/>
  <c r="F34" i="4"/>
  <c r="G33" i="4"/>
  <c r="H33" i="4" s="1"/>
  <c r="C33" i="4"/>
  <c r="F33" i="4" s="1"/>
  <c r="G32" i="4"/>
  <c r="H32" i="4" s="1"/>
  <c r="F32" i="4"/>
  <c r="C31" i="4"/>
  <c r="F31" i="4" s="1"/>
  <c r="G30" i="4"/>
  <c r="H30" i="4" s="1"/>
  <c r="F30" i="4"/>
  <c r="H29" i="4"/>
  <c r="G29" i="4"/>
  <c r="F29" i="4"/>
  <c r="B9" i="4" s="1"/>
  <c r="C29" i="4"/>
  <c r="B7" i="4"/>
  <c r="B8" i="4" s="1"/>
  <c r="B15" i="1" s="1"/>
  <c r="B6" i="4"/>
  <c r="B14" i="1" s="1"/>
  <c r="B5" i="4"/>
  <c r="B4" i="4"/>
  <c r="K330" i="3"/>
  <c r="J330" i="3"/>
  <c r="I330" i="3"/>
  <c r="H330" i="3"/>
  <c r="K329" i="3"/>
  <c r="J329" i="3"/>
  <c r="I329" i="3"/>
  <c r="H329" i="3"/>
  <c r="K328" i="3"/>
  <c r="J328" i="3"/>
  <c r="I328" i="3"/>
  <c r="H328" i="3"/>
  <c r="K327" i="3"/>
  <c r="J327" i="3"/>
  <c r="I327" i="3"/>
  <c r="H327" i="3"/>
  <c r="K326" i="3"/>
  <c r="J326" i="3"/>
  <c r="I326" i="3"/>
  <c r="H326" i="3"/>
  <c r="K325" i="3"/>
  <c r="J325" i="3"/>
  <c r="I325" i="3"/>
  <c r="H325" i="3"/>
  <c r="K324" i="3"/>
  <c r="J324" i="3"/>
  <c r="I324" i="3"/>
  <c r="H324" i="3"/>
  <c r="K323" i="3"/>
  <c r="J323" i="3"/>
  <c r="I323" i="3"/>
  <c r="H323" i="3"/>
  <c r="K322" i="3"/>
  <c r="J322" i="3"/>
  <c r="I322" i="3"/>
  <c r="H322" i="3"/>
  <c r="K321" i="3"/>
  <c r="J321" i="3"/>
  <c r="I321" i="3"/>
  <c r="H321" i="3"/>
  <c r="K320" i="3"/>
  <c r="J320" i="3"/>
  <c r="I320" i="3"/>
  <c r="H320" i="3"/>
  <c r="K319" i="3"/>
  <c r="J319" i="3"/>
  <c r="I319" i="3"/>
  <c r="H319" i="3"/>
  <c r="K318" i="3"/>
  <c r="J318" i="3"/>
  <c r="I318" i="3"/>
  <c r="H318" i="3"/>
  <c r="K317" i="3"/>
  <c r="J317" i="3"/>
  <c r="I317" i="3"/>
  <c r="H317" i="3"/>
  <c r="K316" i="3"/>
  <c r="J316" i="3"/>
  <c r="I316" i="3"/>
  <c r="H316" i="3"/>
  <c r="K315" i="3"/>
  <c r="J315" i="3"/>
  <c r="I315" i="3"/>
  <c r="H315" i="3"/>
  <c r="K314" i="3"/>
  <c r="J314" i="3"/>
  <c r="I314" i="3"/>
  <c r="H314" i="3"/>
  <c r="K313" i="3"/>
  <c r="J313" i="3"/>
  <c r="I313" i="3"/>
  <c r="H313" i="3"/>
  <c r="K312" i="3"/>
  <c r="J312" i="3"/>
  <c r="I312" i="3"/>
  <c r="H312" i="3"/>
  <c r="K311" i="3"/>
  <c r="J311" i="3"/>
  <c r="I311" i="3"/>
  <c r="H311" i="3"/>
  <c r="K310" i="3"/>
  <c r="J310" i="3"/>
  <c r="I310" i="3"/>
  <c r="H310" i="3"/>
  <c r="K309" i="3"/>
  <c r="J309" i="3"/>
  <c r="I309" i="3"/>
  <c r="H309" i="3"/>
  <c r="K308" i="3"/>
  <c r="J308" i="3"/>
  <c r="I308" i="3"/>
  <c r="H308" i="3"/>
  <c r="K307" i="3"/>
  <c r="J307" i="3"/>
  <c r="I307" i="3"/>
  <c r="H307" i="3"/>
  <c r="K306" i="3"/>
  <c r="J306" i="3"/>
  <c r="I306" i="3"/>
  <c r="H306" i="3"/>
  <c r="K305" i="3"/>
  <c r="J305" i="3"/>
  <c r="I305" i="3"/>
  <c r="H305" i="3"/>
  <c r="K304" i="3"/>
  <c r="J304" i="3"/>
  <c r="I304" i="3"/>
  <c r="H304" i="3"/>
  <c r="K303" i="3"/>
  <c r="J303" i="3"/>
  <c r="I303" i="3"/>
  <c r="H303" i="3"/>
  <c r="K302" i="3"/>
  <c r="J302" i="3"/>
  <c r="I302" i="3"/>
  <c r="H302" i="3"/>
  <c r="K301" i="3"/>
  <c r="J301" i="3"/>
  <c r="I301" i="3"/>
  <c r="H301" i="3"/>
  <c r="K300" i="3"/>
  <c r="J300" i="3"/>
  <c r="I300" i="3"/>
  <c r="H300" i="3"/>
  <c r="K299" i="3"/>
  <c r="J299" i="3"/>
  <c r="I299" i="3"/>
  <c r="H299" i="3"/>
  <c r="K298" i="3"/>
  <c r="J298" i="3"/>
  <c r="I298" i="3"/>
  <c r="H298" i="3"/>
  <c r="K297" i="3"/>
  <c r="J297" i="3"/>
  <c r="I297" i="3"/>
  <c r="H297" i="3"/>
  <c r="K296" i="3"/>
  <c r="J296" i="3"/>
  <c r="I296" i="3"/>
  <c r="H296" i="3"/>
  <c r="K295" i="3"/>
  <c r="J295" i="3"/>
  <c r="I295" i="3"/>
  <c r="H295" i="3"/>
  <c r="K294" i="3"/>
  <c r="J294" i="3"/>
  <c r="I294" i="3"/>
  <c r="H294" i="3"/>
  <c r="K293" i="3"/>
  <c r="J293" i="3"/>
  <c r="I293" i="3"/>
  <c r="H293" i="3"/>
  <c r="K292" i="3"/>
  <c r="J292" i="3"/>
  <c r="I292" i="3"/>
  <c r="H292" i="3"/>
  <c r="K291" i="3"/>
  <c r="J291" i="3"/>
  <c r="I291" i="3"/>
  <c r="H291" i="3"/>
  <c r="K290" i="3"/>
  <c r="J290" i="3"/>
  <c r="I290" i="3"/>
  <c r="H290" i="3"/>
  <c r="K289" i="3"/>
  <c r="J289" i="3"/>
  <c r="I289" i="3"/>
  <c r="H289" i="3"/>
  <c r="K288" i="3"/>
  <c r="J288" i="3"/>
  <c r="I288" i="3"/>
  <c r="H288" i="3"/>
  <c r="K287" i="3"/>
  <c r="J287" i="3"/>
  <c r="I287" i="3"/>
  <c r="H287" i="3"/>
  <c r="K286" i="3"/>
  <c r="J286" i="3"/>
  <c r="I286" i="3"/>
  <c r="H286" i="3"/>
  <c r="K285" i="3"/>
  <c r="J285" i="3"/>
  <c r="I285" i="3"/>
  <c r="H285" i="3"/>
  <c r="K284" i="3"/>
  <c r="J284" i="3"/>
  <c r="I284" i="3"/>
  <c r="H284" i="3"/>
  <c r="K283" i="3"/>
  <c r="J283" i="3"/>
  <c r="I283" i="3"/>
  <c r="H283" i="3"/>
  <c r="K282" i="3"/>
  <c r="J282" i="3"/>
  <c r="I282" i="3"/>
  <c r="H282" i="3"/>
  <c r="K281" i="3"/>
  <c r="J281" i="3"/>
  <c r="I281" i="3"/>
  <c r="H281" i="3"/>
  <c r="K280" i="3"/>
  <c r="J280" i="3"/>
  <c r="I280" i="3"/>
  <c r="H280" i="3"/>
  <c r="K279" i="3"/>
  <c r="J279" i="3"/>
  <c r="I279" i="3"/>
  <c r="H279" i="3"/>
  <c r="K278" i="3"/>
  <c r="J278" i="3"/>
  <c r="I278" i="3"/>
  <c r="H278" i="3"/>
  <c r="K277" i="3"/>
  <c r="J277" i="3"/>
  <c r="I277" i="3"/>
  <c r="H277" i="3"/>
  <c r="K276" i="3"/>
  <c r="J276" i="3"/>
  <c r="I276" i="3"/>
  <c r="H276" i="3"/>
  <c r="K275" i="3"/>
  <c r="J275" i="3"/>
  <c r="I275" i="3"/>
  <c r="H275" i="3"/>
  <c r="K274" i="3"/>
  <c r="J274" i="3"/>
  <c r="I274" i="3"/>
  <c r="H274" i="3"/>
  <c r="K273" i="3"/>
  <c r="J273" i="3"/>
  <c r="I273" i="3"/>
  <c r="H273" i="3"/>
  <c r="K272" i="3"/>
  <c r="J272" i="3"/>
  <c r="I272" i="3"/>
  <c r="H272" i="3"/>
  <c r="K271" i="3"/>
  <c r="J271" i="3"/>
  <c r="I271" i="3"/>
  <c r="H271" i="3"/>
  <c r="K270" i="3"/>
  <c r="J270" i="3"/>
  <c r="I270" i="3"/>
  <c r="H270" i="3"/>
  <c r="K269" i="3"/>
  <c r="J269" i="3"/>
  <c r="I269" i="3"/>
  <c r="H269" i="3"/>
  <c r="K268" i="3"/>
  <c r="J268" i="3"/>
  <c r="I268" i="3"/>
  <c r="H268" i="3"/>
  <c r="K267" i="3"/>
  <c r="J267" i="3"/>
  <c r="I267" i="3"/>
  <c r="H267" i="3"/>
  <c r="K266" i="3"/>
  <c r="J266" i="3"/>
  <c r="I266" i="3"/>
  <c r="H266" i="3"/>
  <c r="K265" i="3"/>
  <c r="J265" i="3"/>
  <c r="I265" i="3"/>
  <c r="H265" i="3"/>
  <c r="K264" i="3"/>
  <c r="J264" i="3"/>
  <c r="I264" i="3"/>
  <c r="H264" i="3"/>
  <c r="K263" i="3"/>
  <c r="J263" i="3"/>
  <c r="I263" i="3"/>
  <c r="H263" i="3"/>
  <c r="K262" i="3"/>
  <c r="J262" i="3"/>
  <c r="I262" i="3"/>
  <c r="H262" i="3"/>
  <c r="K261" i="3"/>
  <c r="J261" i="3"/>
  <c r="I261" i="3"/>
  <c r="H261" i="3"/>
  <c r="K260" i="3"/>
  <c r="J260" i="3"/>
  <c r="I260" i="3"/>
  <c r="H260" i="3"/>
  <c r="K259" i="3"/>
  <c r="J259" i="3"/>
  <c r="I259" i="3"/>
  <c r="H259" i="3"/>
  <c r="I21" i="2" s="1"/>
  <c r="K258" i="3"/>
  <c r="J258" i="3"/>
  <c r="I258" i="3"/>
  <c r="H258" i="3"/>
  <c r="K257" i="3"/>
  <c r="J257" i="3"/>
  <c r="I257" i="3"/>
  <c r="H257" i="3"/>
  <c r="K256" i="3"/>
  <c r="J256" i="3"/>
  <c r="I256" i="3"/>
  <c r="H256" i="3"/>
  <c r="K255" i="3"/>
  <c r="J255" i="3"/>
  <c r="I255" i="3"/>
  <c r="H255" i="3"/>
  <c r="K254" i="3"/>
  <c r="J254" i="3"/>
  <c r="I254" i="3"/>
  <c r="H254" i="3"/>
  <c r="K253" i="3"/>
  <c r="J253" i="3"/>
  <c r="I253" i="3"/>
  <c r="H253" i="3"/>
  <c r="K252" i="3"/>
  <c r="J252" i="3"/>
  <c r="I252" i="3"/>
  <c r="H252" i="3"/>
  <c r="K251" i="3"/>
  <c r="J251" i="3"/>
  <c r="I251" i="3"/>
  <c r="H251" i="3"/>
  <c r="K250" i="3"/>
  <c r="J250" i="3"/>
  <c r="I250" i="3"/>
  <c r="H250" i="3"/>
  <c r="K249" i="3"/>
  <c r="J249" i="3"/>
  <c r="I249" i="3"/>
  <c r="H249" i="3"/>
  <c r="K248" i="3"/>
  <c r="J248" i="3"/>
  <c r="I248" i="3"/>
  <c r="H248" i="3"/>
  <c r="K247" i="3"/>
  <c r="J247" i="3"/>
  <c r="I247" i="3"/>
  <c r="H247" i="3"/>
  <c r="K246" i="3"/>
  <c r="J246" i="3"/>
  <c r="I246" i="3"/>
  <c r="H246" i="3"/>
  <c r="K245" i="3"/>
  <c r="J245" i="3"/>
  <c r="I245" i="3"/>
  <c r="H245" i="3"/>
  <c r="K244" i="3"/>
  <c r="J244" i="3"/>
  <c r="I244" i="3"/>
  <c r="H244" i="3"/>
  <c r="K243" i="3"/>
  <c r="J243" i="3"/>
  <c r="I243" i="3"/>
  <c r="H243" i="3"/>
  <c r="K242" i="3"/>
  <c r="J242" i="3"/>
  <c r="I242" i="3"/>
  <c r="H242" i="3"/>
  <c r="K241" i="3"/>
  <c r="J241" i="3"/>
  <c r="I241" i="3"/>
  <c r="H241" i="3"/>
  <c r="K240" i="3"/>
  <c r="J240" i="3"/>
  <c r="I240" i="3"/>
  <c r="H240" i="3"/>
  <c r="K239" i="3"/>
  <c r="J239" i="3"/>
  <c r="I239" i="3"/>
  <c r="H239" i="3"/>
  <c r="N19" i="2" s="1"/>
  <c r="K238" i="3"/>
  <c r="J238" i="3"/>
  <c r="I238" i="3"/>
  <c r="H238" i="3"/>
  <c r="K237" i="3"/>
  <c r="J237" i="3"/>
  <c r="I237" i="3"/>
  <c r="H237" i="3"/>
  <c r="K236" i="3"/>
  <c r="J236" i="3"/>
  <c r="I236" i="3"/>
  <c r="H236" i="3"/>
  <c r="K235" i="3"/>
  <c r="J235" i="3"/>
  <c r="I235" i="3"/>
  <c r="H235" i="3"/>
  <c r="K234" i="3"/>
  <c r="J234" i="3"/>
  <c r="I234" i="3"/>
  <c r="H234" i="3"/>
  <c r="K233" i="3"/>
  <c r="J233" i="3"/>
  <c r="I233" i="3"/>
  <c r="H233" i="3"/>
  <c r="K232" i="3"/>
  <c r="J232" i="3"/>
  <c r="I232" i="3"/>
  <c r="H232" i="3"/>
  <c r="K231" i="3"/>
  <c r="J231" i="3"/>
  <c r="I231" i="3"/>
  <c r="H231" i="3"/>
  <c r="K230" i="3"/>
  <c r="J230" i="3"/>
  <c r="I230" i="3"/>
  <c r="H230" i="3"/>
  <c r="K229" i="3"/>
  <c r="J229" i="3"/>
  <c r="I229" i="3"/>
  <c r="H229" i="3"/>
  <c r="K228" i="3"/>
  <c r="J228" i="3"/>
  <c r="I228" i="3"/>
  <c r="H228" i="3"/>
  <c r="K227" i="3"/>
  <c r="J227" i="3"/>
  <c r="I227" i="3"/>
  <c r="H227" i="3"/>
  <c r="K226" i="3"/>
  <c r="J226" i="3"/>
  <c r="I226" i="3"/>
  <c r="H226" i="3"/>
  <c r="K225" i="3"/>
  <c r="J225" i="3"/>
  <c r="I225" i="3"/>
  <c r="H225" i="3"/>
  <c r="K224" i="3"/>
  <c r="J224" i="3"/>
  <c r="I224" i="3"/>
  <c r="H224" i="3"/>
  <c r="K223" i="3"/>
  <c r="J223" i="3"/>
  <c r="I223" i="3"/>
  <c r="H223" i="3"/>
  <c r="K222" i="3"/>
  <c r="J222" i="3"/>
  <c r="I222" i="3"/>
  <c r="H222" i="3"/>
  <c r="K221" i="3"/>
  <c r="J221" i="3"/>
  <c r="I221" i="3"/>
  <c r="H221" i="3"/>
  <c r="K220" i="3"/>
  <c r="J220" i="3"/>
  <c r="I220" i="3"/>
  <c r="H220" i="3"/>
  <c r="K219" i="3"/>
  <c r="J219" i="3"/>
  <c r="I219" i="3"/>
  <c r="H219" i="3"/>
  <c r="K218" i="3"/>
  <c r="J218" i="3"/>
  <c r="I218" i="3"/>
  <c r="H218" i="3"/>
  <c r="K217" i="3"/>
  <c r="J217" i="3"/>
  <c r="I217" i="3"/>
  <c r="H217" i="3"/>
  <c r="K216" i="3"/>
  <c r="J216" i="3"/>
  <c r="I216" i="3"/>
  <c r="H216" i="3"/>
  <c r="K215" i="3"/>
  <c r="J215" i="3"/>
  <c r="I215" i="3"/>
  <c r="H215" i="3"/>
  <c r="K214" i="3"/>
  <c r="J214" i="3"/>
  <c r="I214" i="3"/>
  <c r="H214" i="3"/>
  <c r="K213" i="3"/>
  <c r="J213" i="3"/>
  <c r="I213" i="3"/>
  <c r="H213" i="3"/>
  <c r="K212" i="3"/>
  <c r="J212" i="3"/>
  <c r="I212" i="3"/>
  <c r="H212" i="3"/>
  <c r="K211" i="3"/>
  <c r="J211" i="3"/>
  <c r="I211" i="3"/>
  <c r="H211" i="3"/>
  <c r="K210" i="3"/>
  <c r="J210" i="3"/>
  <c r="I210" i="3"/>
  <c r="H210" i="3"/>
  <c r="K209" i="3"/>
  <c r="J209" i="3"/>
  <c r="I209" i="3"/>
  <c r="H209" i="3"/>
  <c r="K208" i="3"/>
  <c r="J208" i="3"/>
  <c r="N11" i="2" s="1"/>
  <c r="I208" i="3"/>
  <c r="H208" i="3"/>
  <c r="K207" i="3"/>
  <c r="J207" i="3"/>
  <c r="I207" i="3"/>
  <c r="H207" i="3"/>
  <c r="K206" i="3"/>
  <c r="J206" i="3"/>
  <c r="I206" i="3"/>
  <c r="H206" i="3"/>
  <c r="K205" i="3"/>
  <c r="J205" i="3"/>
  <c r="I205" i="3"/>
  <c r="H205" i="3"/>
  <c r="K204" i="3"/>
  <c r="J204" i="3"/>
  <c r="I204" i="3"/>
  <c r="H204" i="3"/>
  <c r="K203" i="3"/>
  <c r="J203" i="3"/>
  <c r="I203" i="3"/>
  <c r="H203" i="3"/>
  <c r="K202" i="3"/>
  <c r="J202" i="3"/>
  <c r="I202" i="3"/>
  <c r="H202" i="3"/>
  <c r="K201" i="3"/>
  <c r="J201" i="3"/>
  <c r="I201" i="3"/>
  <c r="H201" i="3"/>
  <c r="K200" i="3"/>
  <c r="J200" i="3"/>
  <c r="I200" i="3"/>
  <c r="H200" i="3"/>
  <c r="K199" i="3"/>
  <c r="J199" i="3"/>
  <c r="I199" i="3"/>
  <c r="H199" i="3"/>
  <c r="K198" i="3"/>
  <c r="J198" i="3"/>
  <c r="I198" i="3"/>
  <c r="H198" i="3"/>
  <c r="K197" i="3"/>
  <c r="J197" i="3"/>
  <c r="I197" i="3"/>
  <c r="H197" i="3"/>
  <c r="K196" i="3"/>
  <c r="J196" i="3"/>
  <c r="I196" i="3"/>
  <c r="H196" i="3"/>
  <c r="K195" i="3"/>
  <c r="J195" i="3"/>
  <c r="I195" i="3"/>
  <c r="H195" i="3"/>
  <c r="K194" i="3"/>
  <c r="J194" i="3"/>
  <c r="I194" i="3"/>
  <c r="H194" i="3"/>
  <c r="K193" i="3"/>
  <c r="J193" i="3"/>
  <c r="I193" i="3"/>
  <c r="H193" i="3"/>
  <c r="K192" i="3"/>
  <c r="J192" i="3"/>
  <c r="I192" i="3"/>
  <c r="H192" i="3"/>
  <c r="K191" i="3"/>
  <c r="J191" i="3"/>
  <c r="I191" i="3"/>
  <c r="H191" i="3"/>
  <c r="K190" i="3"/>
  <c r="J190" i="3"/>
  <c r="I190" i="3"/>
  <c r="H190" i="3"/>
  <c r="K189" i="3"/>
  <c r="J189" i="3"/>
  <c r="I189" i="3"/>
  <c r="H189" i="3"/>
  <c r="K188" i="3"/>
  <c r="J188" i="3"/>
  <c r="I188" i="3"/>
  <c r="H188" i="3"/>
  <c r="K187" i="3"/>
  <c r="J187" i="3"/>
  <c r="I187" i="3"/>
  <c r="H187" i="3"/>
  <c r="K186" i="3"/>
  <c r="J186" i="3"/>
  <c r="I186" i="3"/>
  <c r="H186" i="3"/>
  <c r="K185" i="3"/>
  <c r="J185" i="3"/>
  <c r="I185" i="3"/>
  <c r="H185" i="3"/>
  <c r="K184" i="3"/>
  <c r="J184" i="3"/>
  <c r="I184" i="3"/>
  <c r="H184" i="3"/>
  <c r="K183" i="3"/>
  <c r="J183" i="3"/>
  <c r="I183" i="3"/>
  <c r="H183" i="3"/>
  <c r="K182" i="3"/>
  <c r="J182" i="3"/>
  <c r="I182" i="3"/>
  <c r="H182" i="3"/>
  <c r="K181" i="3"/>
  <c r="J181" i="3"/>
  <c r="I181" i="3"/>
  <c r="H181" i="3"/>
  <c r="K180" i="3"/>
  <c r="J180" i="3"/>
  <c r="I180" i="3"/>
  <c r="H180" i="3"/>
  <c r="K179" i="3"/>
  <c r="J179" i="3"/>
  <c r="I179" i="3"/>
  <c r="H179" i="3"/>
  <c r="K178" i="3"/>
  <c r="J178" i="3"/>
  <c r="I178" i="3"/>
  <c r="H178" i="3"/>
  <c r="K177" i="3"/>
  <c r="J177" i="3"/>
  <c r="I177" i="3"/>
  <c r="H177" i="3"/>
  <c r="K176" i="3"/>
  <c r="J176" i="3"/>
  <c r="I176" i="3"/>
  <c r="H176" i="3"/>
  <c r="K175" i="3"/>
  <c r="J175" i="3"/>
  <c r="I175" i="3"/>
  <c r="H175" i="3"/>
  <c r="K174" i="3"/>
  <c r="J174" i="3"/>
  <c r="I174" i="3"/>
  <c r="H174" i="3"/>
  <c r="K173" i="3"/>
  <c r="J173" i="3"/>
  <c r="I173" i="3"/>
  <c r="H173" i="3"/>
  <c r="K172" i="3"/>
  <c r="J172" i="3"/>
  <c r="I172" i="3"/>
  <c r="H172" i="3"/>
  <c r="K171" i="3"/>
  <c r="J171" i="3"/>
  <c r="I171" i="3"/>
  <c r="H171" i="3"/>
  <c r="K170" i="3"/>
  <c r="J170" i="3"/>
  <c r="I170" i="3"/>
  <c r="H170" i="3"/>
  <c r="K169" i="3"/>
  <c r="J169" i="3"/>
  <c r="I169" i="3"/>
  <c r="H169" i="3"/>
  <c r="K168" i="3"/>
  <c r="J168" i="3"/>
  <c r="I168" i="3"/>
  <c r="H168" i="3"/>
  <c r="K167" i="3"/>
  <c r="J167" i="3"/>
  <c r="I167" i="3"/>
  <c r="H167" i="3"/>
  <c r="K166" i="3"/>
  <c r="J166" i="3"/>
  <c r="I166" i="3"/>
  <c r="H166" i="3"/>
  <c r="K165" i="3"/>
  <c r="J165" i="3"/>
  <c r="I165" i="3"/>
  <c r="H165" i="3"/>
  <c r="K164" i="3"/>
  <c r="J164" i="3"/>
  <c r="I164" i="3"/>
  <c r="H164" i="3"/>
  <c r="K163" i="3"/>
  <c r="J163" i="3"/>
  <c r="I163" i="3"/>
  <c r="H163" i="3"/>
  <c r="K162" i="3"/>
  <c r="D26" i="1" s="1"/>
  <c r="J162" i="3"/>
  <c r="I162" i="3"/>
  <c r="H162" i="3"/>
  <c r="K161" i="3"/>
  <c r="J161" i="3"/>
  <c r="I161" i="3"/>
  <c r="H161" i="3"/>
  <c r="K160" i="3"/>
  <c r="J160" i="3"/>
  <c r="I160" i="3"/>
  <c r="H160" i="3"/>
  <c r="K159" i="3"/>
  <c r="J159" i="3"/>
  <c r="I159" i="3"/>
  <c r="H159" i="3"/>
  <c r="K158" i="3"/>
  <c r="J158" i="3"/>
  <c r="I158" i="3"/>
  <c r="H158" i="3"/>
  <c r="K157" i="3"/>
  <c r="J157" i="3"/>
  <c r="I157" i="3"/>
  <c r="H157" i="3"/>
  <c r="K156" i="3"/>
  <c r="J156" i="3"/>
  <c r="I156" i="3"/>
  <c r="H156" i="3"/>
  <c r="K155" i="3"/>
  <c r="J155" i="3"/>
  <c r="I155" i="3"/>
  <c r="H155" i="3"/>
  <c r="K154" i="3"/>
  <c r="J154" i="3"/>
  <c r="I154" i="3"/>
  <c r="H154" i="3"/>
  <c r="K153" i="3"/>
  <c r="J153" i="3"/>
  <c r="I153" i="3"/>
  <c r="H153" i="3"/>
  <c r="K152" i="3"/>
  <c r="J152" i="3"/>
  <c r="I152" i="3"/>
  <c r="H152" i="3"/>
  <c r="K151" i="3"/>
  <c r="J151" i="3"/>
  <c r="I151" i="3"/>
  <c r="H151" i="3"/>
  <c r="K150" i="3"/>
  <c r="J150" i="3"/>
  <c r="I150" i="3"/>
  <c r="H150" i="3"/>
  <c r="K149" i="3"/>
  <c r="J149" i="3"/>
  <c r="I149" i="3"/>
  <c r="H149" i="3"/>
  <c r="K148" i="3"/>
  <c r="J148" i="3"/>
  <c r="I148" i="3"/>
  <c r="H148" i="3"/>
  <c r="K147" i="3"/>
  <c r="J147" i="3"/>
  <c r="I147" i="3"/>
  <c r="H147" i="3"/>
  <c r="K146" i="3"/>
  <c r="J146" i="3"/>
  <c r="I146" i="3"/>
  <c r="H146" i="3"/>
  <c r="K145" i="3"/>
  <c r="J145" i="3"/>
  <c r="I145" i="3"/>
  <c r="H145" i="3"/>
  <c r="K144" i="3"/>
  <c r="J144" i="3"/>
  <c r="I144" i="3"/>
  <c r="H144" i="3"/>
  <c r="K143" i="3"/>
  <c r="J143" i="3"/>
  <c r="K25" i="2" s="1"/>
  <c r="I143" i="3"/>
  <c r="H143" i="3"/>
  <c r="K142" i="3"/>
  <c r="J142" i="3"/>
  <c r="I142" i="3"/>
  <c r="H142" i="3"/>
  <c r="K141" i="3"/>
  <c r="J141" i="3"/>
  <c r="I141" i="3"/>
  <c r="H141" i="3"/>
  <c r="K140" i="3"/>
  <c r="J140" i="3"/>
  <c r="I140" i="3"/>
  <c r="H140" i="3"/>
  <c r="K139" i="3"/>
  <c r="J139" i="3"/>
  <c r="I139" i="3"/>
  <c r="H139" i="3"/>
  <c r="K138" i="3"/>
  <c r="J138" i="3"/>
  <c r="I138" i="3"/>
  <c r="H138" i="3"/>
  <c r="K137" i="3"/>
  <c r="J137" i="3"/>
  <c r="I137" i="3"/>
  <c r="H137" i="3"/>
  <c r="K136" i="3"/>
  <c r="J136" i="3"/>
  <c r="I136" i="3"/>
  <c r="H136" i="3"/>
  <c r="I20" i="2" s="1"/>
  <c r="K135" i="3"/>
  <c r="J135" i="3"/>
  <c r="I135" i="3"/>
  <c r="H135" i="3"/>
  <c r="K134" i="3"/>
  <c r="J134" i="3"/>
  <c r="I134" i="3"/>
  <c r="H134" i="3"/>
  <c r="K133" i="3"/>
  <c r="J133" i="3"/>
  <c r="I133" i="3"/>
  <c r="H133" i="3"/>
  <c r="K132" i="3"/>
  <c r="J132" i="3"/>
  <c r="I132" i="3"/>
  <c r="H132" i="3"/>
  <c r="K131" i="3"/>
  <c r="J131" i="3"/>
  <c r="I131" i="3"/>
  <c r="H131" i="3"/>
  <c r="K130" i="3"/>
  <c r="J130" i="3"/>
  <c r="I130" i="3"/>
  <c r="H130" i="3"/>
  <c r="K129" i="3"/>
  <c r="J129" i="3"/>
  <c r="I129" i="3"/>
  <c r="H129" i="3"/>
  <c r="K128" i="3"/>
  <c r="J128" i="3"/>
  <c r="I128" i="3"/>
  <c r="H128" i="3"/>
  <c r="K127" i="3"/>
  <c r="J127" i="3"/>
  <c r="I127" i="3"/>
  <c r="H127" i="3"/>
  <c r="K126" i="3"/>
  <c r="J126" i="3"/>
  <c r="I126" i="3"/>
  <c r="H126" i="3"/>
  <c r="K125" i="3"/>
  <c r="J125" i="3"/>
  <c r="I125" i="3"/>
  <c r="H125" i="3"/>
  <c r="K124" i="3"/>
  <c r="J124" i="3"/>
  <c r="I124" i="3"/>
  <c r="H124" i="3"/>
  <c r="K123" i="3"/>
  <c r="J123" i="3"/>
  <c r="I123" i="3"/>
  <c r="H123" i="3"/>
  <c r="O15" i="2" s="1"/>
  <c r="K122" i="3"/>
  <c r="J122" i="3"/>
  <c r="I122" i="3"/>
  <c r="H122" i="3"/>
  <c r="K121" i="3"/>
  <c r="J121" i="3"/>
  <c r="I121" i="3"/>
  <c r="H121" i="3"/>
  <c r="K120" i="3"/>
  <c r="J120" i="3"/>
  <c r="I120" i="3"/>
  <c r="H120" i="3"/>
  <c r="K119" i="3"/>
  <c r="J119" i="3"/>
  <c r="I119" i="3"/>
  <c r="H119" i="3"/>
  <c r="K118" i="3"/>
  <c r="J118" i="3"/>
  <c r="I118" i="3"/>
  <c r="H118" i="3"/>
  <c r="O10" i="2" s="1"/>
  <c r="K117" i="3"/>
  <c r="J117" i="3"/>
  <c r="I117" i="3"/>
  <c r="H117" i="3"/>
  <c r="K116" i="3"/>
  <c r="J116" i="3"/>
  <c r="I116" i="3"/>
  <c r="H116" i="3"/>
  <c r="K115" i="3"/>
  <c r="J115" i="3"/>
  <c r="I115" i="3"/>
  <c r="H115" i="3"/>
  <c r="K114" i="3"/>
  <c r="J114" i="3"/>
  <c r="I114" i="3"/>
  <c r="H114" i="3"/>
  <c r="K113" i="3"/>
  <c r="J113" i="3"/>
  <c r="I113" i="3"/>
  <c r="H113" i="3"/>
  <c r="K112" i="3"/>
  <c r="J112" i="3"/>
  <c r="I112" i="3"/>
  <c r="H112" i="3"/>
  <c r="K111" i="3"/>
  <c r="J111" i="3"/>
  <c r="I111" i="3"/>
  <c r="H111" i="3"/>
  <c r="K110" i="3"/>
  <c r="J110" i="3"/>
  <c r="I110" i="3"/>
  <c r="H110" i="3"/>
  <c r="K109" i="3"/>
  <c r="J109" i="3"/>
  <c r="I109" i="3"/>
  <c r="H109" i="3"/>
  <c r="E9" i="2" s="1"/>
  <c r="K108" i="3"/>
  <c r="J108" i="3"/>
  <c r="I108" i="3"/>
  <c r="H108" i="3"/>
  <c r="K107" i="3"/>
  <c r="J107" i="3"/>
  <c r="I107" i="3"/>
  <c r="H107" i="3"/>
  <c r="K106" i="3"/>
  <c r="J106" i="3"/>
  <c r="I106" i="3"/>
  <c r="H106" i="3"/>
  <c r="K105" i="3"/>
  <c r="J105" i="3"/>
  <c r="I105" i="3"/>
  <c r="H105" i="3"/>
  <c r="K104" i="3"/>
  <c r="J104" i="3"/>
  <c r="I104" i="3"/>
  <c r="H104" i="3"/>
  <c r="K103" i="3"/>
  <c r="J103" i="3"/>
  <c r="I103" i="3"/>
  <c r="H103" i="3"/>
  <c r="K102" i="3"/>
  <c r="J102" i="3"/>
  <c r="I102" i="3"/>
  <c r="H102" i="3"/>
  <c r="K101" i="3"/>
  <c r="J101" i="3"/>
  <c r="I101" i="3"/>
  <c r="H101" i="3"/>
  <c r="K100" i="3"/>
  <c r="J100" i="3"/>
  <c r="I100" i="3"/>
  <c r="H100" i="3"/>
  <c r="K99" i="3"/>
  <c r="J99" i="3"/>
  <c r="I99" i="3"/>
  <c r="H99" i="3"/>
  <c r="K98" i="3"/>
  <c r="J98" i="3"/>
  <c r="I98" i="3"/>
  <c r="H98" i="3"/>
  <c r="O25" i="2" s="1"/>
  <c r="K97" i="3"/>
  <c r="J97" i="3"/>
  <c r="I97" i="3"/>
  <c r="H97" i="3"/>
  <c r="K96" i="3"/>
  <c r="J96" i="3"/>
  <c r="I96" i="3"/>
  <c r="H96" i="3"/>
  <c r="K95" i="3"/>
  <c r="J95" i="3"/>
  <c r="I95" i="3"/>
  <c r="H95" i="3"/>
  <c r="K94" i="3"/>
  <c r="J94" i="3"/>
  <c r="I94" i="3"/>
  <c r="H94" i="3"/>
  <c r="K93" i="3"/>
  <c r="J93" i="3"/>
  <c r="I93" i="3"/>
  <c r="H93" i="3"/>
  <c r="K92" i="3"/>
  <c r="J92" i="3"/>
  <c r="I92" i="3"/>
  <c r="H92" i="3"/>
  <c r="K91" i="3"/>
  <c r="J91" i="3"/>
  <c r="I91" i="3"/>
  <c r="H91" i="3"/>
  <c r="K90" i="3"/>
  <c r="J90" i="3"/>
  <c r="I90" i="3"/>
  <c r="H90" i="3"/>
  <c r="K89" i="3"/>
  <c r="J89" i="3"/>
  <c r="I89" i="3"/>
  <c r="H89" i="3"/>
  <c r="K88" i="3"/>
  <c r="J88" i="3"/>
  <c r="I88" i="3"/>
  <c r="H88" i="3"/>
  <c r="K87" i="3"/>
  <c r="J87" i="3"/>
  <c r="I87" i="3"/>
  <c r="H87" i="3"/>
  <c r="K86" i="3"/>
  <c r="J86" i="3"/>
  <c r="I86" i="3"/>
  <c r="H86" i="3"/>
  <c r="K85" i="3"/>
  <c r="J85" i="3"/>
  <c r="I85" i="3"/>
  <c r="H85" i="3"/>
  <c r="K84" i="3"/>
  <c r="J84" i="3"/>
  <c r="I84" i="3"/>
  <c r="H84" i="3"/>
  <c r="K83" i="3"/>
  <c r="J83" i="3"/>
  <c r="I83" i="3"/>
  <c r="H83" i="3"/>
  <c r="K82" i="3"/>
  <c r="J82" i="3"/>
  <c r="I82" i="3"/>
  <c r="H82" i="3"/>
  <c r="K81" i="3"/>
  <c r="J81" i="3"/>
  <c r="I81" i="3"/>
  <c r="H81" i="3"/>
  <c r="K80" i="3"/>
  <c r="J80" i="3"/>
  <c r="I80" i="3"/>
  <c r="H80" i="3"/>
  <c r="K79" i="3"/>
  <c r="J79" i="3"/>
  <c r="I79" i="3"/>
  <c r="H79" i="3"/>
  <c r="K78" i="3"/>
  <c r="J78" i="3"/>
  <c r="I78" i="3"/>
  <c r="H78" i="3"/>
  <c r="K77" i="3"/>
  <c r="J77" i="3"/>
  <c r="I77" i="3"/>
  <c r="H77" i="3"/>
  <c r="K76" i="3"/>
  <c r="J76" i="3"/>
  <c r="I76" i="3"/>
  <c r="H76" i="3"/>
  <c r="K75" i="3"/>
  <c r="J75" i="3"/>
  <c r="I75" i="3"/>
  <c r="H75" i="3"/>
  <c r="K74" i="3"/>
  <c r="J74" i="3"/>
  <c r="I74" i="3"/>
  <c r="H74" i="3"/>
  <c r="K73" i="3"/>
  <c r="J73" i="3"/>
  <c r="I73" i="3"/>
  <c r="H73" i="3"/>
  <c r="K72" i="3"/>
  <c r="J72" i="3"/>
  <c r="I72" i="3"/>
  <c r="H72" i="3"/>
  <c r="K71" i="3"/>
  <c r="J71" i="3"/>
  <c r="I71" i="3"/>
  <c r="H71" i="3"/>
  <c r="K70" i="3"/>
  <c r="J70" i="3"/>
  <c r="I70" i="3"/>
  <c r="H70" i="3"/>
  <c r="K69" i="3"/>
  <c r="J69" i="3"/>
  <c r="I69" i="3"/>
  <c r="H69" i="3"/>
  <c r="K68" i="3"/>
  <c r="J68" i="3"/>
  <c r="I68" i="3"/>
  <c r="H68" i="3"/>
  <c r="K67" i="3"/>
  <c r="J67" i="3"/>
  <c r="I67" i="3"/>
  <c r="H67" i="3"/>
  <c r="K66" i="3"/>
  <c r="J66" i="3"/>
  <c r="I66" i="3"/>
  <c r="H66" i="3"/>
  <c r="K65" i="3"/>
  <c r="J65" i="3"/>
  <c r="I65" i="3"/>
  <c r="H65" i="3"/>
  <c r="K64" i="3"/>
  <c r="J64" i="3"/>
  <c r="I64" i="3"/>
  <c r="H64" i="3"/>
  <c r="K63" i="3"/>
  <c r="J63" i="3"/>
  <c r="I63" i="3"/>
  <c r="H63" i="3"/>
  <c r="K62" i="3"/>
  <c r="J62" i="3"/>
  <c r="I62" i="3"/>
  <c r="H62" i="3"/>
  <c r="K61" i="3"/>
  <c r="J61" i="3"/>
  <c r="I61" i="3"/>
  <c r="H61" i="3"/>
  <c r="K60" i="3"/>
  <c r="J60" i="3"/>
  <c r="I60" i="3"/>
  <c r="H60" i="3"/>
  <c r="K59" i="3"/>
  <c r="J59" i="3"/>
  <c r="I59" i="3"/>
  <c r="H59" i="3"/>
  <c r="K58" i="3"/>
  <c r="J58" i="3"/>
  <c r="I58" i="3"/>
  <c r="H58" i="3"/>
  <c r="K57" i="3"/>
  <c r="J57" i="3"/>
  <c r="I57" i="3"/>
  <c r="H57" i="3"/>
  <c r="K56" i="3"/>
  <c r="J56" i="3"/>
  <c r="I56" i="3"/>
  <c r="H56" i="3"/>
  <c r="K55" i="3"/>
  <c r="J55" i="3"/>
  <c r="I55" i="3"/>
  <c r="H55" i="3"/>
  <c r="K54" i="3"/>
  <c r="J54" i="3"/>
  <c r="I54" i="3"/>
  <c r="H54" i="3"/>
  <c r="K53" i="3"/>
  <c r="J53" i="3"/>
  <c r="I53" i="3"/>
  <c r="H53" i="3"/>
  <c r="K52" i="3"/>
  <c r="J52" i="3"/>
  <c r="I52" i="3"/>
  <c r="H52" i="3"/>
  <c r="K51" i="3"/>
  <c r="J51" i="3"/>
  <c r="I51" i="3"/>
  <c r="H51" i="3"/>
  <c r="K50" i="3"/>
  <c r="J50" i="3"/>
  <c r="I50" i="3"/>
  <c r="H50" i="3"/>
  <c r="K49" i="3"/>
  <c r="J49" i="3"/>
  <c r="I49" i="3"/>
  <c r="H49" i="3"/>
  <c r="K48" i="3"/>
  <c r="J48" i="3"/>
  <c r="I48" i="3"/>
  <c r="H48" i="3"/>
  <c r="K47" i="3"/>
  <c r="J47" i="3"/>
  <c r="I47" i="3"/>
  <c r="H47" i="3"/>
  <c r="K46" i="3"/>
  <c r="J46" i="3"/>
  <c r="I46" i="3"/>
  <c r="H46" i="3"/>
  <c r="M21" i="2" s="1"/>
  <c r="K45" i="3"/>
  <c r="J45" i="3"/>
  <c r="I45" i="3"/>
  <c r="H45" i="3"/>
  <c r="K44" i="3"/>
  <c r="J44" i="3"/>
  <c r="I44" i="3"/>
  <c r="H44" i="3"/>
  <c r="K43" i="3"/>
  <c r="J43" i="3"/>
  <c r="I43" i="3"/>
  <c r="H43" i="3"/>
  <c r="K42" i="3"/>
  <c r="J42" i="3"/>
  <c r="I42" i="3"/>
  <c r="H42" i="3"/>
  <c r="K41" i="3"/>
  <c r="J41" i="3"/>
  <c r="I41" i="3"/>
  <c r="H41" i="3"/>
  <c r="P7" i="2" s="1"/>
  <c r="K40" i="3"/>
  <c r="J40" i="3"/>
  <c r="I40" i="3"/>
  <c r="H40" i="3"/>
  <c r="K39" i="3"/>
  <c r="J39" i="3"/>
  <c r="I39" i="3"/>
  <c r="H39" i="3"/>
  <c r="K38" i="3"/>
  <c r="J38" i="3"/>
  <c r="I38" i="3"/>
  <c r="H38" i="3"/>
  <c r="K37" i="3"/>
  <c r="J37" i="3"/>
  <c r="I37" i="3"/>
  <c r="H37" i="3"/>
  <c r="K36" i="3"/>
  <c r="J36" i="3"/>
  <c r="I36" i="3"/>
  <c r="H36" i="3"/>
  <c r="K35" i="3"/>
  <c r="J35" i="3"/>
  <c r="I35" i="3"/>
  <c r="H35" i="3"/>
  <c r="K34" i="3"/>
  <c r="J34" i="3"/>
  <c r="I34" i="3"/>
  <c r="H34" i="3"/>
  <c r="K33" i="3"/>
  <c r="J33" i="3"/>
  <c r="I33" i="3"/>
  <c r="H33" i="3"/>
  <c r="K32" i="3"/>
  <c r="J32" i="3"/>
  <c r="I32" i="3"/>
  <c r="H32" i="3"/>
  <c r="K31" i="3"/>
  <c r="J31" i="3"/>
  <c r="I31" i="3"/>
  <c r="H31" i="3"/>
  <c r="K30" i="3"/>
  <c r="J30" i="3"/>
  <c r="I30" i="3"/>
  <c r="H30" i="3"/>
  <c r="K29" i="3"/>
  <c r="J29" i="3"/>
  <c r="I29" i="3"/>
  <c r="H29" i="3"/>
  <c r="K28" i="3"/>
  <c r="J28" i="3"/>
  <c r="I28" i="3"/>
  <c r="H28" i="3"/>
  <c r="K27" i="3"/>
  <c r="J27" i="3"/>
  <c r="I27" i="3"/>
  <c r="H27" i="3"/>
  <c r="K26" i="3"/>
  <c r="J26" i="3"/>
  <c r="I26" i="3"/>
  <c r="H26" i="3"/>
  <c r="K25" i="3"/>
  <c r="J25" i="3"/>
  <c r="I25" i="3"/>
  <c r="H25" i="3"/>
  <c r="E19" i="2" s="1"/>
  <c r="K24" i="3"/>
  <c r="J24" i="3"/>
  <c r="I24" i="3"/>
  <c r="H24" i="3"/>
  <c r="K23" i="3"/>
  <c r="J23" i="3"/>
  <c r="I23" i="3"/>
  <c r="H23" i="3"/>
  <c r="K22" i="3"/>
  <c r="J22" i="3"/>
  <c r="I22" i="3"/>
  <c r="H22" i="3"/>
  <c r="K21" i="3"/>
  <c r="J21" i="3"/>
  <c r="I21" i="3"/>
  <c r="H21" i="3"/>
  <c r="P18" i="2" s="1"/>
  <c r="K20" i="3"/>
  <c r="J20" i="3"/>
  <c r="I20" i="3"/>
  <c r="H20" i="3"/>
  <c r="K19" i="3"/>
  <c r="J19" i="3"/>
  <c r="I19" i="3"/>
  <c r="H19" i="3"/>
  <c r="K18" i="3"/>
  <c r="J18" i="3"/>
  <c r="I18" i="3"/>
  <c r="H18" i="3"/>
  <c r="K17" i="3"/>
  <c r="J17" i="3"/>
  <c r="I17" i="3"/>
  <c r="H17" i="3"/>
  <c r="K16" i="3"/>
  <c r="J16" i="3"/>
  <c r="I16" i="3"/>
  <c r="H16" i="3"/>
  <c r="M16" i="2" s="1"/>
  <c r="K15" i="3"/>
  <c r="J15" i="3"/>
  <c r="I15" i="3"/>
  <c r="H15" i="3"/>
  <c r="K14" i="3"/>
  <c r="J14" i="3"/>
  <c r="I14" i="3"/>
  <c r="H14" i="3"/>
  <c r="I15" i="2" s="1"/>
  <c r="K13" i="3"/>
  <c r="J13" i="3"/>
  <c r="I13" i="3"/>
  <c r="H13" i="3"/>
  <c r="K12" i="3"/>
  <c r="J12" i="3"/>
  <c r="I12" i="3"/>
  <c r="H12" i="3"/>
  <c r="K11" i="3"/>
  <c r="J11" i="3"/>
  <c r="I11" i="3"/>
  <c r="H11" i="3"/>
  <c r="I25" i="2" s="1"/>
  <c r="K10" i="3"/>
  <c r="J10" i="3"/>
  <c r="I10" i="3"/>
  <c r="H10" i="3"/>
  <c r="K9" i="3"/>
  <c r="J9" i="3"/>
  <c r="I9" i="3"/>
  <c r="H9" i="3"/>
  <c r="K8" i="3"/>
  <c r="J8" i="3"/>
  <c r="E23" i="2" s="1"/>
  <c r="I8" i="3"/>
  <c r="H8" i="3"/>
  <c r="K7" i="3"/>
  <c r="B19" i="1" s="1"/>
  <c r="J7" i="3"/>
  <c r="I7" i="3"/>
  <c r="H7" i="3"/>
  <c r="K6" i="3"/>
  <c r="J6" i="3"/>
  <c r="I6" i="3"/>
  <c r="H6" i="3"/>
  <c r="M6" i="2" s="1"/>
  <c r="B38" i="2"/>
  <c r="C38" i="2" s="1"/>
  <c r="B37" i="2"/>
  <c r="C37" i="2" s="1"/>
  <c r="E37" i="2" s="1"/>
  <c r="C36" i="2"/>
  <c r="E36" i="2" s="1"/>
  <c r="B36" i="2"/>
  <c r="B35" i="2"/>
  <c r="B34" i="2"/>
  <c r="C34" i="2" s="1"/>
  <c r="F28" i="2"/>
  <c r="E28" i="2"/>
  <c r="D28" i="2"/>
  <c r="D27" i="2"/>
  <c r="P26" i="2"/>
  <c r="O26" i="2"/>
  <c r="N26" i="2"/>
  <c r="D26" i="2"/>
  <c r="M25" i="2"/>
  <c r="L25" i="2"/>
  <c r="D25" i="2"/>
  <c r="H24" i="2"/>
  <c r="G24" i="2"/>
  <c r="D24" i="2"/>
  <c r="F23" i="2"/>
  <c r="D23" i="2"/>
  <c r="D22" i="2"/>
  <c r="P21" i="2"/>
  <c r="O21" i="2"/>
  <c r="N21" i="2"/>
  <c r="D21" i="2"/>
  <c r="K20" i="2"/>
  <c r="J20" i="2"/>
  <c r="D20" i="2"/>
  <c r="K19" i="2"/>
  <c r="J19" i="2"/>
  <c r="I19" i="2"/>
  <c r="H19" i="2"/>
  <c r="G19" i="2"/>
  <c r="F19" i="2"/>
  <c r="D19" i="2"/>
  <c r="F18" i="2"/>
  <c r="E18" i="2"/>
  <c r="D18" i="2"/>
  <c r="D17" i="2"/>
  <c r="D16" i="2"/>
  <c r="N15" i="2"/>
  <c r="L15" i="2"/>
  <c r="K15" i="2"/>
  <c r="J15" i="2"/>
  <c r="D15" i="2"/>
  <c r="J14" i="2"/>
  <c r="I14" i="2"/>
  <c r="H14" i="2"/>
  <c r="G14" i="2"/>
  <c r="F14" i="2"/>
  <c r="D14" i="2"/>
  <c r="F13" i="2"/>
  <c r="E13" i="2"/>
  <c r="D13" i="2"/>
  <c r="D12" i="2"/>
  <c r="P11" i="2"/>
  <c r="D11" i="2"/>
  <c r="N10" i="2"/>
  <c r="M10" i="2"/>
  <c r="L10" i="2"/>
  <c r="K10" i="2"/>
  <c r="J10" i="2"/>
  <c r="D10" i="2"/>
  <c r="K9" i="2"/>
  <c r="J9" i="2"/>
  <c r="I9" i="2"/>
  <c r="H9" i="2"/>
  <c r="G9" i="2"/>
  <c r="F9" i="2"/>
  <c r="D9" i="2"/>
  <c r="F8" i="2"/>
  <c r="E8" i="2"/>
  <c r="D8" i="2"/>
  <c r="D7" i="2"/>
  <c r="P6" i="2"/>
  <c r="O6" i="2"/>
  <c r="N6" i="2"/>
  <c r="D6" i="2"/>
  <c r="E10" i="1"/>
  <c r="E9" i="1"/>
  <c r="E8" i="1"/>
  <c r="E7" i="1"/>
  <c r="E6" i="1"/>
  <c r="C5" i="1"/>
  <c r="B4" i="1"/>
  <c r="B30" i="1" s="1"/>
  <c r="B23" i="1" l="1"/>
  <c r="C23" i="1"/>
  <c r="D23" i="1"/>
  <c r="G23" i="1" s="1"/>
  <c r="C30" i="1"/>
  <c r="K7" i="1"/>
  <c r="B21" i="1"/>
  <c r="F21" i="1" s="1"/>
  <c r="C21" i="1"/>
  <c r="E23" i="1"/>
  <c r="K10" i="1"/>
  <c r="K16" i="1"/>
  <c r="F10" i="1"/>
  <c r="G10" i="1" s="1"/>
  <c r="H10" i="1" s="1"/>
  <c r="K17" i="1"/>
  <c r="K21" i="1"/>
  <c r="B8" i="1"/>
  <c r="F23" i="1"/>
  <c r="F30" i="1"/>
  <c r="N25" i="2"/>
  <c r="B26" i="1"/>
  <c r="K23" i="2"/>
  <c r="J23" i="2"/>
  <c r="M23" i="2"/>
  <c r="I23" i="2"/>
  <c r="Q23" i="2" s="1"/>
  <c r="R23" i="2" s="1"/>
  <c r="S23" i="2" s="1"/>
  <c r="L23" i="2"/>
  <c r="G23" i="2"/>
  <c r="P23" i="2"/>
  <c r="O23" i="2"/>
  <c r="N23" i="2"/>
  <c r="H23" i="2"/>
  <c r="K19" i="1"/>
  <c r="M11" i="2"/>
  <c r="J11" i="2"/>
  <c r="E11" i="2"/>
  <c r="L11" i="2"/>
  <c r="I11" i="2"/>
  <c r="F11" i="2"/>
  <c r="K11" i="2"/>
  <c r="H11" i="2"/>
  <c r="G11" i="2"/>
  <c r="I13" i="2"/>
  <c r="H13" i="2"/>
  <c r="N13" i="2"/>
  <c r="M13" i="2"/>
  <c r="P13" i="2"/>
  <c r="O13" i="2"/>
  <c r="L13" i="2"/>
  <c r="K13" i="2"/>
  <c r="J13" i="2"/>
  <c r="G13" i="2"/>
  <c r="Q13" i="2" s="1"/>
  <c r="R13" i="2" s="1"/>
  <c r="S13" i="2" s="1"/>
  <c r="L28" i="2"/>
  <c r="K24" i="1"/>
  <c r="M28" i="2"/>
  <c r="K28" i="2"/>
  <c r="N28" i="2"/>
  <c r="I28" i="2"/>
  <c r="G28" i="2"/>
  <c r="P28" i="2"/>
  <c r="O28" i="2"/>
  <c r="J28" i="2"/>
  <c r="H28" i="2"/>
  <c r="Q28" i="2" s="1"/>
  <c r="R28" i="2" s="1"/>
  <c r="S28" i="2" s="1"/>
  <c r="E24" i="2"/>
  <c r="K24" i="2"/>
  <c r="P24" i="2"/>
  <c r="L24" i="2"/>
  <c r="O24" i="2"/>
  <c r="N24" i="2"/>
  <c r="M24" i="2"/>
  <c r="M26" i="2"/>
  <c r="F26" i="2"/>
  <c r="E26" i="2"/>
  <c r="L26" i="2"/>
  <c r="K26" i="2"/>
  <c r="I26" i="2"/>
  <c r="J26" i="2"/>
  <c r="H26" i="2"/>
  <c r="G26" i="2"/>
  <c r="F16" i="2"/>
  <c r="J16" i="2"/>
  <c r="I16" i="2"/>
  <c r="E16" i="2"/>
  <c r="G16" i="2"/>
  <c r="M18" i="2"/>
  <c r="N18" i="2"/>
  <c r="H18" i="2"/>
  <c r="Q18" i="2" s="1"/>
  <c r="R18" i="2" s="1"/>
  <c r="S18" i="2" s="1"/>
  <c r="L18" i="2"/>
  <c r="K18" i="2"/>
  <c r="I18" i="2"/>
  <c r="G18" i="2"/>
  <c r="O18" i="2"/>
  <c r="J18" i="2"/>
  <c r="E27" i="2"/>
  <c r="F27" i="2"/>
  <c r="G27" i="2"/>
  <c r="O14" i="2"/>
  <c r="M14" i="2"/>
  <c r="L14" i="2"/>
  <c r="N14" i="2"/>
  <c r="K14" i="2"/>
  <c r="N22" i="2"/>
  <c r="H22" i="2"/>
  <c r="G22" i="2"/>
  <c r="E22" i="2"/>
  <c r="P22" i="2"/>
  <c r="F22" i="2"/>
  <c r="O22" i="2"/>
  <c r="J22" i="2"/>
  <c r="M22" i="2"/>
  <c r="L22" i="2"/>
  <c r="K22" i="2"/>
  <c r="I22" i="2"/>
  <c r="P20" i="2"/>
  <c r="O20" i="2"/>
  <c r="E20" i="2"/>
  <c r="F20" i="2"/>
  <c r="K8" i="2"/>
  <c r="I8" i="2"/>
  <c r="J8" i="2"/>
  <c r="H8" i="2"/>
  <c r="C26" i="1"/>
  <c r="O11" i="2"/>
  <c r="M15" i="2"/>
  <c r="F24" i="2"/>
  <c r="B27" i="1"/>
  <c r="D21" i="1"/>
  <c r="D30" i="1"/>
  <c r="G30" i="1" s="1"/>
  <c r="E30" i="1"/>
  <c r="C27" i="1"/>
  <c r="E21" i="1"/>
  <c r="D27" i="1"/>
  <c r="B24" i="1"/>
  <c r="F8" i="1"/>
  <c r="G8" i="1" s="1"/>
  <c r="H8" i="1" s="1"/>
  <c r="E26" i="1"/>
  <c r="C29" i="1"/>
  <c r="I10" i="2"/>
  <c r="N17" i="2"/>
  <c r="F7" i="2"/>
  <c r="N16" i="2"/>
  <c r="F12" i="2"/>
  <c r="F6" i="2"/>
  <c r="F25" i="2"/>
  <c r="G8" i="2"/>
  <c r="O16" i="2"/>
  <c r="L20" i="2"/>
  <c r="J24" i="2"/>
  <c r="B39" i="2"/>
  <c r="C39" i="2" s="1"/>
  <c r="I24" i="2"/>
  <c r="K23" i="1"/>
  <c r="K18" i="1"/>
  <c r="D29" i="1"/>
  <c r="G29" i="1" s="1"/>
  <c r="P16" i="2"/>
  <c r="M20" i="2"/>
  <c r="C35" i="2"/>
  <c r="E35" i="2" s="1"/>
  <c r="E29" i="1"/>
  <c r="N20" i="2"/>
  <c r="J25" i="2"/>
  <c r="N12" i="2"/>
  <c r="N27" i="2"/>
  <c r="E14" i="2"/>
  <c r="M8" i="2"/>
  <c r="N7" i="2"/>
  <c r="L19" i="2"/>
  <c r="Q19" i="2" s="1"/>
  <c r="R19" i="2" s="1"/>
  <c r="S19" i="2" s="1"/>
  <c r="M9" i="2"/>
  <c r="E17" i="2"/>
  <c r="N9" i="2"/>
  <c r="G31" i="4"/>
  <c r="H31" i="4" s="1"/>
  <c r="K8" i="1"/>
  <c r="K12" i="1"/>
  <c r="C19" i="1"/>
  <c r="C24" i="1"/>
  <c r="E27" i="1"/>
  <c r="P9" i="2"/>
  <c r="P19" i="2"/>
  <c r="H27" i="2"/>
  <c r="E6" i="2"/>
  <c r="Q6" i="2" s="1"/>
  <c r="R6" i="2" s="1"/>
  <c r="S6" i="2" s="1"/>
  <c r="I12" i="2"/>
  <c r="F6" i="1"/>
  <c r="G6" i="1" s="1"/>
  <c r="H6" i="1" s="1"/>
  <c r="N8" i="2"/>
  <c r="J12" i="2"/>
  <c r="J17" i="2"/>
  <c r="K7" i="2"/>
  <c r="O8" i="2"/>
  <c r="K12" i="2"/>
  <c r="K17" i="2"/>
  <c r="G21" i="2"/>
  <c r="K27" i="2"/>
  <c r="K20" i="1"/>
  <c r="D22" i="1"/>
  <c r="B25" i="1"/>
  <c r="D28" i="1"/>
  <c r="H6" i="2"/>
  <c r="L7" i="2"/>
  <c r="P8" i="2"/>
  <c r="Q8" i="2" s="1"/>
  <c r="R8" i="2" s="1"/>
  <c r="S8" i="2" s="1"/>
  <c r="L12" i="2"/>
  <c r="H16" i="2"/>
  <c r="L17" i="2"/>
  <c r="H21" i="2"/>
  <c r="L27" i="2"/>
  <c r="L9" i="2"/>
  <c r="Q9" i="2" s="1"/>
  <c r="R9" i="2" s="1"/>
  <c r="S9" i="2" s="1"/>
  <c r="P15" i="2"/>
  <c r="P25" i="2"/>
  <c r="E7" i="2"/>
  <c r="E12" i="2"/>
  <c r="G7" i="2"/>
  <c r="G12" i="2"/>
  <c r="L8" i="2"/>
  <c r="I7" i="2"/>
  <c r="I17" i="2"/>
  <c r="F21" i="2"/>
  <c r="F9" i="1"/>
  <c r="G9" i="1" s="1"/>
  <c r="H9" i="1" s="1"/>
  <c r="C22" i="1"/>
  <c r="C28" i="1"/>
  <c r="I6" i="2"/>
  <c r="E10" i="2"/>
  <c r="M12" i="2"/>
  <c r="E15" i="2"/>
  <c r="M17" i="2"/>
  <c r="K9" i="1"/>
  <c r="D25" i="1"/>
  <c r="F17" i="2"/>
  <c r="O19" i="2"/>
  <c r="D24" i="1"/>
  <c r="P14" i="2"/>
  <c r="E21" i="2"/>
  <c r="J7" i="2"/>
  <c r="M7" i="2"/>
  <c r="B20" i="1"/>
  <c r="J21" i="2"/>
  <c r="B7" i="1"/>
  <c r="C20" i="1"/>
  <c r="E25" i="1"/>
  <c r="K6" i="2"/>
  <c r="O7" i="2"/>
  <c r="G10" i="2"/>
  <c r="O12" i="2"/>
  <c r="G15" i="2"/>
  <c r="K16" i="2"/>
  <c r="O17" i="2"/>
  <c r="G20" i="2"/>
  <c r="K21" i="2"/>
  <c r="G25" i="2"/>
  <c r="O27" i="2"/>
  <c r="P10" i="2"/>
  <c r="M19" i="2"/>
  <c r="O9" i="2"/>
  <c r="G17" i="2"/>
  <c r="H7" i="2"/>
  <c r="H17" i="2"/>
  <c r="B9" i="1"/>
  <c r="B12" i="1" s="1"/>
  <c r="E19" i="1"/>
  <c r="E24" i="1"/>
  <c r="K13" i="1"/>
  <c r="B22" i="1"/>
  <c r="B28" i="1"/>
  <c r="J27" i="2"/>
  <c r="G6" i="2"/>
  <c r="K6" i="1"/>
  <c r="K14" i="1"/>
  <c r="E22" i="1"/>
  <c r="C25" i="1"/>
  <c r="E28" i="1"/>
  <c r="E25" i="2"/>
  <c r="J6" i="2"/>
  <c r="F10" i="2"/>
  <c r="H10" i="2"/>
  <c r="P12" i="2"/>
  <c r="H15" i="2"/>
  <c r="L16" i="2"/>
  <c r="P17" i="2"/>
  <c r="H20" i="2"/>
  <c r="L21" i="2"/>
  <c r="H25" i="2"/>
  <c r="P27" i="2"/>
  <c r="K11" i="1"/>
  <c r="D19" i="1"/>
  <c r="G19" i="1" s="1"/>
  <c r="K22" i="1"/>
  <c r="H12" i="2"/>
  <c r="I27" i="2"/>
  <c r="M27" i="2"/>
  <c r="F15" i="2"/>
  <c r="B10" i="1"/>
  <c r="K15" i="1"/>
  <c r="D20" i="1"/>
  <c r="B29" i="1"/>
  <c r="L6" i="2"/>
  <c r="F7" i="1"/>
  <c r="G7" i="1" s="1"/>
  <c r="H7" i="1" s="1"/>
  <c r="E20" i="1"/>
  <c r="G21" i="1" l="1"/>
  <c r="G24" i="1"/>
  <c r="F27" i="1"/>
  <c r="F22" i="1"/>
  <c r="L11" i="1"/>
  <c r="F28" i="1"/>
  <c r="L14" i="1"/>
  <c r="L9" i="1"/>
  <c r="Q14" i="2"/>
  <c r="R14" i="2" s="1"/>
  <c r="S14" i="2" s="1"/>
  <c r="F19" i="1"/>
  <c r="L6" i="1"/>
  <c r="L22" i="1"/>
  <c r="Q15" i="2"/>
  <c r="R15" i="2" s="1"/>
  <c r="S15" i="2" s="1"/>
  <c r="B11" i="1"/>
  <c r="B13" i="1" s="1"/>
  <c r="F25" i="1"/>
  <c r="F20" i="1"/>
  <c r="L20" i="1"/>
  <c r="L8" i="1"/>
  <c r="Q24" i="2"/>
  <c r="R24" i="2" s="1"/>
  <c r="S24" i="2" s="1"/>
  <c r="L12" i="1"/>
  <c r="G28" i="1"/>
  <c r="G22" i="1"/>
  <c r="L23" i="1"/>
  <c r="F29" i="1"/>
  <c r="Q21" i="2"/>
  <c r="R21" i="2" s="1"/>
  <c r="S21" i="2" s="1"/>
  <c r="Q17" i="2"/>
  <c r="R17" i="2" s="1"/>
  <c r="S17" i="2" s="1"/>
  <c r="Q20" i="2"/>
  <c r="R20" i="2" s="1"/>
  <c r="S20" i="2" s="1"/>
  <c r="Q11" i="2"/>
  <c r="R11" i="2" s="1"/>
  <c r="S11" i="2" s="1"/>
  <c r="L10" i="1"/>
  <c r="F26" i="1"/>
  <c r="L16" i="1"/>
  <c r="G20" i="1"/>
  <c r="Q25" i="2"/>
  <c r="R25" i="2" s="1"/>
  <c r="S25" i="2" s="1"/>
  <c r="F24" i="1"/>
  <c r="Q27" i="2"/>
  <c r="R27" i="2" s="1"/>
  <c r="S27" i="2" s="1"/>
  <c r="L24" i="1"/>
  <c r="L21" i="1"/>
  <c r="L13" i="1"/>
  <c r="Q16" i="2"/>
  <c r="R16" i="2" s="1"/>
  <c r="S16" i="2" s="1"/>
  <c r="L15" i="1"/>
  <c r="Q7" i="2"/>
  <c r="R7" i="2" s="1"/>
  <c r="S7" i="2" s="1"/>
  <c r="G27" i="1"/>
  <c r="Q26" i="2"/>
  <c r="R26" i="2" s="1"/>
  <c r="S26" i="2" s="1"/>
  <c r="L19" i="1"/>
  <c r="G26" i="1"/>
  <c r="Q10" i="2"/>
  <c r="R10" i="2" s="1"/>
  <c r="S10" i="2" s="1"/>
  <c r="Q22" i="2"/>
  <c r="R22" i="2" s="1"/>
  <c r="S22" i="2" s="1"/>
  <c r="Q12" i="2"/>
  <c r="R12" i="2" s="1"/>
  <c r="S12" i="2" s="1"/>
  <c r="L17" i="1"/>
  <c r="L18" i="1"/>
  <c r="G25" i="1"/>
  <c r="L7" i="1"/>
</calcChain>
</file>

<file path=xl/sharedStrings.xml><?xml version="1.0" encoding="utf-8"?>
<sst xmlns="http://schemas.openxmlformats.org/spreadsheetml/2006/main" count="1644" uniqueCount="217">
  <si>
    <t>Finanzplanung privat</t>
  </si>
  <si>
    <t>Interaktive Übersicht für Budget, Buchungen, Sparquote, Ziele und Nettovermögen.</t>
  </si>
  <si>
    <t>Jahr</t>
  </si>
  <si>
    <t>Plan/Ist nach Budgetgruppe</t>
  </si>
  <si>
    <t>Ausgaben nach Kategorie im gewählten Monat</t>
  </si>
  <si>
    <t>Monat</t>
  </si>
  <si>
    <t>Mai</t>
  </si>
  <si>
    <t>Gruppe</t>
  </si>
  <si>
    <t>Plan</t>
  </si>
  <si>
    <t>Ist</t>
  </si>
  <si>
    <t>Abweichung</t>
  </si>
  <si>
    <t>Status</t>
  </si>
  <si>
    <t>Kategorie</t>
  </si>
  <si>
    <t>Ist (€)</t>
  </si>
  <si>
    <t>Anteil</t>
  </si>
  <si>
    <t>Einkommen</t>
  </si>
  <si>
    <t>Wohnen</t>
  </si>
  <si>
    <t>Einnahmen</t>
  </si>
  <si>
    <t>Bedarf</t>
  </si>
  <si>
    <t>Energie</t>
  </si>
  <si>
    <t>Ausgaben Bedarf + Wunsch</t>
  </si>
  <si>
    <t>Wunsch</t>
  </si>
  <si>
    <t>Lebensmittel</t>
  </si>
  <si>
    <t>Sparen &amp; Investieren</t>
  </si>
  <si>
    <t>Sparen</t>
  </si>
  <si>
    <t>Versicherungen</t>
  </si>
  <si>
    <t>Schuldenzahlungen</t>
  </si>
  <si>
    <t>Schulden</t>
  </si>
  <si>
    <t>Gesundheit</t>
  </si>
  <si>
    <t>Freier Cashflow</t>
  </si>
  <si>
    <t>Mobilität</t>
  </si>
  <si>
    <t>Sparquote</t>
  </si>
  <si>
    <t>Kommunikation</t>
  </si>
  <si>
    <t>Budgetabweichung</t>
  </si>
  <si>
    <t>Freizeit</t>
  </si>
  <si>
    <t>Nettovermögen</t>
  </si>
  <si>
    <t>Restaurants</t>
  </si>
  <si>
    <t>Notgroschen (Monate)</t>
  </si>
  <si>
    <t>Kleidung</t>
  </si>
  <si>
    <t>Reisen</t>
  </si>
  <si>
    <t>Hobbys</t>
  </si>
  <si>
    <t>Jahresverlauf</t>
  </si>
  <si>
    <t>Geschenke</t>
  </si>
  <si>
    <t>Ausgaben</t>
  </si>
  <si>
    <t>Cashflow</t>
  </si>
  <si>
    <t>Notgroschen</t>
  </si>
  <si>
    <t>Januar</t>
  </si>
  <si>
    <t>ETF-Sparplan</t>
  </si>
  <si>
    <t>Februar</t>
  </si>
  <si>
    <t>Altersvorsorge</t>
  </si>
  <si>
    <t>März</t>
  </si>
  <si>
    <t>Rücklagen</t>
  </si>
  <si>
    <t>April</t>
  </si>
  <si>
    <t>Kreditrate</t>
  </si>
  <si>
    <t>Kreditkarte</t>
  </si>
  <si>
    <t>Juni</t>
  </si>
  <si>
    <t>Juli</t>
  </si>
  <si>
    <t>August</t>
  </si>
  <si>
    <t>September</t>
  </si>
  <si>
    <t>Oktober</t>
  </si>
  <si>
    <t>November</t>
  </si>
  <si>
    <t>Dezember</t>
  </si>
  <si>
    <t>Hinweis</t>
  </si>
  <si>
    <t>Gelbe Zellen sind Eingaben. Die Monatswerte werden automatisch aus dem Blatt Buchungen berechnet.</t>
  </si>
  <si>
    <t>Budgetgruppe</t>
  </si>
  <si>
    <t>Monatsplan (€)</t>
  </si>
  <si>
    <t>Jahresplan (€)</t>
  </si>
  <si>
    <t>Januar Ist</t>
  </si>
  <si>
    <t>Februar Ist</t>
  </si>
  <si>
    <t>März Ist</t>
  </si>
  <si>
    <t>April Ist</t>
  </si>
  <si>
    <t>Mai Ist</t>
  </si>
  <si>
    <t>Juni Ist</t>
  </si>
  <si>
    <t>Juli Ist</t>
  </si>
  <si>
    <t>August Ist</t>
  </si>
  <si>
    <t>September Ist</t>
  </si>
  <si>
    <t>Oktober Ist</t>
  </si>
  <si>
    <t>November Ist</t>
  </si>
  <si>
    <t>Dezember Ist</t>
  </si>
  <si>
    <t>Jahr Ist</t>
  </si>
  <si>
    <t>Gehalt</t>
  </si>
  <si>
    <t>Nebenjob</t>
  </si>
  <si>
    <t>Zinsen/Dividenden</t>
  </si>
  <si>
    <t>Rückerstattung</t>
  </si>
  <si>
    <t>Monatliche Plan-Summen und 50/30/20-Check</t>
  </si>
  <si>
    <t>Kennzahl</t>
  </si>
  <si>
    <t>Plan/Monat</t>
  </si>
  <si>
    <t>Anteil am Einkommen</t>
  </si>
  <si>
    <t>Zielwert</t>
  </si>
  <si>
    <t>Kommentar</t>
  </si>
  <si>
    <t>max. 50%</t>
  </si>
  <si>
    <t>max. 30%</t>
  </si>
  <si>
    <t>mind. 20%</t>
  </si>
  <si>
    <t>Freier Betrag nach Plan</t>
  </si>
  <si>
    <t>Buchungen</t>
  </si>
  <si>
    <t>Trage neue Bewegungen unterhalb der Beispieldaten ein. Beträge werden positiv eingegeben; die Spalte „Betrag +/-“ steuert die Auswertung automatisch.</t>
  </si>
  <si>
    <t>Datum</t>
  </si>
  <si>
    <t>Typ</t>
  </si>
  <si>
    <t>Unterkategorie</t>
  </si>
  <si>
    <t>Konto</t>
  </si>
  <si>
    <t>Beschreibung</t>
  </si>
  <si>
    <t>Betrag (€)</t>
  </si>
  <si>
    <t>Betrag +/-</t>
  </si>
  <si>
    <t>Einnahme</t>
  </si>
  <si>
    <t>Nettoeinkommen</t>
  </si>
  <si>
    <t>Girokonto</t>
  </si>
  <si>
    <t>Monatliches Gehalt</t>
  </si>
  <si>
    <t>Sparplan</t>
  </si>
  <si>
    <t>Depot</t>
  </si>
  <si>
    <t>Automatischer ETF-Sparplan</t>
  </si>
  <si>
    <t>Tagesgeld</t>
  </si>
  <si>
    <t>Überweisung Notgroschen</t>
  </si>
  <si>
    <t>Ausgabe</t>
  </si>
  <si>
    <t>Miete</t>
  </si>
  <si>
    <t>Warmmiete</t>
  </si>
  <si>
    <t>Supermarkt</t>
  </si>
  <si>
    <t>Wocheneinkauf</t>
  </si>
  <si>
    <t>Vorsorge</t>
  </si>
  <si>
    <t>Private Vorsorge</t>
  </si>
  <si>
    <t>Rücklage</t>
  </si>
  <si>
    <t>Jährliche Kosten</t>
  </si>
  <si>
    <t>Abschlag</t>
  </si>
  <si>
    <t>Strom und Heizung</t>
  </si>
  <si>
    <t>ÖPNV</t>
  </si>
  <si>
    <t>Monatsticket</t>
  </si>
  <si>
    <t>Schuldenzahlung</t>
  </si>
  <si>
    <t>Kredit</t>
  </si>
  <si>
    <t>Ratenzahlung</t>
  </si>
  <si>
    <t>Internet</t>
  </si>
  <si>
    <t>Internetvertrag</t>
  </si>
  <si>
    <t>Mobilfunk</t>
  </si>
  <si>
    <t>Versicherung</t>
  </si>
  <si>
    <t>Versicherungspaket</t>
  </si>
  <si>
    <t>Apotheke/Arzt</t>
  </si>
  <si>
    <t>Restaurant/Café</t>
  </si>
  <si>
    <t>Essen außer Haus</t>
  </si>
  <si>
    <t>Ausgleich</t>
  </si>
  <si>
    <t>Kreditkartenausgleich</t>
  </si>
  <si>
    <t>Veranstaltung</t>
  </si>
  <si>
    <t>Freizeitaktivitäten</t>
  </si>
  <si>
    <t>Kleidung und Schuhe</t>
  </si>
  <si>
    <t>Projekt</t>
  </si>
  <si>
    <t>Zusätzlicher Auftrag</t>
  </si>
  <si>
    <t>Kurs/Material</t>
  </si>
  <si>
    <t>Hobby und Weiterbildung</t>
  </si>
  <si>
    <t>Geschenk</t>
  </si>
  <si>
    <t>Quartalsgutschrift</t>
  </si>
  <si>
    <t>Erstattung</t>
  </si>
  <si>
    <t>Erstattung Versicherung/Steuer</t>
  </si>
  <si>
    <t>Reise</t>
  </si>
  <si>
    <t>Reise/Unterkunft</t>
  </si>
  <si>
    <t>Ziele &amp; Vermögen</t>
  </si>
  <si>
    <t>Wert</t>
  </si>
  <si>
    <t>Vermögen gesamt</t>
  </si>
  <si>
    <t>Verbindlichkeiten gesamt</t>
  </si>
  <si>
    <t>Liquide Mittel</t>
  </si>
  <si>
    <t>Notgroschen in Monaten</t>
  </si>
  <si>
    <t>Durchschnittlicher Zielfortschritt</t>
  </si>
  <si>
    <t>Vermögen und Verbindlichkeiten</t>
  </si>
  <si>
    <t>Bezeichnung</t>
  </si>
  <si>
    <t>Zielbetrag (€)</t>
  </si>
  <si>
    <t>Vermögenswert</t>
  </si>
  <si>
    <t>Liquidität</t>
  </si>
  <si>
    <t>laufender Zahlungsverkehr</t>
  </si>
  <si>
    <t>Investment</t>
  </si>
  <si>
    <t>ETF-Depot</t>
  </si>
  <si>
    <t>langfristiger Vermögensaufbau</t>
  </si>
  <si>
    <t>Private Altersvorsorge</t>
  </si>
  <si>
    <t>zusätzliche Vorsorge</t>
  </si>
  <si>
    <t>Versicherungen, Reparaturen</t>
  </si>
  <si>
    <t>Sachwerte</t>
  </si>
  <si>
    <t>Weitere Werte</t>
  </si>
  <si>
    <t>optional</t>
  </si>
  <si>
    <t>Verbindlichkeit</t>
  </si>
  <si>
    <t>Privatkredit</t>
  </si>
  <si>
    <t>Restschuld</t>
  </si>
  <si>
    <t>Offener Saldo</t>
  </si>
  <si>
    <t>kurzfristig ausgleichen</t>
  </si>
  <si>
    <t>Sparziele</t>
  </si>
  <si>
    <t>Ziel</t>
  </si>
  <si>
    <t>Aktuell (€)</t>
  </si>
  <si>
    <t>Monatlicher Beitrag (€)</t>
  </si>
  <si>
    <t>Zielmonat</t>
  </si>
  <si>
    <t>Fortschritt</t>
  </si>
  <si>
    <t>Restbetrag (€)</t>
  </si>
  <si>
    <t>Benötigt/Monat (€)</t>
  </si>
  <si>
    <t>Urlaub &amp; größere Anschaffungen</t>
  </si>
  <si>
    <t>Eigenkapital langfristig</t>
  </si>
  <si>
    <t>Weiterbildung</t>
  </si>
  <si>
    <t>Rücklage Reparaturen</t>
  </si>
  <si>
    <t>Schuldenfrei werden</t>
  </si>
  <si>
    <t>Buchungstyp</t>
  </si>
  <si>
    <t>Regelmäßiges Nettoeinkommen</t>
  </si>
  <si>
    <t>Zusätzliche Einnahmen</t>
  </si>
  <si>
    <t>Kapitalerträge</t>
  </si>
  <si>
    <t>Einmalige Erstattung</t>
  </si>
  <si>
    <t>Miete, Nebenkosten</t>
  </si>
  <si>
    <t>Bargeld</t>
  </si>
  <si>
    <t>Transfer</t>
  </si>
  <si>
    <t>Strom, Heizung</t>
  </si>
  <si>
    <t>Supermarkt, Drogerie</t>
  </si>
  <si>
    <t>Haftpflicht, Hausrat</t>
  </si>
  <si>
    <t>Medizin, Arzt</t>
  </si>
  <si>
    <t>ÖPNV, Auto, Fahrrad</t>
  </si>
  <si>
    <t>Internet, Mobilfunk</t>
  </si>
  <si>
    <t>Kino, Veranstaltungen</t>
  </si>
  <si>
    <t>Café, Lieferdienst</t>
  </si>
  <si>
    <t>Mode, Schuhe</t>
  </si>
  <si>
    <t>Urlaub, Wochenenden</t>
  </si>
  <si>
    <t>Sport, Kurse</t>
  </si>
  <si>
    <t>Geburtstage, Spenden</t>
  </si>
  <si>
    <t>Liquiditätsreserve</t>
  </si>
  <si>
    <t>Langfristiger Vermögensaufbau</t>
  </si>
  <si>
    <t>Rente, Vorsorge</t>
  </si>
  <si>
    <t>Jährliche Kosten, Reparaturen</t>
  </si>
  <si>
    <t>Monatliche Rate</t>
  </si>
  <si>
    <t>Ausgleich offener Beträge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</si>
</sst>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\€;[Red]\(#,##0.00\ \€\);\-"/>
    <numFmt numFmtId="165" formatCode="0.0%;[Red]\(0.0%\);\-"/>
    <numFmt numFmtId="166" formatCode="dd\.mm\.yyyy"/>
    <numFmt numFmtId="167" formatCode="#,##0.0;[Red]\(#,##0.0\);\-"/>
  </numFmts>
  <fonts count="13" x14ac:knownFonts="1">
    <font>
      <sz val="11"/>
      <name val="Carlito"/>
    </font>
    <font>
      <b/>
      <sz val="11"/>
      <color rgb="FFFFFFFF"/>
      <name val="Carlito"/>
    </font>
    <font>
      <sz val="11"/>
      <color rgb="FF0000FF"/>
      <name val="Carlito"/>
    </font>
    <font>
      <sz val="11"/>
      <color rgb="FF6B7280"/>
      <name val="Carlito"/>
    </font>
    <font>
      <b/>
      <sz val="16"/>
      <color rgb="FFFFFFFF"/>
      <name val="Carlito"/>
    </font>
    <font>
      <sz val="11"/>
      <color rgb="FF92400E"/>
      <name val="Carlito"/>
    </font>
    <font>
      <sz val="11"/>
      <color rgb="FF000000"/>
      <name val="Carlito"/>
    </font>
    <font>
      <sz val="11"/>
      <color rgb="FFFFFFFF"/>
      <name val="Carlito"/>
    </font>
    <font>
      <b/>
      <sz val="11"/>
      <name val="Carlito"/>
    </font>
    <font>
      <b/>
      <sz val="11"/>
      <color rgb="FF000000"/>
      <name val="Carlito"/>
    </font>
    <font>
      <sz val="11"/>
      <name val="Carlito"/>
    </font>
    <font>
      <b/>
      <sz val="21"/>
      <color rgb="FFFFFFFF"/>
      <name val="Carlito"/>
      <family val="2"/>
    </font>
    <font>
      <sz val="21"/>
      <name val="Carlito"/>
      <family val="2"/>
    </font>
  </fonts>
  <fills count="10">
    <fill>
      <patternFill patternType="none"/>
    </fill>
    <fill>
      <patternFill patternType="gray125"/>
    </fill>
    <fill>
      <patternFill patternType="solid">
        <fgColor rgb="FF1F2937"/>
      </patternFill>
    </fill>
    <fill>
      <patternFill patternType="solid">
        <fgColor rgb="FFFFF2CC"/>
      </patternFill>
    </fill>
    <fill>
      <patternFill patternType="solid">
        <fgColor rgb="FF0F766E"/>
      </patternFill>
    </fill>
    <fill>
      <patternFill patternType="solid">
        <fgColor rgb="FFFEF3C7"/>
      </patternFill>
    </fill>
    <fill>
      <patternFill patternType="solid">
        <fgColor rgb="FFDCFCE7"/>
      </patternFill>
    </fill>
    <fill>
      <patternFill patternType="solid">
        <fgColor rgb="FFFEE2E2"/>
      </patternFill>
    </fill>
    <fill>
      <patternFill patternType="solid">
        <fgColor rgb="FFDBEAFE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2">
    <xf numFmtId="0" fontId="0" fillId="0" borderId="0"/>
    <xf numFmtId="0" fontId="10" fillId="0" borderId="0"/>
  </cellStyleXfs>
  <cellXfs count="58">
    <xf numFmtId="0" fontId="0" fillId="0" borderId="0" xfId="0"/>
    <xf numFmtId="0" fontId="1" fillId="2" borderId="0" xfId="1" applyFont="1" applyFill="1" applyAlignment="1">
      <alignment horizontal="center" vertical="center" wrapText="1"/>
    </xf>
    <xf numFmtId="0" fontId="0" fillId="0" borderId="0" xfId="1" applyFont="1" applyAlignment="1">
      <alignment wrapText="1"/>
    </xf>
    <xf numFmtId="0" fontId="1" fillId="2" borderId="1" xfId="1" applyFont="1" applyFill="1" applyBorder="1" applyAlignment="1">
      <alignment horizontal="center" vertical="center" wrapText="1"/>
    </xf>
    <xf numFmtId="1" fontId="2" fillId="3" borderId="0" xfId="1" applyNumberFormat="1" applyFont="1" applyFill="1" applyAlignment="1">
      <alignment wrapText="1"/>
    </xf>
    <xf numFmtId="0" fontId="2" fillId="3" borderId="0" xfId="1" applyFont="1" applyFill="1" applyAlignment="1">
      <alignment wrapText="1"/>
    </xf>
    <xf numFmtId="164" fontId="2" fillId="3" borderId="0" xfId="1" applyNumberFormat="1" applyFont="1" applyFill="1" applyAlignment="1">
      <alignment wrapText="1"/>
    </xf>
    <xf numFmtId="164" fontId="0" fillId="0" borderId="0" xfId="1" applyNumberFormat="1" applyFont="1" applyAlignment="1">
      <alignment wrapText="1"/>
    </xf>
    <xf numFmtId="164" fontId="0" fillId="0" borderId="0" xfId="1" applyNumberFormat="1" applyFont="1"/>
    <xf numFmtId="164" fontId="0" fillId="0" borderId="1" xfId="1" applyNumberFormat="1" applyFont="1" applyBorder="1"/>
    <xf numFmtId="165" fontId="0" fillId="0" borderId="0" xfId="1" applyNumberFormat="1" applyFont="1"/>
    <xf numFmtId="166" fontId="2" fillId="3" borderId="0" xfId="1" applyNumberFormat="1" applyFont="1" applyFill="1" applyAlignment="1">
      <alignment wrapText="1"/>
    </xf>
    <xf numFmtId="0" fontId="6" fillId="0" borderId="0" xfId="1" applyFont="1" applyAlignment="1">
      <alignment wrapText="1"/>
    </xf>
    <xf numFmtId="164" fontId="6" fillId="0" borderId="0" xfId="1" applyNumberFormat="1" applyFont="1" applyAlignment="1">
      <alignment wrapText="1"/>
    </xf>
    <xf numFmtId="165" fontId="0" fillId="0" borderId="0" xfId="1" applyNumberFormat="1" applyFont="1" applyAlignment="1">
      <alignment wrapText="1"/>
    </xf>
    <xf numFmtId="0" fontId="3" fillId="0" borderId="0" xfId="1" applyFont="1" applyAlignment="1">
      <alignment horizontal="center" wrapText="1"/>
    </xf>
    <xf numFmtId="167" fontId="0" fillId="0" borderId="0" xfId="1" applyNumberFormat="1" applyFont="1" applyAlignment="1">
      <alignment wrapText="1"/>
    </xf>
    <xf numFmtId="165" fontId="6" fillId="0" borderId="0" xfId="1" applyNumberFormat="1" applyFont="1" applyAlignment="1">
      <alignment wrapText="1"/>
    </xf>
    <xf numFmtId="0" fontId="0" fillId="0" borderId="0" xfId="1" applyFont="1" applyAlignment="1">
      <alignment wrapText="1"/>
    </xf>
    <xf numFmtId="0" fontId="5" fillId="5" borderId="0" xfId="1" applyFont="1" applyFill="1" applyAlignment="1">
      <alignment wrapText="1"/>
    </xf>
    <xf numFmtId="0" fontId="1" fillId="4" borderId="0" xfId="1" applyFont="1" applyFill="1" applyAlignment="1">
      <alignment horizontal="left" vertical="center"/>
    </xf>
    <xf numFmtId="0" fontId="0" fillId="0" borderId="0" xfId="0"/>
    <xf numFmtId="0" fontId="1" fillId="4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left" wrapText="1"/>
    </xf>
    <xf numFmtId="0" fontId="0" fillId="9" borderId="0" xfId="1" applyFont="1" applyFill="1" applyAlignment="1">
      <alignment wrapText="1"/>
    </xf>
    <xf numFmtId="0" fontId="0" fillId="9" borderId="0" xfId="0" applyFill="1"/>
    <xf numFmtId="0" fontId="7" fillId="9" borderId="0" xfId="1" applyFont="1" applyFill="1"/>
    <xf numFmtId="0" fontId="1" fillId="4" borderId="2" xfId="1" applyFont="1" applyFill="1" applyBorder="1" applyAlignment="1">
      <alignment horizontal="center" vertical="center"/>
    </xf>
    <xf numFmtId="0" fontId="1" fillId="4" borderId="3" xfId="1" applyFont="1" applyFill="1" applyBorder="1" applyAlignment="1">
      <alignment horizontal="center" vertical="center"/>
    </xf>
    <xf numFmtId="0" fontId="1" fillId="4" borderId="4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0" fillId="0" borderId="5" xfId="0" applyBorder="1"/>
    <xf numFmtId="165" fontId="0" fillId="0" borderId="6" xfId="1" applyNumberFormat="1" applyFont="1" applyBorder="1"/>
    <xf numFmtId="0" fontId="0" fillId="0" borderId="7" xfId="0" applyBorder="1"/>
    <xf numFmtId="164" fontId="0" fillId="0" borderId="8" xfId="1" applyNumberFormat="1" applyFont="1" applyBorder="1"/>
    <xf numFmtId="165" fontId="0" fillId="0" borderId="9" xfId="1" applyNumberFormat="1" applyFont="1" applyBorder="1"/>
    <xf numFmtId="0" fontId="1" fillId="4" borderId="2" xfId="1" applyFont="1" applyFill="1" applyBorder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9" xfId="0" applyBorder="1"/>
    <xf numFmtId="0" fontId="8" fillId="6" borderId="2" xfId="1" applyFont="1" applyFill="1" applyBorder="1"/>
    <xf numFmtId="164" fontId="8" fillId="6" borderId="4" xfId="1" applyNumberFormat="1" applyFont="1" applyFill="1" applyBorder="1"/>
    <xf numFmtId="0" fontId="8" fillId="7" borderId="5" xfId="1" applyFont="1" applyFill="1" applyBorder="1"/>
    <xf numFmtId="164" fontId="8" fillId="7" borderId="6" xfId="1" applyNumberFormat="1" applyFont="1" applyFill="1" applyBorder="1"/>
    <xf numFmtId="0" fontId="8" fillId="8" borderId="5" xfId="1" applyFont="1" applyFill="1" applyBorder="1"/>
    <xf numFmtId="164" fontId="9" fillId="8" borderId="6" xfId="1" applyNumberFormat="1" applyFont="1" applyFill="1" applyBorder="1"/>
    <xf numFmtId="165" fontId="9" fillId="8" borderId="6" xfId="1" applyNumberFormat="1" applyFont="1" applyFill="1" applyBorder="1"/>
    <xf numFmtId="164" fontId="8" fillId="8" borderId="6" xfId="1" applyNumberFormat="1" applyFont="1" applyFill="1" applyBorder="1"/>
    <xf numFmtId="0" fontId="8" fillId="8" borderId="7" xfId="1" applyFont="1" applyFill="1" applyBorder="1"/>
    <xf numFmtId="167" fontId="8" fillId="8" borderId="9" xfId="1" applyNumberFormat="1" applyFont="1" applyFill="1" applyBorder="1"/>
    <xf numFmtId="0" fontId="1" fillId="2" borderId="2" xfId="1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/>
    </xf>
    <xf numFmtId="0" fontId="6" fillId="0" borderId="10" xfId="1" applyFont="1" applyBorder="1"/>
    <xf numFmtId="0" fontId="2" fillId="3" borderId="11" xfId="1" applyFont="1" applyFill="1" applyBorder="1"/>
    <xf numFmtId="0" fontId="11" fillId="2" borderId="0" xfId="1" applyFont="1" applyFill="1" applyAlignment="1">
      <alignment horizontal="left" wrapText="1"/>
    </xf>
    <xf numFmtId="0" fontId="12" fillId="0" borderId="0" xfId="1" applyFont="1" applyAlignment="1">
      <alignment wrapText="1"/>
    </xf>
  </cellXfs>
  <cellStyles count="2">
    <cellStyle name="Normal" xfId="1" xr:uid="{00000000-0005-0000-0000-000000000000}"/>
    <cellStyle name="Standard" xfId="0" builtinId="0"/>
  </cellStyles>
  <dxfs count="8">
    <dxf>
      <font>
        <color rgb="FFB91C1C"/>
      </font>
    </dxf>
    <dxf>
      <font>
        <color rgb="FFB91C1C"/>
      </font>
    </dxf>
    <dxf>
      <font>
        <b/>
        <color rgb="FF166534"/>
      </font>
      <fill>
        <patternFill patternType="solid">
          <bgColor rgb="FFDCFCE7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color rgb="FF166534"/>
      </font>
      <fill>
        <patternFill patternType="solid">
          <bgColor rgb="FFDCFCE7"/>
        </patternFill>
      </fill>
    </dxf>
    <dxf>
      <font>
        <color rgb="FF991B1B"/>
      </font>
      <fill>
        <patternFill patternType="solid">
          <bgColor rgb="FFFEE2E2"/>
        </patternFill>
      </fill>
    </dxf>
    <dxf>
      <font>
        <b/>
        <color rgb="FF166534"/>
      </font>
      <fill>
        <patternFill patternType="solid">
          <bgColor rgb="FFDCFCE7"/>
        </patternFill>
      </fill>
    </dxf>
    <dxf>
      <font>
        <b/>
        <color rgb="FF991B1B"/>
      </font>
      <fill>
        <patternFill patternType="solid">
          <b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Plan</c:v>
          </c:tx>
          <c:invertIfNegative val="1"/>
          <c:cat>
            <c:strRef>
              <c:f>Übersicht!$D$6:$D$10</c:f>
              <c:strCache>
                <c:ptCount val="5"/>
                <c:pt idx="0">
                  <c:v>Einkommen</c:v>
                </c:pt>
                <c:pt idx="1">
                  <c:v>Bedarf</c:v>
                </c:pt>
                <c:pt idx="2">
                  <c:v>Wunsch</c:v>
                </c:pt>
                <c:pt idx="3">
                  <c:v>Sparen</c:v>
                </c:pt>
                <c:pt idx="4">
                  <c:v>Schulden</c:v>
                </c:pt>
              </c:strCache>
            </c:strRef>
          </c:cat>
          <c:val>
            <c:numRef>
              <c:f>Übersicht!$E$6:$E$10</c:f>
              <c:numCache>
                <c:formatCode>General</c:formatCode>
                <c:ptCount val="5"/>
                <c:pt idx="0">
                  <c:v>3405</c:v>
                </c:pt>
                <c:pt idx="1">
                  <c:v>2080</c:v>
                </c:pt>
                <c:pt idx="2">
                  <c:v>700</c:v>
                </c:pt>
                <c:pt idx="3">
                  <c:v>870</c:v>
                </c:pt>
                <c:pt idx="4">
                  <c:v>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64-4261-9FBE-7A94230BDAB4}"/>
            </c:ext>
          </c:extLst>
        </c:ser>
        <c:ser>
          <c:idx val="1"/>
          <c:order val="1"/>
          <c:tx>
            <c:v>Ist</c:v>
          </c:tx>
          <c:invertIfNegative val="1"/>
          <c:cat>
            <c:strRef>
              <c:f>Übersicht!$D$6:$D$10</c:f>
              <c:strCache>
                <c:ptCount val="5"/>
                <c:pt idx="0">
                  <c:v>Einkommen</c:v>
                </c:pt>
                <c:pt idx="1">
                  <c:v>Bedarf</c:v>
                </c:pt>
                <c:pt idx="2">
                  <c:v>Wunsch</c:v>
                </c:pt>
                <c:pt idx="3">
                  <c:v>Sparen</c:v>
                </c:pt>
                <c:pt idx="4">
                  <c:v>Schulden</c:v>
                </c:pt>
              </c:strCache>
            </c:strRef>
          </c:cat>
          <c:val>
            <c:numRef>
              <c:f>Übersicht!$F$6:$F$10</c:f>
              <c:numCache>
                <c:formatCode>General</c:formatCode>
                <c:ptCount val="5"/>
                <c:pt idx="0">
                  <c:v>3275</c:v>
                </c:pt>
                <c:pt idx="1">
                  <c:v>1842</c:v>
                </c:pt>
                <c:pt idx="2">
                  <c:v>337</c:v>
                </c:pt>
                <c:pt idx="3">
                  <c:v>870</c:v>
                </c:pt>
                <c:pt idx="4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64-4261-9FBE-7A94230BD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solidFill>
      <a:schemeClr val="tx2">
        <a:lumMod val="10000"/>
        <a:lumOff val="90000"/>
      </a:schemeClr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rPr lang="de-DE"/>
              <a:t>Einnahmen, Ausgaben und Cashflow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Einnahmen</c:v>
          </c:tx>
          <c:cat>
            <c:strRef>
              <c:f>Übersicht!$A$19:$A$30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Übersicht!$B$19:$B$30</c:f>
              <c:numCache>
                <c:formatCode>General</c:formatCode>
                <c:ptCount val="12"/>
                <c:pt idx="0">
                  <c:v>3200</c:v>
                </c:pt>
                <c:pt idx="1">
                  <c:v>3320</c:v>
                </c:pt>
                <c:pt idx="2">
                  <c:v>3218</c:v>
                </c:pt>
                <c:pt idx="3">
                  <c:v>3380</c:v>
                </c:pt>
                <c:pt idx="4">
                  <c:v>3275</c:v>
                </c:pt>
                <c:pt idx="5">
                  <c:v>3444</c:v>
                </c:pt>
                <c:pt idx="6">
                  <c:v>3200</c:v>
                </c:pt>
                <c:pt idx="7">
                  <c:v>3200</c:v>
                </c:pt>
                <c:pt idx="8">
                  <c:v>3380</c:v>
                </c:pt>
                <c:pt idx="9">
                  <c:v>3330</c:v>
                </c:pt>
                <c:pt idx="10">
                  <c:v>3400</c:v>
                </c:pt>
                <c:pt idx="11">
                  <c:v>3468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C0-4D12-975D-15C532029D9E}"/>
            </c:ext>
          </c:extLst>
        </c:ser>
        <c:ser>
          <c:idx val="1"/>
          <c:order val="1"/>
          <c:tx>
            <c:v>Ausgaben</c:v>
          </c:tx>
          <c:cat>
            <c:strRef>
              <c:f>Übersicht!$A$19:$A$30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Übersicht!$C$19:$C$30</c:f>
              <c:numCache>
                <c:formatCode>General</c:formatCode>
                <c:ptCount val="12"/>
                <c:pt idx="0">
                  <c:v>2153</c:v>
                </c:pt>
                <c:pt idx="1">
                  <c:v>2131</c:v>
                </c:pt>
                <c:pt idx="2">
                  <c:v>2229</c:v>
                </c:pt>
                <c:pt idx="3">
                  <c:v>2287</c:v>
                </c:pt>
                <c:pt idx="4">
                  <c:v>2179</c:v>
                </c:pt>
                <c:pt idx="5">
                  <c:v>2689</c:v>
                </c:pt>
                <c:pt idx="6">
                  <c:v>2290</c:v>
                </c:pt>
                <c:pt idx="7">
                  <c:v>2879</c:v>
                </c:pt>
                <c:pt idx="8">
                  <c:v>2219</c:v>
                </c:pt>
                <c:pt idx="9">
                  <c:v>2144</c:v>
                </c:pt>
                <c:pt idx="10">
                  <c:v>2335</c:v>
                </c:pt>
                <c:pt idx="11">
                  <c:v>2522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C0-4D12-975D-15C532029D9E}"/>
            </c:ext>
          </c:extLst>
        </c:ser>
        <c:ser>
          <c:idx val="2"/>
          <c:order val="2"/>
          <c:tx>
            <c:v>Sparen</c:v>
          </c:tx>
          <c:cat>
            <c:strRef>
              <c:f>Übersicht!$A$19:$A$30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Übersicht!$D$19:$D$30</c:f>
              <c:numCache>
                <c:formatCode>General</c:formatCode>
                <c:ptCount val="12"/>
                <c:pt idx="0">
                  <c:v>870</c:v>
                </c:pt>
                <c:pt idx="1">
                  <c:v>870</c:v>
                </c:pt>
                <c:pt idx="2">
                  <c:v>870</c:v>
                </c:pt>
                <c:pt idx="3">
                  <c:v>870</c:v>
                </c:pt>
                <c:pt idx="4">
                  <c:v>870</c:v>
                </c:pt>
                <c:pt idx="5">
                  <c:v>870</c:v>
                </c:pt>
                <c:pt idx="6">
                  <c:v>870</c:v>
                </c:pt>
                <c:pt idx="7">
                  <c:v>870</c:v>
                </c:pt>
                <c:pt idx="8">
                  <c:v>870</c:v>
                </c:pt>
                <c:pt idx="9">
                  <c:v>770</c:v>
                </c:pt>
                <c:pt idx="10">
                  <c:v>770</c:v>
                </c:pt>
                <c:pt idx="11">
                  <c:v>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C0-4D12-975D-15C532029D9E}"/>
            </c:ext>
          </c:extLst>
        </c:ser>
        <c:ser>
          <c:idx val="3"/>
          <c:order val="3"/>
          <c:tx>
            <c:v>Schulden</c:v>
          </c:tx>
          <c:cat>
            <c:strRef>
              <c:f>Übersicht!$A$19:$A$30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Übersicht!$E$19:$E$30</c:f>
              <c:numCache>
                <c:formatCode>General</c:formatCode>
                <c:ptCount val="12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C0-4D12-975D-15C532029D9E}"/>
            </c:ext>
          </c:extLst>
        </c:ser>
        <c:ser>
          <c:idx val="4"/>
          <c:order val="4"/>
          <c:tx>
            <c:v>Cashflow</c:v>
          </c:tx>
          <c:cat>
            <c:strRef>
              <c:f>Übersicht!$A$19:$A$30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Übersicht!$F$19:$F$30</c:f>
              <c:numCache>
                <c:formatCode>General</c:formatCode>
                <c:ptCount val="12"/>
                <c:pt idx="0">
                  <c:v>-123</c:v>
                </c:pt>
                <c:pt idx="1">
                  <c:v>19</c:v>
                </c:pt>
                <c:pt idx="2">
                  <c:v>-181</c:v>
                </c:pt>
                <c:pt idx="3">
                  <c:v>-77</c:v>
                </c:pt>
                <c:pt idx="4">
                  <c:v>-74</c:v>
                </c:pt>
                <c:pt idx="5">
                  <c:v>-415</c:v>
                </c:pt>
                <c:pt idx="6">
                  <c:v>-140</c:v>
                </c:pt>
                <c:pt idx="7">
                  <c:v>-729</c:v>
                </c:pt>
                <c:pt idx="8">
                  <c:v>111</c:v>
                </c:pt>
                <c:pt idx="9">
                  <c:v>236</c:v>
                </c:pt>
                <c:pt idx="10">
                  <c:v>115</c:v>
                </c:pt>
                <c:pt idx="11">
                  <c:v>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DC0-4D12-975D-15C532029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solidFill>
      <a:schemeClr val="tx2">
        <a:lumMod val="10000"/>
        <a:lumOff val="90000"/>
      </a:schemeClr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30</xdr:row>
      <xdr:rowOff>28574</xdr:rowOff>
    </xdr:from>
    <xdr:to>
      <xdr:col>5</xdr:col>
      <xdr:colOff>809625</xdr:colOff>
      <xdr:row>49</xdr:row>
      <xdr:rowOff>57149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933450</xdr:colOff>
      <xdr:row>30</xdr:row>
      <xdr:rowOff>47625</xdr:rowOff>
    </xdr:from>
    <xdr:to>
      <xdr:col>13</xdr:col>
      <xdr:colOff>552450</xdr:colOff>
      <xdr:row>49</xdr:row>
      <xdr:rowOff>47625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blPlanung" displayName="tblPlanung" ref="A5:S28">
  <tableColumns count="19">
    <tableColumn id="1" xr3:uid="{00000000-0010-0000-0000-000001000000}" name="Kategorie"/>
    <tableColumn id="2" xr3:uid="{00000000-0010-0000-0000-000002000000}" name="Budgetgruppe"/>
    <tableColumn id="3" xr3:uid="{00000000-0010-0000-0000-000003000000}" name="Monatsplan (€)"/>
    <tableColumn id="4" xr3:uid="{00000000-0010-0000-0000-000004000000}" name="Jahresplan (€)"/>
    <tableColumn id="5" xr3:uid="{00000000-0010-0000-0000-000005000000}" name="Januar Ist"/>
    <tableColumn id="6" xr3:uid="{00000000-0010-0000-0000-000006000000}" name="Februar Ist"/>
    <tableColumn id="7" xr3:uid="{00000000-0010-0000-0000-000007000000}" name="März Ist"/>
    <tableColumn id="8" xr3:uid="{00000000-0010-0000-0000-000008000000}" name="April Ist"/>
    <tableColumn id="9" xr3:uid="{00000000-0010-0000-0000-000009000000}" name="Mai Ist"/>
    <tableColumn id="10" xr3:uid="{00000000-0010-0000-0000-00000A000000}" name="Juni Ist"/>
    <tableColumn id="11" xr3:uid="{00000000-0010-0000-0000-00000B000000}" name="Juli Ist"/>
    <tableColumn id="12" xr3:uid="{00000000-0010-0000-0000-00000C000000}" name="August Ist"/>
    <tableColumn id="13" xr3:uid="{00000000-0010-0000-0000-00000D000000}" name="September Ist"/>
    <tableColumn id="14" xr3:uid="{00000000-0010-0000-0000-00000E000000}" name="Oktober Ist"/>
    <tableColumn id="15" xr3:uid="{00000000-0010-0000-0000-00000F000000}" name="November Ist"/>
    <tableColumn id="16" xr3:uid="{00000000-0010-0000-0000-000010000000}" name="Dezember Ist"/>
    <tableColumn id="17" xr3:uid="{00000000-0010-0000-0000-000011000000}" name="Jahr Ist"/>
    <tableColumn id="18" xr3:uid="{00000000-0010-0000-0000-000012000000}" name="Abweichung"/>
    <tableColumn id="19" xr3:uid="{00000000-0010-0000-0000-000013000000}" name="Statu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blBuchungen" displayName="tblBuchungen" ref="A5:K230">
  <tableColumns count="11">
    <tableColumn id="1" xr3:uid="{00000000-0010-0000-0100-000001000000}" name="Datum"/>
    <tableColumn id="2" xr3:uid="{00000000-0010-0000-0100-000002000000}" name="Typ"/>
    <tableColumn id="3" xr3:uid="{00000000-0010-0000-0100-000003000000}" name="Kategorie"/>
    <tableColumn id="4" xr3:uid="{00000000-0010-0000-0100-000004000000}" name="Unterkategorie"/>
    <tableColumn id="5" xr3:uid="{00000000-0010-0000-0100-000005000000}" name="Konto"/>
    <tableColumn id="6" xr3:uid="{00000000-0010-0000-0100-000006000000}" name="Beschreibung"/>
    <tableColumn id="7" xr3:uid="{00000000-0010-0000-0100-000007000000}" name="Betrag (€)"/>
    <tableColumn id="8" xr3:uid="{00000000-0010-0000-0100-000008000000}" name="Monat"/>
    <tableColumn id="9" xr3:uid="{00000000-0010-0000-0100-000009000000}" name="Jahr"/>
    <tableColumn id="10" xr3:uid="{00000000-0010-0000-0100-00000A000000}" name="Betrag +/-"/>
    <tableColumn id="11" xr3:uid="{00000000-0010-0000-0100-00000B000000}" name="Budgetgrupp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blVermoegen" displayName="tblVermoegen" ref="A12:F24">
  <tableColumns count="6">
    <tableColumn id="1" xr3:uid="{00000000-0010-0000-0200-000001000000}" name="Typ"/>
    <tableColumn id="2" xr3:uid="{00000000-0010-0000-0200-000002000000}" name="Kategorie"/>
    <tableColumn id="3" xr3:uid="{00000000-0010-0000-0200-000003000000}" name="Bezeichnung"/>
    <tableColumn id="4" xr3:uid="{00000000-0010-0000-0200-000004000000}" name="Betrag (€)"/>
    <tableColumn id="5" xr3:uid="{00000000-0010-0000-0200-000005000000}" name="Zielbetrag (€)"/>
    <tableColumn id="6" xr3:uid="{00000000-0010-0000-0200-000006000000}" name="Kommentar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blKategorien" displayName="tblKategorien" ref="A1:D24">
  <tableColumns count="4">
    <tableColumn id="1" xr3:uid="{00000000-0010-0000-0300-000001000000}" name="Kategorie"/>
    <tableColumn id="2" xr3:uid="{00000000-0010-0000-0300-000002000000}" name="Budgetgruppe"/>
    <tableColumn id="3" xr3:uid="{00000000-0010-0000-0300-000003000000}" name="Typ"/>
    <tableColumn id="4" xr3:uid="{00000000-0010-0000-0300-000004000000}" name="Beschreibu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49"/>
  <sheetViews>
    <sheetView tabSelected="1" workbookViewId="0">
      <selection activeCell="E15" sqref="E15"/>
    </sheetView>
  </sheetViews>
  <sheetFormatPr baseColWidth="10" defaultColWidth="9" defaultRowHeight="15" x14ac:dyDescent="0.25"/>
  <cols>
    <col min="1" max="1" width="24" customWidth="1"/>
    <col min="2" max="2" width="18" customWidth="1"/>
    <col min="3" max="3" width="15" customWidth="1"/>
    <col min="4" max="4" width="17" customWidth="1"/>
    <col min="5" max="7" width="14" customWidth="1"/>
    <col min="8" max="8" width="12" customWidth="1"/>
    <col min="9" max="9" width="9" style="25"/>
    <col min="10" max="10" width="24" customWidth="1"/>
    <col min="11" max="11" width="14" customWidth="1"/>
    <col min="12" max="12" width="12" customWidth="1"/>
    <col min="13" max="13" width="4" style="25" customWidth="1"/>
    <col min="14" max="20" width="14" style="25" customWidth="1"/>
    <col min="21" max="23" width="9" style="25"/>
  </cols>
  <sheetData>
    <row r="1" spans="1:26" ht="27.75" customHeight="1" x14ac:dyDescent="0.45">
      <c r="A1" s="56" t="s">
        <v>0</v>
      </c>
      <c r="B1" s="57"/>
      <c r="C1" s="57"/>
      <c r="D1" s="57"/>
      <c r="E1" s="57"/>
      <c r="F1" s="57"/>
      <c r="G1" s="57"/>
      <c r="H1" s="57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"/>
      <c r="Y1" s="2"/>
      <c r="Z1" s="2"/>
    </row>
    <row r="2" spans="1:26" x14ac:dyDescent="0.25">
      <c r="A2" s="19" t="s">
        <v>1</v>
      </c>
      <c r="B2" s="18"/>
      <c r="C2" s="18"/>
      <c r="D2" s="18"/>
      <c r="E2" s="18"/>
      <c r="F2" s="18"/>
      <c r="G2" s="18"/>
      <c r="H2" s="18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"/>
      <c r="Y2" s="2"/>
      <c r="Z2" s="2"/>
    </row>
    <row r="3" spans="1:26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"/>
      <c r="Y3" s="2"/>
      <c r="Z3" s="2"/>
    </row>
    <row r="4" spans="1:26" x14ac:dyDescent="0.25">
      <c r="A4" s="52" t="s">
        <v>2</v>
      </c>
      <c r="B4" s="54">
        <f>Planung!$B$1</f>
        <v>2026</v>
      </c>
      <c r="D4" s="37" t="s">
        <v>3</v>
      </c>
      <c r="E4" s="38"/>
      <c r="F4" s="38"/>
      <c r="G4" s="38"/>
      <c r="H4" s="39"/>
      <c r="J4" s="20" t="s">
        <v>4</v>
      </c>
      <c r="K4" s="21"/>
      <c r="L4" s="21"/>
      <c r="U4" s="24"/>
      <c r="V4" s="24"/>
      <c r="W4" s="24"/>
      <c r="X4" s="2"/>
      <c r="Y4" s="2"/>
      <c r="Z4" s="2"/>
    </row>
    <row r="5" spans="1:26" x14ac:dyDescent="0.25">
      <c r="A5" s="53" t="s">
        <v>5</v>
      </c>
      <c r="B5" s="55" t="s">
        <v>6</v>
      </c>
      <c r="C5" s="26">
        <f>MATCH(B5,Listen!$F$2:$F$13,0)</f>
        <v>5</v>
      </c>
      <c r="D5" s="30" t="s">
        <v>7</v>
      </c>
      <c r="E5" s="3" t="s">
        <v>8</v>
      </c>
      <c r="F5" s="3" t="s">
        <v>9</v>
      </c>
      <c r="G5" s="3" t="s">
        <v>10</v>
      </c>
      <c r="H5" s="31" t="s">
        <v>11</v>
      </c>
      <c r="J5" s="1" t="s">
        <v>12</v>
      </c>
      <c r="K5" s="1" t="s">
        <v>13</v>
      </c>
      <c r="L5" s="1" t="s">
        <v>14</v>
      </c>
      <c r="U5" s="24"/>
      <c r="V5" s="24"/>
      <c r="W5" s="24"/>
      <c r="X5" s="2"/>
      <c r="Y5" s="2"/>
      <c r="Z5" s="2"/>
    </row>
    <row r="6" spans="1:26" x14ac:dyDescent="0.25">
      <c r="A6" s="25"/>
      <c r="B6" s="25"/>
      <c r="C6" s="25"/>
      <c r="D6" s="32" t="s">
        <v>15</v>
      </c>
      <c r="E6" s="9">
        <f>SUMIFS(Planung!$C$6:$C$28,Planung!$B$6:$B$28,D6)</f>
        <v>3405</v>
      </c>
      <c r="F6" s="9">
        <f>IF(D6="Einkommen",SUMIFS(Buchungen!$J$6:$J$330,Buchungen!$I$6:$I$330,$B$4,Buchungen!$H$6:$H$330,$C$5,Buchungen!$K$6:$K$330,D6),-SUMIFS(Buchungen!$J$6:$J$330,Buchungen!$I$6:$I$330,$B$4,Buchungen!$H$6:$H$330,$C$5,Buchungen!$K$6:$K$330,D6))</f>
        <v>3275</v>
      </c>
      <c r="G6" s="9">
        <f>IF(OR(D6="Einkommen",D6="Sparen"),F6-E6,E6-F6)</f>
        <v>-130</v>
      </c>
      <c r="H6" s="40" t="str">
        <f>IF(G6&gt;=0,"ok","prüfen")</f>
        <v>prüfen</v>
      </c>
      <c r="J6" t="s">
        <v>16</v>
      </c>
      <c r="K6" s="8">
        <f>-SUMIFS(Buchungen!$J$6:$J$330,Buchungen!$C$6:$C$330,J6,Buchungen!$H$6:$H$330,$C$5,Buchungen!$I$6:$I$330,$B$4)</f>
        <v>1050</v>
      </c>
      <c r="L6" s="10">
        <f>IFERROR(K6/SUM($K$6:$K$24),0)</f>
        <v>0.3135264257987459</v>
      </c>
      <c r="U6" s="24"/>
      <c r="V6" s="24"/>
      <c r="W6" s="24"/>
      <c r="X6" s="2"/>
      <c r="Y6" s="2"/>
      <c r="Z6" s="2"/>
    </row>
    <row r="7" spans="1:26" x14ac:dyDescent="0.25">
      <c r="A7" s="42" t="s">
        <v>17</v>
      </c>
      <c r="B7" s="43">
        <f>SUMIFS(Buchungen!$J$6:$J$330,Buchungen!$I$6:$I$330,$B$4,Buchungen!$H$6:$H$330,$C$5,Buchungen!$K$6:$K$330,"Einkommen")</f>
        <v>3275</v>
      </c>
      <c r="C7" s="25"/>
      <c r="D7" s="32" t="s">
        <v>18</v>
      </c>
      <c r="E7" s="9">
        <f>SUMIFS(Planung!$C$6:$C$28,Planung!$B$6:$B$28,D7)</f>
        <v>2080</v>
      </c>
      <c r="F7" s="9">
        <f>IF(D7="Einkommen",SUMIFS(Buchungen!$J$6:$J$330,Buchungen!$I$6:$I$330,$B$4,Buchungen!$H$6:$H$330,$C$5,Buchungen!$K$6:$K$330,D7),-SUMIFS(Buchungen!$J$6:$J$330,Buchungen!$I$6:$I$330,$B$4,Buchungen!$H$6:$H$330,$C$5,Buchungen!$K$6:$K$330,D7))</f>
        <v>1842</v>
      </c>
      <c r="G7" s="9">
        <f>IF(OR(D7="Einkommen",D7="Sparen"),F7-E7,E7-F7)</f>
        <v>238</v>
      </c>
      <c r="H7" s="40" t="str">
        <f>IF(G7&gt;=0,"ok","prüfen")</f>
        <v>ok</v>
      </c>
      <c r="J7" t="s">
        <v>19</v>
      </c>
      <c r="K7" s="8">
        <f>-SUMIFS(Buchungen!$J$6:$J$330,Buchungen!$C$6:$C$330,J7,Buchungen!$H$6:$H$330,$C$5,Buchungen!$I$6:$I$330,$B$4)</f>
        <v>138</v>
      </c>
      <c r="L7" s="10">
        <f>IFERROR(K7/SUM($K$6:$K$24),0)</f>
        <v>4.1206330247835175E-2</v>
      </c>
      <c r="U7" s="24"/>
      <c r="V7" s="24"/>
      <c r="W7" s="24"/>
      <c r="X7" s="2"/>
      <c r="Y7" s="2"/>
      <c r="Z7" s="2"/>
    </row>
    <row r="8" spans="1:26" x14ac:dyDescent="0.25">
      <c r="A8" s="44" t="s">
        <v>20</v>
      </c>
      <c r="B8" s="45">
        <f>-(SUMIFS(Buchungen!$J$6:$J$330,Buchungen!$I$6:$I$330,$B$4,Buchungen!$H$6:$H$330,$C$5,Buchungen!$K$6:$K$330,"Bedarf")+SUMIFS(Buchungen!$J$6:$J$330,Buchungen!$I$6:$I$330,$B$4,Buchungen!$H$6:$H$330,$C$5,Buchungen!$K$6:$K$330,"Wunsch"))</f>
        <v>2179</v>
      </c>
      <c r="C8" s="25"/>
      <c r="D8" s="32" t="s">
        <v>21</v>
      </c>
      <c r="E8" s="9">
        <f>SUMIFS(Planung!$C$6:$C$28,Planung!$B$6:$B$28,D8)</f>
        <v>700</v>
      </c>
      <c r="F8" s="9">
        <f>IF(D8="Einkommen",SUMIFS(Buchungen!$J$6:$J$330,Buchungen!$I$6:$I$330,$B$4,Buchungen!$H$6:$H$330,$C$5,Buchungen!$K$6:$K$330,D8),-SUMIFS(Buchungen!$J$6:$J$330,Buchungen!$I$6:$I$330,$B$4,Buchungen!$H$6:$H$330,$C$5,Buchungen!$K$6:$K$330,D8))</f>
        <v>337</v>
      </c>
      <c r="G8" s="9">
        <f>IF(OR(D8="Einkommen",D8="Sparen"),F8-E8,E8-F8)</f>
        <v>363</v>
      </c>
      <c r="H8" s="40" t="str">
        <f>IF(G8&gt;=0,"ok","prüfen")</f>
        <v>ok</v>
      </c>
      <c r="J8" t="s">
        <v>22</v>
      </c>
      <c r="K8" s="8">
        <f>-SUMIFS(Buchungen!$J$6:$J$330,Buchungen!$C$6:$C$330,J8,Buchungen!$H$6:$H$330,$C$5,Buchungen!$I$6:$I$330,$B$4)</f>
        <v>412</v>
      </c>
      <c r="L8" s="10">
        <f>IFERROR(K8/SUM($K$6:$K$24),0)</f>
        <v>0.12302179755150791</v>
      </c>
      <c r="U8" s="24"/>
      <c r="V8" s="24"/>
      <c r="W8" s="24"/>
      <c r="X8" s="2"/>
      <c r="Y8" s="2"/>
      <c r="Z8" s="2"/>
    </row>
    <row r="9" spans="1:26" x14ac:dyDescent="0.25">
      <c r="A9" s="44" t="s">
        <v>23</v>
      </c>
      <c r="B9" s="45">
        <f>-SUMIFS(Buchungen!$J$6:$J$330,Buchungen!$I$6:$I$330,$B$4,Buchungen!$H$6:$H$330,$C$5,Buchungen!$K$6:$K$330,"Sparen")</f>
        <v>870</v>
      </c>
      <c r="C9" s="25"/>
      <c r="D9" s="32" t="s">
        <v>24</v>
      </c>
      <c r="E9" s="9">
        <f>SUMIFS(Planung!$C$6:$C$28,Planung!$B$6:$B$28,D9)</f>
        <v>870</v>
      </c>
      <c r="F9" s="9">
        <f>IF(D9="Einkommen",SUMIFS(Buchungen!$J$6:$J$330,Buchungen!$I$6:$I$330,$B$4,Buchungen!$H$6:$H$330,$C$5,Buchungen!$K$6:$K$330,D9),-SUMIFS(Buchungen!$J$6:$J$330,Buchungen!$I$6:$I$330,$B$4,Buchungen!$H$6:$H$330,$C$5,Buchungen!$K$6:$K$330,D9))</f>
        <v>870</v>
      </c>
      <c r="G9" s="9">
        <f>IF(OR(D9="Einkommen",D9="Sparen"),F9-E9,E9-F9)</f>
        <v>0</v>
      </c>
      <c r="H9" s="40" t="str">
        <f>IF(G9&gt;=0,"ok","prüfen")</f>
        <v>ok</v>
      </c>
      <c r="J9" t="s">
        <v>25</v>
      </c>
      <c r="K9" s="8">
        <f>-SUMIFS(Buchungen!$J$6:$J$330,Buchungen!$C$6:$C$330,J9,Buchungen!$H$6:$H$330,$C$5,Buchungen!$I$6:$I$330,$B$4)</f>
        <v>92</v>
      </c>
      <c r="L9" s="10">
        <f>IFERROR(K9/SUM($K$6:$K$24),0)</f>
        <v>2.7470886831890116E-2</v>
      </c>
      <c r="U9" s="24"/>
      <c r="V9" s="24"/>
      <c r="W9" s="24"/>
      <c r="X9" s="2"/>
      <c r="Y9" s="2"/>
      <c r="Z9" s="2"/>
    </row>
    <row r="10" spans="1:26" x14ac:dyDescent="0.25">
      <c r="A10" s="44" t="s">
        <v>26</v>
      </c>
      <c r="B10" s="45">
        <f>-SUMIFS(Buchungen!$J$6:$J$330,Buchungen!$I$6:$I$330,$B$4,Buchungen!$H$6:$H$330,$C$5,Buchungen!$K$6:$K$330,"Schulden")</f>
        <v>300</v>
      </c>
      <c r="C10" s="25"/>
      <c r="D10" s="34" t="s">
        <v>27</v>
      </c>
      <c r="E10" s="35">
        <f>SUMIFS(Planung!$C$6:$C$28,Planung!$B$6:$B$28,D10)</f>
        <v>280</v>
      </c>
      <c r="F10" s="35">
        <f>IF(D10="Einkommen",SUMIFS(Buchungen!$J$6:$J$330,Buchungen!$I$6:$I$330,$B$4,Buchungen!$H$6:$H$330,$C$5,Buchungen!$K$6:$K$330,D10),-SUMIFS(Buchungen!$J$6:$J$330,Buchungen!$I$6:$I$330,$B$4,Buchungen!$H$6:$H$330,$C$5,Buchungen!$K$6:$K$330,D10))</f>
        <v>300</v>
      </c>
      <c r="G10" s="35">
        <f>IF(OR(D10="Einkommen",D10="Sparen"),F10-E10,E10-F10)</f>
        <v>-20</v>
      </c>
      <c r="H10" s="41" t="str">
        <f>IF(G10&gt;=0,"ok","prüfen")</f>
        <v>prüfen</v>
      </c>
      <c r="J10" t="s">
        <v>28</v>
      </c>
      <c r="K10" s="8">
        <f>-SUMIFS(Buchungen!$J$6:$J$330,Buchungen!$C$6:$C$330,J10,Buchungen!$H$6:$H$330,$C$5,Buchungen!$I$6:$I$330,$B$4)</f>
        <v>28</v>
      </c>
      <c r="L10" s="10">
        <f>IFERROR(K10/SUM($K$6:$K$24),0)</f>
        <v>8.360704687966557E-3</v>
      </c>
      <c r="U10" s="24"/>
      <c r="V10" s="24"/>
      <c r="W10" s="24"/>
      <c r="X10" s="2"/>
      <c r="Y10" s="2"/>
      <c r="Z10" s="2"/>
    </row>
    <row r="11" spans="1:26" x14ac:dyDescent="0.25">
      <c r="A11" s="46" t="s">
        <v>29</v>
      </c>
      <c r="B11" s="47">
        <f>B7-B8-B9-B10</f>
        <v>-74</v>
      </c>
      <c r="C11" s="25"/>
      <c r="D11" s="25"/>
      <c r="E11" s="25"/>
      <c r="F11" s="25"/>
      <c r="G11" s="25"/>
      <c r="H11" s="25"/>
      <c r="J11" t="s">
        <v>30</v>
      </c>
      <c r="K11" s="8">
        <f>-SUMIFS(Buchungen!$J$6:$J$330,Buchungen!$C$6:$C$330,J11,Buchungen!$H$6:$H$330,$C$5,Buchungen!$I$6:$I$330,$B$4)</f>
        <v>59</v>
      </c>
      <c r="L11" s="10">
        <f>IFERROR(K11/SUM($K$6:$K$24),0)</f>
        <v>1.761719916392953E-2</v>
      </c>
      <c r="U11" s="24"/>
      <c r="V11" s="24"/>
      <c r="W11" s="24"/>
      <c r="X11" s="2"/>
      <c r="Y11" s="2"/>
      <c r="Z11" s="2"/>
    </row>
    <row r="12" spans="1:26" x14ac:dyDescent="0.25">
      <c r="A12" s="46" t="s">
        <v>31</v>
      </c>
      <c r="B12" s="48">
        <f>IFERROR(B9/B7,0)</f>
        <v>0.26564885496183205</v>
      </c>
      <c r="C12" s="25"/>
      <c r="D12" s="25"/>
      <c r="E12" s="25"/>
      <c r="F12" s="25"/>
      <c r="G12" s="25"/>
      <c r="H12" s="25"/>
      <c r="J12" t="s">
        <v>32</v>
      </c>
      <c r="K12" s="8">
        <f>-SUMIFS(Buchungen!$J$6:$J$330,Buchungen!$C$6:$C$330,J12,Buchungen!$H$6:$H$330,$C$5,Buchungen!$I$6:$I$330,$B$4)</f>
        <v>63</v>
      </c>
      <c r="L12" s="10">
        <f>IFERROR(K12/SUM($K$6:$K$24),0)</f>
        <v>1.8811585547924753E-2</v>
      </c>
      <c r="U12" s="24"/>
      <c r="V12" s="24"/>
      <c r="W12" s="24"/>
      <c r="X12" s="2"/>
      <c r="Y12" s="2"/>
      <c r="Z12" s="2"/>
    </row>
    <row r="13" spans="1:26" x14ac:dyDescent="0.25">
      <c r="A13" s="46" t="s">
        <v>33</v>
      </c>
      <c r="B13" s="47">
        <f>B11-(SUMIFS(Planung!$C$6:$C$28,Planung!$B$6:$B$28,"Einkommen")-SUMIFS(Planung!$C$6:$C$28,Planung!$B$6:$B$28,"Bedarf")-SUMIFS(Planung!$C$6:$C$28,Planung!$B$6:$B$28,"Wunsch")-SUMIFS(Planung!$C$6:$C$28,Planung!$B$6:$B$28,"Sparen")-SUMIFS(Planung!$C$6:$C$28,Planung!$B$6:$B$28,"Schulden"))</f>
        <v>451</v>
      </c>
      <c r="C13" s="25"/>
      <c r="D13" s="25"/>
      <c r="E13" s="25"/>
      <c r="F13" s="25"/>
      <c r="G13" s="25"/>
      <c r="H13" s="25"/>
      <c r="J13" t="s">
        <v>34</v>
      </c>
      <c r="K13" s="8">
        <f>-SUMIFS(Buchungen!$J$6:$J$330,Buchungen!$C$6:$C$330,J13,Buchungen!$H$6:$H$330,$C$5,Buchungen!$I$6:$I$330,$B$4)</f>
        <v>115</v>
      </c>
      <c r="L13" s="10">
        <f>IFERROR(K13/SUM($K$6:$K$24),0)</f>
        <v>3.4338608539862647E-2</v>
      </c>
      <c r="U13" s="24"/>
      <c r="V13" s="24"/>
      <c r="W13" s="24"/>
      <c r="X13" s="2"/>
      <c r="Y13" s="2"/>
      <c r="Z13" s="2"/>
    </row>
    <row r="14" spans="1:26" x14ac:dyDescent="0.25">
      <c r="A14" s="46" t="s">
        <v>35</v>
      </c>
      <c r="B14" s="49">
        <f>'Ziele &amp; Vermögen'!$B$6</f>
        <v>53530</v>
      </c>
      <c r="C14" s="25"/>
      <c r="D14" s="25"/>
      <c r="E14" s="25"/>
      <c r="F14" s="25"/>
      <c r="G14" s="25"/>
      <c r="H14" s="25"/>
      <c r="J14" t="s">
        <v>36</v>
      </c>
      <c r="K14" s="8">
        <f>-SUMIFS(Buchungen!$J$6:$J$330,Buchungen!$C$6:$C$330,J14,Buchungen!$H$6:$H$330,$C$5,Buchungen!$I$6:$I$330,$B$4)</f>
        <v>150</v>
      </c>
      <c r="L14" s="10">
        <f>IFERROR(K14/SUM($K$6:$K$24),0)</f>
        <v>4.4789489399820845E-2</v>
      </c>
      <c r="U14" s="24"/>
      <c r="V14" s="24"/>
      <c r="W14" s="24"/>
      <c r="X14" s="2"/>
      <c r="Y14" s="2"/>
      <c r="Z14" s="2"/>
    </row>
    <row r="15" spans="1:26" x14ac:dyDescent="0.25">
      <c r="A15" s="50" t="s">
        <v>37</v>
      </c>
      <c r="B15" s="51">
        <f>'Ziele &amp; Vermögen'!$B$8</f>
        <v>6.8509615384615383</v>
      </c>
      <c r="C15" s="25"/>
      <c r="D15" s="25"/>
      <c r="E15" s="25"/>
      <c r="F15" s="25"/>
      <c r="G15" s="25"/>
      <c r="H15" s="25"/>
      <c r="J15" t="s">
        <v>38</v>
      </c>
      <c r="K15" s="8">
        <f>-SUMIFS(Buchungen!$J$6:$J$330,Buchungen!$C$6:$C$330,J15,Buchungen!$H$6:$H$330,$C$5,Buchungen!$I$6:$I$330,$B$4)</f>
        <v>0</v>
      </c>
      <c r="L15" s="10">
        <f>IFERROR(K15/SUM($K$6:$K$24),0)</f>
        <v>0</v>
      </c>
      <c r="U15" s="24"/>
      <c r="V15" s="24"/>
      <c r="W15" s="24"/>
      <c r="X15" s="2"/>
      <c r="Y15" s="2"/>
      <c r="Z15" s="2"/>
    </row>
    <row r="16" spans="1:26" x14ac:dyDescent="0.25">
      <c r="A16" s="25"/>
      <c r="B16" s="25"/>
      <c r="C16" s="25"/>
      <c r="D16" s="25"/>
      <c r="E16" s="25"/>
      <c r="F16" s="25"/>
      <c r="G16" s="25"/>
      <c r="H16" s="25"/>
      <c r="J16" t="s">
        <v>39</v>
      </c>
      <c r="K16" s="8">
        <f>-SUMIFS(Buchungen!$J$6:$J$330,Buchungen!$C$6:$C$330,J16,Buchungen!$H$6:$H$330,$C$5,Buchungen!$I$6:$I$330,$B$4)</f>
        <v>0</v>
      </c>
      <c r="L16" s="10">
        <f>IFERROR(K16/SUM($K$6:$K$24),0)</f>
        <v>0</v>
      </c>
      <c r="U16" s="24"/>
      <c r="V16" s="24"/>
      <c r="W16" s="24"/>
      <c r="X16" s="2"/>
      <c r="Y16" s="2"/>
      <c r="Z16" s="2"/>
    </row>
    <row r="17" spans="1:26" x14ac:dyDescent="0.25">
      <c r="A17" s="27" t="s">
        <v>41</v>
      </c>
      <c r="B17" s="28"/>
      <c r="C17" s="28"/>
      <c r="D17" s="28"/>
      <c r="E17" s="28"/>
      <c r="F17" s="28"/>
      <c r="G17" s="29"/>
      <c r="H17" s="25"/>
      <c r="J17" t="s">
        <v>40</v>
      </c>
      <c r="K17" s="8">
        <f>-SUMIFS(Buchungen!$J$6:$J$330,Buchungen!$C$6:$C$330,J17,Buchungen!$H$6:$H$330,$C$5,Buchungen!$I$6:$I$330,$B$4)</f>
        <v>72</v>
      </c>
      <c r="L17" s="10">
        <f>IFERROR(K17/SUM($K$6:$K$24),0)</f>
        <v>2.1498954911914003E-2</v>
      </c>
      <c r="U17" s="24"/>
      <c r="V17" s="24"/>
      <c r="W17" s="24"/>
      <c r="X17" s="2"/>
      <c r="Y17" s="2"/>
      <c r="Z17" s="2"/>
    </row>
    <row r="18" spans="1:26" x14ac:dyDescent="0.25">
      <c r="A18" s="30" t="s">
        <v>5</v>
      </c>
      <c r="B18" s="3" t="s">
        <v>17</v>
      </c>
      <c r="C18" s="3" t="s">
        <v>43</v>
      </c>
      <c r="D18" s="3" t="s">
        <v>24</v>
      </c>
      <c r="E18" s="3" t="s">
        <v>27</v>
      </c>
      <c r="F18" s="3" t="s">
        <v>44</v>
      </c>
      <c r="G18" s="31" t="s">
        <v>31</v>
      </c>
      <c r="J18" t="s">
        <v>42</v>
      </c>
      <c r="K18" s="8">
        <f>-SUMIFS(Buchungen!$J$6:$J$330,Buchungen!$C$6:$C$330,J18,Buchungen!$H$6:$H$330,$C$5,Buchungen!$I$6:$I$330,$B$4)</f>
        <v>0</v>
      </c>
      <c r="L18" s="10">
        <f>IFERROR(K18/SUM($K$6:$K$24),0)</f>
        <v>0</v>
      </c>
      <c r="U18" s="24"/>
      <c r="V18" s="24"/>
      <c r="W18" s="24"/>
      <c r="X18" s="2"/>
      <c r="Y18" s="2"/>
      <c r="Z18" s="2"/>
    </row>
    <row r="19" spans="1:26" x14ac:dyDescent="0.25">
      <c r="A19" s="32" t="s">
        <v>46</v>
      </c>
      <c r="B19" s="9">
        <f>SUMIFS(Buchungen!$J$6:$J$330,Buchungen!$I$6:$I$330,$B$4,Buchungen!$H$6:$H$330,1,Buchungen!$K$6:$K$330,"Einkommen")</f>
        <v>3200</v>
      </c>
      <c r="C19" s="9">
        <f>-(SUMIFS(Buchungen!$J$6:$J$330,Buchungen!$I$6:$I$330,$B$4,Buchungen!$H$6:$H$330,1,Buchungen!$K$6:$K$330,"Bedarf")+SUMIFS(Buchungen!$J$6:$J$330,Buchungen!$I$6:$I$330,$B$4,Buchungen!$H$6:$H$330,1,Buchungen!$K$6:$K$330,"Wunsch"))</f>
        <v>2153</v>
      </c>
      <c r="D19" s="9">
        <f>-SUMIFS(Buchungen!$J$6:$J$330,Buchungen!$I$6:$I$330,$B$4,Buchungen!$H$6:$H$330,1,Buchungen!$K$6:$K$330,"Sparen")</f>
        <v>870</v>
      </c>
      <c r="E19" s="9">
        <f>-SUMIFS(Buchungen!$J$6:$J$330,Buchungen!$I$6:$I$330,$B$4,Buchungen!$H$6:$H$330,1,Buchungen!$K$6:$K$330,"Schulden")</f>
        <v>300</v>
      </c>
      <c r="F19" s="9">
        <f t="shared" ref="F19:F30" si="0">B19-C19-D19-E19</f>
        <v>-123</v>
      </c>
      <c r="G19" s="33">
        <f t="shared" ref="G19:G30" si="1">IFERROR(D19/B19,0)</f>
        <v>0.27187499999999998</v>
      </c>
      <c r="H19" s="25"/>
      <c r="J19" t="s">
        <v>45</v>
      </c>
      <c r="K19" s="8">
        <f>-SUMIFS(Buchungen!$J$6:$J$330,Buchungen!$C$6:$C$330,J19,Buchungen!$H$6:$H$330,$C$5,Buchungen!$I$6:$I$330,$B$4)</f>
        <v>250</v>
      </c>
      <c r="L19" s="10">
        <f>IFERROR(K19/SUM($K$6:$K$24),0)</f>
        <v>7.4649148999701403E-2</v>
      </c>
      <c r="U19" s="24"/>
      <c r="V19" s="24"/>
      <c r="W19" s="24"/>
      <c r="X19" s="2"/>
      <c r="Y19" s="2"/>
      <c r="Z19" s="2"/>
    </row>
    <row r="20" spans="1:26" x14ac:dyDescent="0.25">
      <c r="A20" s="32" t="s">
        <v>48</v>
      </c>
      <c r="B20" s="9">
        <f>SUMIFS(Buchungen!$J$6:$J$330,Buchungen!$I$6:$I$330,$B$4,Buchungen!$H$6:$H$330,2,Buchungen!$K$6:$K$330,"Einkommen")</f>
        <v>3320</v>
      </c>
      <c r="C20" s="9">
        <f>-(SUMIFS(Buchungen!$J$6:$J$330,Buchungen!$I$6:$I$330,$B$4,Buchungen!$H$6:$H$330,2,Buchungen!$K$6:$K$330,"Bedarf")+SUMIFS(Buchungen!$J$6:$J$330,Buchungen!$I$6:$I$330,$B$4,Buchungen!$H$6:$H$330,2,Buchungen!$K$6:$K$330,"Wunsch"))</f>
        <v>2131</v>
      </c>
      <c r="D20" s="9">
        <f>-SUMIFS(Buchungen!$J$6:$J$330,Buchungen!$I$6:$I$330,$B$4,Buchungen!$H$6:$H$330,2,Buchungen!$K$6:$K$330,"Sparen")</f>
        <v>870</v>
      </c>
      <c r="E20" s="9">
        <f>-SUMIFS(Buchungen!$J$6:$J$330,Buchungen!$I$6:$I$330,$B$4,Buchungen!$H$6:$H$330,2,Buchungen!$K$6:$K$330,"Schulden")</f>
        <v>300</v>
      </c>
      <c r="F20" s="9">
        <f t="shared" si="0"/>
        <v>19</v>
      </c>
      <c r="G20" s="33">
        <f t="shared" si="1"/>
        <v>0.26204819277108432</v>
      </c>
      <c r="H20" s="25"/>
      <c r="J20" t="s">
        <v>47</v>
      </c>
      <c r="K20" s="8">
        <f>-SUMIFS(Buchungen!$J$6:$J$330,Buchungen!$C$6:$C$330,J20,Buchungen!$H$6:$H$330,$C$5,Buchungen!$I$6:$I$330,$B$4)</f>
        <v>350</v>
      </c>
      <c r="L20" s="10">
        <f>IFERROR(K20/SUM($K$6:$K$24),0)</f>
        <v>0.10450880859958196</v>
      </c>
      <c r="U20" s="24"/>
      <c r="V20" s="24"/>
      <c r="W20" s="24"/>
      <c r="X20" s="2"/>
      <c r="Y20" s="2"/>
      <c r="Z20" s="2"/>
    </row>
    <row r="21" spans="1:26" x14ac:dyDescent="0.25">
      <c r="A21" s="32" t="s">
        <v>50</v>
      </c>
      <c r="B21" s="9">
        <f>SUMIFS(Buchungen!$J$6:$J$330,Buchungen!$I$6:$I$330,$B$4,Buchungen!$H$6:$H$330,3,Buchungen!$K$6:$K$330,"Einkommen")</f>
        <v>3218</v>
      </c>
      <c r="C21" s="9">
        <f>-(SUMIFS(Buchungen!$J$6:$J$330,Buchungen!$I$6:$I$330,$B$4,Buchungen!$H$6:$H$330,3,Buchungen!$K$6:$K$330,"Bedarf")+SUMIFS(Buchungen!$J$6:$J$330,Buchungen!$I$6:$I$330,$B$4,Buchungen!$H$6:$H$330,3,Buchungen!$K$6:$K$330,"Wunsch"))</f>
        <v>2229</v>
      </c>
      <c r="D21" s="9">
        <f>-SUMIFS(Buchungen!$J$6:$J$330,Buchungen!$I$6:$I$330,$B$4,Buchungen!$H$6:$H$330,3,Buchungen!$K$6:$K$330,"Sparen")</f>
        <v>870</v>
      </c>
      <c r="E21" s="9">
        <f>-SUMIFS(Buchungen!$J$6:$J$330,Buchungen!$I$6:$I$330,$B$4,Buchungen!$H$6:$H$330,3,Buchungen!$K$6:$K$330,"Schulden")</f>
        <v>300</v>
      </c>
      <c r="F21" s="9">
        <f t="shared" si="0"/>
        <v>-181</v>
      </c>
      <c r="G21" s="33">
        <f t="shared" si="1"/>
        <v>0.27035425730267248</v>
      </c>
      <c r="H21" s="25"/>
      <c r="J21" t="s">
        <v>49</v>
      </c>
      <c r="K21" s="8">
        <f>-SUMIFS(Buchungen!$J$6:$J$330,Buchungen!$C$6:$C$330,J21,Buchungen!$H$6:$H$330,$C$5,Buchungen!$I$6:$I$330,$B$4)</f>
        <v>150</v>
      </c>
      <c r="L21" s="10">
        <f>IFERROR(K21/SUM($K$6:$K$24),0)</f>
        <v>4.4789489399820845E-2</v>
      </c>
      <c r="U21" s="24"/>
      <c r="V21" s="24"/>
      <c r="W21" s="24"/>
      <c r="X21" s="2"/>
      <c r="Y21" s="2"/>
      <c r="Z21" s="2"/>
    </row>
    <row r="22" spans="1:26" x14ac:dyDescent="0.25">
      <c r="A22" s="32" t="s">
        <v>52</v>
      </c>
      <c r="B22" s="9">
        <f>SUMIFS(Buchungen!$J$6:$J$330,Buchungen!$I$6:$I$330,$B$4,Buchungen!$H$6:$H$330,4,Buchungen!$K$6:$K$330,"Einkommen")</f>
        <v>3380</v>
      </c>
      <c r="C22" s="9">
        <f>-(SUMIFS(Buchungen!$J$6:$J$330,Buchungen!$I$6:$I$330,$B$4,Buchungen!$H$6:$H$330,4,Buchungen!$K$6:$K$330,"Bedarf")+SUMIFS(Buchungen!$J$6:$J$330,Buchungen!$I$6:$I$330,$B$4,Buchungen!$H$6:$H$330,4,Buchungen!$K$6:$K$330,"Wunsch"))</f>
        <v>2287</v>
      </c>
      <c r="D22" s="9">
        <f>-SUMIFS(Buchungen!$J$6:$J$330,Buchungen!$I$6:$I$330,$B$4,Buchungen!$H$6:$H$330,4,Buchungen!$K$6:$K$330,"Sparen")</f>
        <v>870</v>
      </c>
      <c r="E22" s="9">
        <f>-SUMIFS(Buchungen!$J$6:$J$330,Buchungen!$I$6:$I$330,$B$4,Buchungen!$H$6:$H$330,4,Buchungen!$K$6:$K$330,"Schulden")</f>
        <v>300</v>
      </c>
      <c r="F22" s="9">
        <f t="shared" si="0"/>
        <v>-77</v>
      </c>
      <c r="G22" s="33">
        <f t="shared" si="1"/>
        <v>0.25739644970414199</v>
      </c>
      <c r="H22" s="25"/>
      <c r="J22" t="s">
        <v>51</v>
      </c>
      <c r="K22" s="8">
        <f>-SUMIFS(Buchungen!$J$6:$J$330,Buchungen!$C$6:$C$330,J22,Buchungen!$H$6:$H$330,$C$5,Buchungen!$I$6:$I$330,$B$4)</f>
        <v>120</v>
      </c>
      <c r="L22" s="10">
        <f>IFERROR(K22/SUM($K$6:$K$24),0)</f>
        <v>3.5831591519856675E-2</v>
      </c>
      <c r="U22" s="24"/>
      <c r="V22" s="24"/>
      <c r="W22" s="24"/>
      <c r="X22" s="2"/>
      <c r="Y22" s="2"/>
      <c r="Z22" s="2"/>
    </row>
    <row r="23" spans="1:26" x14ac:dyDescent="0.25">
      <c r="A23" s="32" t="s">
        <v>6</v>
      </c>
      <c r="B23" s="9">
        <f>SUMIFS(Buchungen!$J$6:$J$330,Buchungen!$I$6:$I$330,$B$4,Buchungen!$H$6:$H$330,5,Buchungen!$K$6:$K$330,"Einkommen")</f>
        <v>3275</v>
      </c>
      <c r="C23" s="9">
        <f>-(SUMIFS(Buchungen!$J$6:$J$330,Buchungen!$I$6:$I$330,$B$4,Buchungen!$H$6:$H$330,5,Buchungen!$K$6:$K$330,"Bedarf")+SUMIFS(Buchungen!$J$6:$J$330,Buchungen!$I$6:$I$330,$B$4,Buchungen!$H$6:$H$330,5,Buchungen!$K$6:$K$330,"Wunsch"))</f>
        <v>2179</v>
      </c>
      <c r="D23" s="9">
        <f>-SUMIFS(Buchungen!$J$6:$J$330,Buchungen!$I$6:$I$330,$B$4,Buchungen!$H$6:$H$330,5,Buchungen!$K$6:$K$330,"Sparen")</f>
        <v>870</v>
      </c>
      <c r="E23" s="9">
        <f>-SUMIFS(Buchungen!$J$6:$J$330,Buchungen!$I$6:$I$330,$B$4,Buchungen!$H$6:$H$330,5,Buchungen!$K$6:$K$330,"Schulden")</f>
        <v>300</v>
      </c>
      <c r="F23" s="9">
        <f t="shared" si="0"/>
        <v>-74</v>
      </c>
      <c r="G23" s="33">
        <f t="shared" si="1"/>
        <v>0.26564885496183205</v>
      </c>
      <c r="H23" s="25"/>
      <c r="J23" t="s">
        <v>53</v>
      </c>
      <c r="K23" s="8">
        <f>-SUMIFS(Buchungen!$J$6:$J$330,Buchungen!$C$6:$C$330,J23,Buchungen!$H$6:$H$330,$C$5,Buchungen!$I$6:$I$330,$B$4)</f>
        <v>180</v>
      </c>
      <c r="L23" s="10">
        <f>IFERROR(K23/SUM($K$6:$K$24),0)</f>
        <v>5.3747387279785008E-2</v>
      </c>
      <c r="U23" s="24"/>
      <c r="V23" s="24"/>
      <c r="W23" s="24"/>
      <c r="X23" s="2"/>
      <c r="Y23" s="2"/>
      <c r="Z23" s="2"/>
    </row>
    <row r="24" spans="1:26" x14ac:dyDescent="0.25">
      <c r="A24" s="32" t="s">
        <v>55</v>
      </c>
      <c r="B24" s="9">
        <f>SUMIFS(Buchungen!$J$6:$J$330,Buchungen!$I$6:$I$330,$B$4,Buchungen!$H$6:$H$330,6,Buchungen!$K$6:$K$330,"Einkommen")</f>
        <v>3444</v>
      </c>
      <c r="C24" s="9">
        <f>-(SUMIFS(Buchungen!$J$6:$J$330,Buchungen!$I$6:$I$330,$B$4,Buchungen!$H$6:$H$330,6,Buchungen!$K$6:$K$330,"Bedarf")+SUMIFS(Buchungen!$J$6:$J$330,Buchungen!$I$6:$I$330,$B$4,Buchungen!$H$6:$H$330,6,Buchungen!$K$6:$K$330,"Wunsch"))</f>
        <v>2689</v>
      </c>
      <c r="D24" s="9">
        <f>-SUMIFS(Buchungen!$J$6:$J$330,Buchungen!$I$6:$I$330,$B$4,Buchungen!$H$6:$H$330,6,Buchungen!$K$6:$K$330,"Sparen")</f>
        <v>870</v>
      </c>
      <c r="E24" s="9">
        <f>-SUMIFS(Buchungen!$J$6:$J$330,Buchungen!$I$6:$I$330,$B$4,Buchungen!$H$6:$H$330,6,Buchungen!$K$6:$K$330,"Schulden")</f>
        <v>300</v>
      </c>
      <c r="F24" s="9">
        <f t="shared" si="0"/>
        <v>-415</v>
      </c>
      <c r="G24" s="33">
        <f t="shared" si="1"/>
        <v>0.25261324041811845</v>
      </c>
      <c r="H24" s="25"/>
      <c r="J24" t="s">
        <v>54</v>
      </c>
      <c r="K24" s="8">
        <f>-SUMIFS(Buchungen!$J$6:$J$330,Buchungen!$C$6:$C$330,J24,Buchungen!$H$6:$H$330,$C$5,Buchungen!$I$6:$I$330,$B$4)</f>
        <v>120</v>
      </c>
      <c r="L24" s="10">
        <f>IFERROR(K24/SUM($K$6:$K$24),0)</f>
        <v>3.5831591519856675E-2</v>
      </c>
      <c r="U24" s="24"/>
      <c r="V24" s="24"/>
      <c r="W24" s="24"/>
      <c r="X24" s="2"/>
      <c r="Y24" s="2"/>
      <c r="Z24" s="2"/>
    </row>
    <row r="25" spans="1:26" x14ac:dyDescent="0.25">
      <c r="A25" s="32" t="s">
        <v>56</v>
      </c>
      <c r="B25" s="9">
        <f>SUMIFS(Buchungen!$J$6:$J$330,Buchungen!$I$6:$I$330,$B$4,Buchungen!$H$6:$H$330,7,Buchungen!$K$6:$K$330,"Einkommen")</f>
        <v>3200</v>
      </c>
      <c r="C25" s="9">
        <f>-(SUMIFS(Buchungen!$J$6:$J$330,Buchungen!$I$6:$I$330,$B$4,Buchungen!$H$6:$H$330,7,Buchungen!$K$6:$K$330,"Bedarf")+SUMIFS(Buchungen!$J$6:$J$330,Buchungen!$I$6:$I$330,$B$4,Buchungen!$H$6:$H$330,7,Buchungen!$K$6:$K$330,"Wunsch"))</f>
        <v>2290</v>
      </c>
      <c r="D25" s="9">
        <f>-SUMIFS(Buchungen!$J$6:$J$330,Buchungen!$I$6:$I$330,$B$4,Buchungen!$H$6:$H$330,7,Buchungen!$K$6:$K$330,"Sparen")</f>
        <v>870</v>
      </c>
      <c r="E25" s="9">
        <f>-SUMIFS(Buchungen!$J$6:$J$330,Buchungen!$I$6:$I$330,$B$4,Buchungen!$H$6:$H$330,7,Buchungen!$K$6:$K$330,"Schulden")</f>
        <v>180</v>
      </c>
      <c r="F25" s="9">
        <f t="shared" si="0"/>
        <v>-140</v>
      </c>
      <c r="G25" s="33">
        <f t="shared" si="1"/>
        <v>0.27187499999999998</v>
      </c>
      <c r="H25" s="25"/>
      <c r="J25" s="25"/>
      <c r="K25" s="25"/>
      <c r="L25" s="25"/>
      <c r="U25" s="24"/>
      <c r="V25" s="24"/>
      <c r="W25" s="24"/>
      <c r="X25" s="2"/>
      <c r="Y25" s="2"/>
      <c r="Z25" s="2"/>
    </row>
    <row r="26" spans="1:26" x14ac:dyDescent="0.25">
      <c r="A26" s="32" t="s">
        <v>57</v>
      </c>
      <c r="B26" s="9">
        <f>SUMIFS(Buchungen!$J$6:$J$330,Buchungen!$I$6:$I$330,$B$4,Buchungen!$H$6:$H$330,8,Buchungen!$K$6:$K$330,"Einkommen")</f>
        <v>3200</v>
      </c>
      <c r="C26" s="9">
        <f>-(SUMIFS(Buchungen!$J$6:$J$330,Buchungen!$I$6:$I$330,$B$4,Buchungen!$H$6:$H$330,8,Buchungen!$K$6:$K$330,"Bedarf")+SUMIFS(Buchungen!$J$6:$J$330,Buchungen!$I$6:$I$330,$B$4,Buchungen!$H$6:$H$330,8,Buchungen!$K$6:$K$330,"Wunsch"))</f>
        <v>2879</v>
      </c>
      <c r="D26" s="9">
        <f>-SUMIFS(Buchungen!$J$6:$J$330,Buchungen!$I$6:$I$330,$B$4,Buchungen!$H$6:$H$330,8,Buchungen!$K$6:$K$330,"Sparen")</f>
        <v>870</v>
      </c>
      <c r="E26" s="9">
        <f>-SUMIFS(Buchungen!$J$6:$J$330,Buchungen!$I$6:$I$330,$B$4,Buchungen!$H$6:$H$330,8,Buchungen!$K$6:$K$330,"Schulden")</f>
        <v>180</v>
      </c>
      <c r="F26" s="9">
        <f t="shared" si="0"/>
        <v>-729</v>
      </c>
      <c r="G26" s="33">
        <f t="shared" si="1"/>
        <v>0.27187499999999998</v>
      </c>
      <c r="H26" s="25"/>
      <c r="J26" s="25"/>
      <c r="K26" s="25"/>
      <c r="L26" s="25"/>
      <c r="U26" s="24"/>
      <c r="V26" s="24"/>
      <c r="W26" s="24"/>
      <c r="X26" s="2"/>
      <c r="Y26" s="2"/>
      <c r="Z26" s="2"/>
    </row>
    <row r="27" spans="1:26" x14ac:dyDescent="0.25">
      <c r="A27" s="32" t="s">
        <v>58</v>
      </c>
      <c r="B27" s="9">
        <f>SUMIFS(Buchungen!$J$6:$J$330,Buchungen!$I$6:$I$330,$B$4,Buchungen!$H$6:$H$330,9,Buchungen!$K$6:$K$330,"Einkommen")</f>
        <v>3380</v>
      </c>
      <c r="C27" s="9">
        <f>-(SUMIFS(Buchungen!$J$6:$J$330,Buchungen!$I$6:$I$330,$B$4,Buchungen!$H$6:$H$330,9,Buchungen!$K$6:$K$330,"Bedarf")+SUMIFS(Buchungen!$J$6:$J$330,Buchungen!$I$6:$I$330,$B$4,Buchungen!$H$6:$H$330,9,Buchungen!$K$6:$K$330,"Wunsch"))</f>
        <v>2219</v>
      </c>
      <c r="D27" s="9">
        <f>-SUMIFS(Buchungen!$J$6:$J$330,Buchungen!$I$6:$I$330,$B$4,Buchungen!$H$6:$H$330,9,Buchungen!$K$6:$K$330,"Sparen")</f>
        <v>870</v>
      </c>
      <c r="E27" s="9">
        <f>-SUMIFS(Buchungen!$J$6:$J$330,Buchungen!$I$6:$I$330,$B$4,Buchungen!$H$6:$H$330,9,Buchungen!$K$6:$K$330,"Schulden")</f>
        <v>180</v>
      </c>
      <c r="F27" s="9">
        <f t="shared" si="0"/>
        <v>111</v>
      </c>
      <c r="G27" s="33">
        <f t="shared" si="1"/>
        <v>0.25739644970414199</v>
      </c>
      <c r="H27" s="25"/>
      <c r="J27" s="25"/>
      <c r="K27" s="25"/>
      <c r="L27" s="25"/>
      <c r="U27" s="24"/>
      <c r="V27" s="24"/>
      <c r="W27" s="24"/>
      <c r="X27" s="2"/>
      <c r="Y27" s="2"/>
      <c r="Z27" s="2"/>
    </row>
    <row r="28" spans="1:26" x14ac:dyDescent="0.25">
      <c r="A28" s="32" t="s">
        <v>59</v>
      </c>
      <c r="B28" s="9">
        <f>SUMIFS(Buchungen!$J$6:$J$330,Buchungen!$I$6:$I$330,$B$4,Buchungen!$H$6:$H$330,10,Buchungen!$K$6:$K$330,"Einkommen")</f>
        <v>3330</v>
      </c>
      <c r="C28" s="9">
        <f>-(SUMIFS(Buchungen!$J$6:$J$330,Buchungen!$I$6:$I$330,$B$4,Buchungen!$H$6:$H$330,10,Buchungen!$K$6:$K$330,"Bedarf")+SUMIFS(Buchungen!$J$6:$J$330,Buchungen!$I$6:$I$330,$B$4,Buchungen!$H$6:$H$330,10,Buchungen!$K$6:$K$330,"Wunsch"))</f>
        <v>2144</v>
      </c>
      <c r="D28" s="9">
        <f>-SUMIFS(Buchungen!$J$6:$J$330,Buchungen!$I$6:$I$330,$B$4,Buchungen!$H$6:$H$330,10,Buchungen!$K$6:$K$330,"Sparen")</f>
        <v>770</v>
      </c>
      <c r="E28" s="9">
        <f>-SUMIFS(Buchungen!$J$6:$J$330,Buchungen!$I$6:$I$330,$B$4,Buchungen!$H$6:$H$330,10,Buchungen!$K$6:$K$330,"Schulden")</f>
        <v>180</v>
      </c>
      <c r="F28" s="9">
        <f t="shared" si="0"/>
        <v>236</v>
      </c>
      <c r="G28" s="33">
        <f t="shared" si="1"/>
        <v>0.23123123123123124</v>
      </c>
      <c r="H28" s="25"/>
      <c r="J28" s="25"/>
      <c r="K28" s="25"/>
      <c r="L28" s="25"/>
      <c r="U28" s="24"/>
      <c r="V28" s="24"/>
      <c r="W28" s="24"/>
      <c r="X28" s="2"/>
      <c r="Y28" s="2"/>
      <c r="Z28" s="2"/>
    </row>
    <row r="29" spans="1:26" x14ac:dyDescent="0.25">
      <c r="A29" s="32" t="s">
        <v>60</v>
      </c>
      <c r="B29" s="9">
        <f>SUMIFS(Buchungen!$J$6:$J$330,Buchungen!$I$6:$I$330,$B$4,Buchungen!$H$6:$H$330,11,Buchungen!$K$6:$K$330,"Einkommen")</f>
        <v>3400</v>
      </c>
      <c r="C29" s="9">
        <f>-(SUMIFS(Buchungen!$J$6:$J$330,Buchungen!$I$6:$I$330,$B$4,Buchungen!$H$6:$H$330,11,Buchungen!$K$6:$K$330,"Bedarf")+SUMIFS(Buchungen!$J$6:$J$330,Buchungen!$I$6:$I$330,$B$4,Buchungen!$H$6:$H$330,11,Buchungen!$K$6:$K$330,"Wunsch"))</f>
        <v>2335</v>
      </c>
      <c r="D29" s="9">
        <f>-SUMIFS(Buchungen!$J$6:$J$330,Buchungen!$I$6:$I$330,$B$4,Buchungen!$H$6:$H$330,11,Buchungen!$K$6:$K$330,"Sparen")</f>
        <v>770</v>
      </c>
      <c r="E29" s="9">
        <f>-SUMIFS(Buchungen!$J$6:$J$330,Buchungen!$I$6:$I$330,$B$4,Buchungen!$H$6:$H$330,11,Buchungen!$K$6:$K$330,"Schulden")</f>
        <v>180</v>
      </c>
      <c r="F29" s="9">
        <f t="shared" si="0"/>
        <v>115</v>
      </c>
      <c r="G29" s="33">
        <f t="shared" si="1"/>
        <v>0.22647058823529412</v>
      </c>
      <c r="H29" s="25"/>
      <c r="J29" s="25"/>
      <c r="K29" s="25"/>
      <c r="L29" s="25"/>
      <c r="U29" s="24"/>
      <c r="V29" s="24"/>
      <c r="W29" s="24"/>
      <c r="X29" s="2"/>
      <c r="Y29" s="2"/>
      <c r="Z29" s="2"/>
    </row>
    <row r="30" spans="1:26" x14ac:dyDescent="0.25">
      <c r="A30" s="34" t="s">
        <v>61</v>
      </c>
      <c r="B30" s="35">
        <f>SUMIFS(Buchungen!$J$6:$J$330,Buchungen!$I$6:$I$330,$B$4,Buchungen!$H$6:$H$330,12,Buchungen!$K$6:$K$330,"Einkommen")</f>
        <v>3468</v>
      </c>
      <c r="C30" s="35">
        <f>-(SUMIFS(Buchungen!$J$6:$J$330,Buchungen!$I$6:$I$330,$B$4,Buchungen!$H$6:$H$330,12,Buchungen!$K$6:$K$330,"Bedarf")+SUMIFS(Buchungen!$J$6:$J$330,Buchungen!$I$6:$I$330,$B$4,Buchungen!$H$6:$H$330,12,Buchungen!$K$6:$K$330,"Wunsch"))</f>
        <v>2522</v>
      </c>
      <c r="D30" s="35">
        <f>-SUMIFS(Buchungen!$J$6:$J$330,Buchungen!$I$6:$I$330,$B$4,Buchungen!$H$6:$H$330,12,Buchungen!$K$6:$K$330,"Sparen")</f>
        <v>770</v>
      </c>
      <c r="E30" s="35">
        <f>-SUMIFS(Buchungen!$J$6:$J$330,Buchungen!$I$6:$I$330,$B$4,Buchungen!$H$6:$H$330,12,Buchungen!$K$6:$K$330,"Schulden")</f>
        <v>180</v>
      </c>
      <c r="F30" s="35">
        <f t="shared" si="0"/>
        <v>-4</v>
      </c>
      <c r="G30" s="36">
        <f t="shared" si="1"/>
        <v>0.22202998846597463</v>
      </c>
      <c r="H30" s="25"/>
      <c r="J30" s="25"/>
      <c r="K30" s="25"/>
      <c r="L30" s="25"/>
      <c r="U30" s="24"/>
      <c r="V30" s="24"/>
      <c r="W30" s="24"/>
      <c r="X30" s="2"/>
      <c r="Y30" s="2"/>
      <c r="Z30" s="2"/>
    </row>
    <row r="31" spans="1:26" x14ac:dyDescent="0.25">
      <c r="A31" s="25"/>
      <c r="B31" s="25"/>
      <c r="C31" s="25"/>
      <c r="D31" s="25"/>
      <c r="E31" s="25"/>
      <c r="F31" s="25"/>
      <c r="G31" s="25"/>
      <c r="H31" s="25"/>
      <c r="J31" s="25"/>
      <c r="K31" s="25"/>
      <c r="L31" s="25"/>
      <c r="U31" s="24"/>
      <c r="V31" s="24"/>
      <c r="W31" s="24"/>
      <c r="X31" s="2"/>
      <c r="Y31" s="2"/>
      <c r="Z31" s="2"/>
    </row>
    <row r="32" spans="1:26" x14ac:dyDescent="0.25">
      <c r="A32" s="25"/>
      <c r="B32" s="25"/>
      <c r="C32" s="25"/>
      <c r="D32" s="25"/>
      <c r="E32" s="25"/>
      <c r="F32" s="25"/>
      <c r="G32" s="25"/>
      <c r="H32" s="25"/>
      <c r="J32" s="25"/>
      <c r="K32" s="25"/>
      <c r="L32" s="25"/>
      <c r="U32" s="24"/>
      <c r="V32" s="24"/>
      <c r="W32" s="24"/>
      <c r="X32" s="2"/>
      <c r="Y32" s="2"/>
      <c r="Z32" s="2"/>
    </row>
    <row r="33" spans="1:26" x14ac:dyDescent="0.25">
      <c r="A33" s="25"/>
      <c r="B33" s="25"/>
      <c r="C33" s="25"/>
      <c r="D33" s="25"/>
      <c r="E33" s="25"/>
      <c r="F33" s="25"/>
      <c r="G33" s="25"/>
      <c r="H33" s="25"/>
      <c r="J33" s="25"/>
      <c r="K33" s="25"/>
      <c r="L33" s="25"/>
      <c r="U33" s="24"/>
      <c r="V33" s="24"/>
      <c r="W33" s="24"/>
      <c r="X33" s="2"/>
      <c r="Y33" s="2"/>
      <c r="Z33" s="2"/>
    </row>
    <row r="34" spans="1:26" x14ac:dyDescent="0.25">
      <c r="A34" s="25"/>
      <c r="B34" s="25"/>
      <c r="C34" s="25"/>
      <c r="D34" s="25"/>
      <c r="E34" s="25"/>
      <c r="F34" s="25"/>
      <c r="G34" s="25"/>
      <c r="H34" s="25"/>
      <c r="J34" s="25"/>
      <c r="K34" s="25"/>
      <c r="L34" s="25"/>
      <c r="U34" s="24"/>
      <c r="V34" s="24"/>
      <c r="W34" s="24"/>
      <c r="X34" s="2"/>
      <c r="Y34" s="2"/>
      <c r="Z34" s="2"/>
    </row>
    <row r="35" spans="1:26" x14ac:dyDescent="0.25">
      <c r="A35" s="25"/>
      <c r="B35" s="25"/>
      <c r="C35" s="25"/>
      <c r="D35" s="25"/>
      <c r="E35" s="25"/>
      <c r="F35" s="25"/>
      <c r="G35" s="25"/>
      <c r="H35" s="25"/>
      <c r="J35" s="25"/>
      <c r="K35" s="25"/>
      <c r="L35" s="25"/>
      <c r="U35" s="24"/>
      <c r="V35" s="24"/>
      <c r="W35" s="24"/>
      <c r="X35" s="2"/>
      <c r="Y35" s="2"/>
      <c r="Z35" s="2"/>
    </row>
    <row r="36" spans="1:26" x14ac:dyDescent="0.25">
      <c r="A36" s="25"/>
      <c r="B36" s="25"/>
      <c r="C36" s="25"/>
      <c r="D36" s="25"/>
      <c r="E36" s="25"/>
      <c r="F36" s="25"/>
      <c r="G36" s="25"/>
      <c r="H36" s="25"/>
      <c r="J36" s="25"/>
      <c r="K36" s="25"/>
      <c r="L36" s="25"/>
      <c r="U36" s="24"/>
      <c r="V36" s="24"/>
      <c r="W36" s="24"/>
      <c r="X36" s="2"/>
      <c r="Y36" s="2"/>
      <c r="Z36" s="2"/>
    </row>
    <row r="37" spans="1:26" x14ac:dyDescent="0.25">
      <c r="A37" s="25"/>
      <c r="B37" s="25"/>
      <c r="C37" s="25"/>
      <c r="D37" s="25"/>
      <c r="E37" s="25"/>
      <c r="F37" s="25"/>
      <c r="G37" s="25"/>
      <c r="H37" s="25"/>
      <c r="J37" s="25"/>
      <c r="K37" s="25"/>
      <c r="L37" s="25"/>
      <c r="U37" s="24"/>
      <c r="V37" s="24"/>
      <c r="W37" s="24"/>
      <c r="X37" s="2"/>
      <c r="Y37" s="2"/>
      <c r="Z37" s="2"/>
    </row>
    <row r="38" spans="1:26" x14ac:dyDescent="0.25">
      <c r="A38" s="25"/>
      <c r="B38" s="25"/>
      <c r="C38" s="25"/>
      <c r="D38" s="25"/>
      <c r="E38" s="25"/>
      <c r="F38" s="25"/>
      <c r="G38" s="25"/>
      <c r="H38" s="25"/>
      <c r="J38" s="25"/>
      <c r="K38" s="25"/>
      <c r="L38" s="25"/>
      <c r="U38" s="24"/>
      <c r="V38" s="24"/>
      <c r="W38" s="24"/>
      <c r="X38" s="2"/>
      <c r="Y38" s="2"/>
      <c r="Z38" s="2"/>
    </row>
    <row r="39" spans="1:26" x14ac:dyDescent="0.25">
      <c r="A39" s="25"/>
      <c r="B39" s="25"/>
      <c r="C39" s="25"/>
      <c r="D39" s="25"/>
      <c r="E39" s="25"/>
      <c r="F39" s="25"/>
      <c r="G39" s="25"/>
      <c r="H39" s="25"/>
      <c r="J39" s="25"/>
      <c r="K39" s="25"/>
      <c r="L39" s="25"/>
      <c r="U39" s="24"/>
      <c r="V39" s="24"/>
      <c r="W39" s="24"/>
      <c r="X39" s="2"/>
      <c r="Y39" s="2"/>
      <c r="Z39" s="2"/>
    </row>
    <row r="40" spans="1:26" x14ac:dyDescent="0.25">
      <c r="A40" s="25"/>
      <c r="B40" s="25"/>
      <c r="C40" s="25"/>
      <c r="D40" s="25"/>
      <c r="E40" s="25"/>
      <c r="F40" s="25"/>
      <c r="G40" s="25"/>
      <c r="H40" s="25"/>
      <c r="J40" s="25"/>
      <c r="K40" s="25"/>
      <c r="L40" s="25"/>
      <c r="U40" s="24"/>
      <c r="V40" s="24"/>
      <c r="W40" s="24"/>
      <c r="X40" s="2"/>
      <c r="Y40" s="2"/>
      <c r="Z40" s="2"/>
    </row>
    <row r="41" spans="1:26" x14ac:dyDescent="0.25">
      <c r="A41" s="25"/>
      <c r="B41" s="25"/>
      <c r="C41" s="25"/>
      <c r="D41" s="25"/>
      <c r="E41" s="25"/>
      <c r="F41" s="25"/>
      <c r="G41" s="25"/>
      <c r="H41" s="25"/>
      <c r="J41" s="25"/>
      <c r="K41" s="25"/>
      <c r="L41" s="25"/>
      <c r="U41" s="24"/>
      <c r="V41" s="24"/>
      <c r="W41" s="24"/>
      <c r="X41" s="2"/>
      <c r="Y41" s="2"/>
      <c r="Z41" s="2"/>
    </row>
    <row r="42" spans="1:26" x14ac:dyDescent="0.25">
      <c r="A42" s="25"/>
      <c r="B42" s="25"/>
      <c r="C42" s="25"/>
      <c r="D42" s="25"/>
      <c r="E42" s="25"/>
      <c r="F42" s="25"/>
      <c r="G42" s="25"/>
      <c r="H42" s="25"/>
      <c r="J42" s="25"/>
      <c r="K42" s="25"/>
      <c r="L42" s="25"/>
      <c r="U42" s="24"/>
      <c r="V42" s="24"/>
      <c r="W42" s="24"/>
      <c r="X42" s="2"/>
      <c r="Y42" s="2"/>
      <c r="Z42" s="2"/>
    </row>
    <row r="43" spans="1:26" x14ac:dyDescent="0.25">
      <c r="A43" s="25"/>
      <c r="B43" s="25"/>
      <c r="C43" s="25"/>
      <c r="D43" s="25"/>
      <c r="E43" s="25"/>
      <c r="F43" s="25"/>
      <c r="G43" s="25"/>
      <c r="H43" s="25"/>
      <c r="J43" s="25"/>
      <c r="K43" s="25"/>
      <c r="L43" s="25"/>
      <c r="U43" s="24"/>
      <c r="V43" s="24"/>
      <c r="W43" s="24"/>
      <c r="X43" s="2"/>
      <c r="Y43" s="2"/>
      <c r="Z43" s="2"/>
    </row>
    <row r="44" spans="1:26" x14ac:dyDescent="0.25">
      <c r="A44" s="25"/>
      <c r="B44" s="25"/>
      <c r="C44" s="25"/>
      <c r="D44" s="25"/>
      <c r="E44" s="25"/>
      <c r="F44" s="25"/>
      <c r="G44" s="25"/>
      <c r="H44" s="25"/>
      <c r="J44" s="25"/>
      <c r="K44" s="25"/>
      <c r="L44" s="25"/>
      <c r="U44" s="24"/>
      <c r="V44" s="24"/>
      <c r="W44" s="24"/>
      <c r="X44" s="2"/>
      <c r="Y44" s="2"/>
      <c r="Z44" s="2"/>
    </row>
    <row r="45" spans="1:26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"/>
      <c r="Y45" s="2"/>
      <c r="Z45" s="2"/>
    </row>
    <row r="46" spans="1:26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"/>
      <c r="Y46" s="2"/>
      <c r="Z46" s="2"/>
    </row>
    <row r="47" spans="1:26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"/>
      <c r="Y47" s="2"/>
      <c r="Z47" s="2"/>
    </row>
    <row r="48" spans="1:26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"/>
      <c r="Y48" s="2"/>
      <c r="Z48" s="2"/>
    </row>
    <row r="49" spans="1:26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"/>
      <c r="Y49" s="2"/>
      <c r="Z49" s="2"/>
    </row>
    <row r="50" spans="1:26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"/>
      <c r="Y50" s="2"/>
      <c r="Z50" s="2"/>
    </row>
    <row r="51" spans="1:26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"/>
      <c r="Y51" s="2"/>
      <c r="Z51" s="2"/>
    </row>
    <row r="52" spans="1:26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"/>
      <c r="Y52" s="2"/>
      <c r="Z52" s="2"/>
    </row>
    <row r="53" spans="1:26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"/>
      <c r="Y53" s="2"/>
      <c r="Z53" s="2"/>
    </row>
    <row r="54" spans="1:26" x14ac:dyDescent="0.25">
      <c r="A54" s="2"/>
      <c r="B54" s="2"/>
      <c r="C54" s="2"/>
      <c r="D54" s="2"/>
      <c r="E54" s="2"/>
      <c r="F54" s="2"/>
      <c r="G54" s="2"/>
      <c r="H54" s="2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"/>
      <c r="Y54" s="2"/>
      <c r="Z54" s="2"/>
    </row>
    <row r="55" spans="1:26" x14ac:dyDescent="0.25">
      <c r="A55" s="2"/>
      <c r="B55" s="2"/>
      <c r="C55" s="2"/>
      <c r="D55" s="2"/>
      <c r="E55" s="2"/>
      <c r="F55" s="2"/>
      <c r="G55" s="2"/>
      <c r="H55" s="2"/>
      <c r="I55" s="24"/>
      <c r="J55" s="2"/>
      <c r="K55" s="2"/>
      <c r="L55" s="2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"/>
      <c r="Y55" s="2"/>
      <c r="Z55" s="2"/>
    </row>
    <row r="56" spans="1:26" x14ac:dyDescent="0.25">
      <c r="A56" s="2"/>
      <c r="B56" s="2"/>
      <c r="C56" s="2"/>
      <c r="D56" s="2"/>
      <c r="E56" s="2"/>
      <c r="F56" s="2"/>
      <c r="G56" s="2"/>
      <c r="H56" s="2"/>
      <c r="I56" s="24"/>
      <c r="J56" s="2"/>
      <c r="K56" s="2"/>
      <c r="L56" s="2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"/>
      <c r="Y56" s="2"/>
      <c r="Z56" s="2"/>
    </row>
    <row r="57" spans="1:26" x14ac:dyDescent="0.25">
      <c r="A57" s="2"/>
      <c r="B57" s="2"/>
      <c r="C57" s="2"/>
      <c r="D57" s="2"/>
      <c r="E57" s="2"/>
      <c r="F57" s="2"/>
      <c r="G57" s="2"/>
      <c r="H57" s="2"/>
      <c r="I57" s="24"/>
      <c r="J57" s="2"/>
      <c r="K57" s="2"/>
      <c r="L57" s="2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"/>
      <c r="Y57" s="2"/>
      <c r="Z57" s="2"/>
    </row>
    <row r="58" spans="1:26" x14ac:dyDescent="0.25">
      <c r="A58" s="2"/>
      <c r="B58" s="2"/>
      <c r="C58" s="2"/>
      <c r="D58" s="2"/>
      <c r="E58" s="2"/>
      <c r="F58" s="2"/>
      <c r="G58" s="2"/>
      <c r="H58" s="2"/>
      <c r="I58" s="24"/>
      <c r="J58" s="2"/>
      <c r="K58" s="2"/>
      <c r="L58" s="2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"/>
      <c r="Y58" s="2"/>
      <c r="Z58" s="2"/>
    </row>
    <row r="59" spans="1:26" x14ac:dyDescent="0.25">
      <c r="A59" s="2"/>
      <c r="B59" s="2"/>
      <c r="C59" s="2"/>
      <c r="D59" s="2"/>
      <c r="E59" s="2"/>
      <c r="F59" s="2"/>
      <c r="G59" s="2"/>
      <c r="H59" s="2"/>
      <c r="I59" s="24"/>
      <c r="J59" s="2"/>
      <c r="K59" s="2"/>
      <c r="L59" s="2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"/>
      <c r="Y59" s="2"/>
      <c r="Z59" s="2"/>
    </row>
    <row r="60" spans="1:26" x14ac:dyDescent="0.25">
      <c r="A60" s="2"/>
      <c r="B60" s="2"/>
      <c r="C60" s="2"/>
      <c r="D60" s="2"/>
      <c r="E60" s="2"/>
      <c r="F60" s="2"/>
      <c r="G60" s="2"/>
      <c r="H60" s="2"/>
      <c r="I60" s="24"/>
      <c r="J60" s="2"/>
      <c r="K60" s="2"/>
      <c r="L60" s="2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"/>
      <c r="Y60" s="2"/>
      <c r="Z60" s="2"/>
    </row>
    <row r="61" spans="1:26" x14ac:dyDescent="0.25">
      <c r="A61" s="2"/>
      <c r="B61" s="2"/>
      <c r="C61" s="2"/>
      <c r="D61" s="2"/>
      <c r="E61" s="2"/>
      <c r="F61" s="2"/>
      <c r="G61" s="2"/>
      <c r="H61" s="2"/>
      <c r="I61" s="24"/>
      <c r="J61" s="2"/>
      <c r="K61" s="2"/>
      <c r="L61" s="2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"/>
      <c r="Y61" s="2"/>
      <c r="Z61" s="2"/>
    </row>
    <row r="62" spans="1:26" x14ac:dyDescent="0.25">
      <c r="A62" s="2"/>
      <c r="B62" s="2"/>
      <c r="C62" s="2"/>
      <c r="D62" s="2"/>
      <c r="E62" s="2"/>
      <c r="F62" s="2"/>
      <c r="G62" s="2"/>
      <c r="H62" s="2"/>
      <c r="I62" s="24"/>
      <c r="J62" s="2"/>
      <c r="K62" s="2"/>
      <c r="L62" s="2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"/>
      <c r="Y62" s="2"/>
      <c r="Z62" s="2"/>
    </row>
    <row r="63" spans="1:26" x14ac:dyDescent="0.25">
      <c r="A63" s="2"/>
      <c r="B63" s="2"/>
      <c r="C63" s="2"/>
      <c r="D63" s="2"/>
      <c r="E63" s="2"/>
      <c r="F63" s="2"/>
      <c r="G63" s="2"/>
      <c r="H63" s="2"/>
      <c r="I63" s="24"/>
      <c r="J63" s="2"/>
      <c r="K63" s="2"/>
      <c r="L63" s="2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"/>
      <c r="Y63" s="2"/>
      <c r="Z63" s="2"/>
    </row>
    <row r="64" spans="1:26" x14ac:dyDescent="0.25">
      <c r="A64" s="2"/>
      <c r="B64" s="2"/>
      <c r="C64" s="2"/>
      <c r="D64" s="2"/>
      <c r="E64" s="2"/>
      <c r="F64" s="2"/>
      <c r="G64" s="2"/>
      <c r="H64" s="2"/>
      <c r="I64" s="24"/>
      <c r="J64" s="2"/>
      <c r="K64" s="2"/>
      <c r="L64" s="2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"/>
      <c r="Y64" s="2"/>
      <c r="Z64" s="2"/>
    </row>
    <row r="65" spans="1:26" x14ac:dyDescent="0.25">
      <c r="A65" s="2"/>
      <c r="B65" s="2"/>
      <c r="C65" s="2"/>
      <c r="D65" s="2"/>
      <c r="E65" s="2"/>
      <c r="F65" s="2"/>
      <c r="G65" s="2"/>
      <c r="H65" s="2"/>
      <c r="I65" s="24"/>
      <c r="J65" s="2"/>
      <c r="K65" s="2"/>
      <c r="L65" s="2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"/>
      <c r="Y65" s="2"/>
      <c r="Z65" s="2"/>
    </row>
    <row r="66" spans="1:26" x14ac:dyDescent="0.25">
      <c r="A66" s="2"/>
      <c r="B66" s="2"/>
      <c r="C66" s="2"/>
      <c r="D66" s="2"/>
      <c r="E66" s="2"/>
      <c r="F66" s="2"/>
      <c r="G66" s="2"/>
      <c r="H66" s="2"/>
      <c r="I66" s="24"/>
      <c r="J66" s="2"/>
      <c r="K66" s="2"/>
      <c r="L66" s="2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"/>
      <c r="Y66" s="2"/>
      <c r="Z66" s="2"/>
    </row>
    <row r="67" spans="1:26" x14ac:dyDescent="0.25">
      <c r="A67" s="2"/>
      <c r="B67" s="2"/>
      <c r="C67" s="2"/>
      <c r="D67" s="2"/>
      <c r="E67" s="2"/>
      <c r="F67" s="2"/>
      <c r="G67" s="2"/>
      <c r="H67" s="2"/>
      <c r="I67" s="24"/>
      <c r="J67" s="2"/>
      <c r="K67" s="2"/>
      <c r="L67" s="2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"/>
      <c r="Y67" s="2"/>
      <c r="Z67" s="2"/>
    </row>
    <row r="68" spans="1:26" x14ac:dyDescent="0.25">
      <c r="A68" s="2"/>
      <c r="B68" s="2"/>
      <c r="C68" s="2"/>
      <c r="D68" s="2"/>
      <c r="E68" s="2"/>
      <c r="F68" s="2"/>
      <c r="G68" s="2"/>
      <c r="H68" s="2"/>
      <c r="I68" s="24"/>
      <c r="J68" s="2"/>
      <c r="K68" s="2"/>
      <c r="L68" s="2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"/>
      <c r="Y68" s="2"/>
      <c r="Z68" s="2"/>
    </row>
    <row r="69" spans="1:26" x14ac:dyDescent="0.25">
      <c r="A69" s="2"/>
      <c r="B69" s="2"/>
      <c r="C69" s="2"/>
      <c r="D69" s="2"/>
      <c r="E69" s="2"/>
      <c r="F69" s="2"/>
      <c r="G69" s="2"/>
      <c r="H69" s="2"/>
      <c r="I69" s="24"/>
      <c r="J69" s="2"/>
      <c r="K69" s="2"/>
      <c r="L69" s="2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"/>
      <c r="Y69" s="2"/>
      <c r="Z69" s="2"/>
    </row>
    <row r="70" spans="1:26" x14ac:dyDescent="0.25">
      <c r="A70" s="2"/>
      <c r="B70" s="2"/>
      <c r="C70" s="2"/>
      <c r="D70" s="2"/>
      <c r="E70" s="2"/>
      <c r="F70" s="2"/>
      <c r="G70" s="2"/>
      <c r="H70" s="2"/>
      <c r="I70" s="24"/>
      <c r="J70" s="2"/>
      <c r="K70" s="2"/>
      <c r="L70" s="2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"/>
      <c r="Y70" s="2"/>
      <c r="Z70" s="2"/>
    </row>
    <row r="71" spans="1:26" x14ac:dyDescent="0.25">
      <c r="A71" s="2"/>
      <c r="B71" s="2"/>
      <c r="C71" s="2"/>
      <c r="D71" s="2"/>
      <c r="E71" s="2"/>
      <c r="F71" s="2"/>
      <c r="G71" s="2"/>
      <c r="H71" s="2"/>
      <c r="I71" s="24"/>
      <c r="J71" s="2"/>
      <c r="K71" s="2"/>
      <c r="L71" s="2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"/>
      <c r="Y71" s="2"/>
      <c r="Z71" s="2"/>
    </row>
    <row r="72" spans="1:26" x14ac:dyDescent="0.25">
      <c r="A72" s="2"/>
      <c r="B72" s="2"/>
      <c r="C72" s="2"/>
      <c r="D72" s="2"/>
      <c r="E72" s="2"/>
      <c r="F72" s="2"/>
      <c r="G72" s="2"/>
      <c r="H72" s="2"/>
      <c r="I72" s="24"/>
      <c r="J72" s="2"/>
      <c r="K72" s="2"/>
      <c r="L72" s="2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"/>
      <c r="Y72" s="2"/>
      <c r="Z72" s="2"/>
    </row>
    <row r="73" spans="1:26" x14ac:dyDescent="0.25">
      <c r="A73" s="2"/>
      <c r="B73" s="2"/>
      <c r="C73" s="2"/>
      <c r="D73" s="2"/>
      <c r="E73" s="2"/>
      <c r="F73" s="2"/>
      <c r="G73" s="2"/>
      <c r="H73" s="2"/>
      <c r="I73" s="24"/>
      <c r="J73" s="2"/>
      <c r="K73" s="2"/>
      <c r="L73" s="2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"/>
      <c r="Y73" s="2"/>
      <c r="Z73" s="2"/>
    </row>
    <row r="74" spans="1:26" x14ac:dyDescent="0.25">
      <c r="A74" s="2"/>
      <c r="B74" s="2"/>
      <c r="C74" s="2"/>
      <c r="D74" s="2"/>
      <c r="E74" s="2"/>
      <c r="F74" s="2"/>
      <c r="G74" s="2"/>
      <c r="H74" s="2"/>
      <c r="I74" s="24"/>
      <c r="J74" s="2"/>
      <c r="K74" s="2"/>
      <c r="L74" s="2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"/>
      <c r="Y74" s="2"/>
      <c r="Z74" s="2"/>
    </row>
    <row r="75" spans="1:26" x14ac:dyDescent="0.25">
      <c r="A75" s="2"/>
      <c r="B75" s="2"/>
      <c r="C75" s="2"/>
      <c r="D75" s="2"/>
      <c r="E75" s="2"/>
      <c r="F75" s="2"/>
      <c r="G75" s="2"/>
      <c r="H75" s="2"/>
      <c r="I75" s="24"/>
      <c r="J75" s="2"/>
      <c r="K75" s="2"/>
      <c r="L75" s="2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"/>
      <c r="Y75" s="2"/>
      <c r="Z75" s="2"/>
    </row>
    <row r="76" spans="1:26" x14ac:dyDescent="0.25">
      <c r="A76" s="2"/>
      <c r="B76" s="2"/>
      <c r="C76" s="2"/>
      <c r="D76" s="2"/>
      <c r="E76" s="2"/>
      <c r="F76" s="2"/>
      <c r="G76" s="2"/>
      <c r="H76" s="2"/>
      <c r="I76" s="24"/>
      <c r="J76" s="2"/>
      <c r="K76" s="2"/>
      <c r="L76" s="2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"/>
      <c r="Y76" s="2"/>
      <c r="Z76" s="2"/>
    </row>
    <row r="77" spans="1:26" x14ac:dyDescent="0.25">
      <c r="A77" s="2"/>
      <c r="B77" s="2"/>
      <c r="C77" s="2"/>
      <c r="D77" s="2"/>
      <c r="E77" s="2"/>
      <c r="F77" s="2"/>
      <c r="G77" s="2"/>
      <c r="H77" s="2"/>
      <c r="I77" s="24"/>
      <c r="J77" s="2"/>
      <c r="K77" s="2"/>
      <c r="L77" s="2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"/>
      <c r="Y77" s="2"/>
      <c r="Z77" s="2"/>
    </row>
    <row r="78" spans="1:26" x14ac:dyDescent="0.25">
      <c r="A78" s="2"/>
      <c r="B78" s="2"/>
      <c r="C78" s="2"/>
      <c r="D78" s="2"/>
      <c r="E78" s="2"/>
      <c r="F78" s="2"/>
      <c r="G78" s="2"/>
      <c r="H78" s="2"/>
      <c r="I78" s="24"/>
      <c r="J78" s="2"/>
      <c r="K78" s="2"/>
      <c r="L78" s="2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"/>
      <c r="Y78" s="2"/>
      <c r="Z78" s="2"/>
    </row>
    <row r="79" spans="1:26" x14ac:dyDescent="0.25">
      <c r="A79" s="2"/>
      <c r="B79" s="2"/>
      <c r="C79" s="2"/>
      <c r="D79" s="2"/>
      <c r="E79" s="2"/>
      <c r="F79" s="2"/>
      <c r="G79" s="2"/>
      <c r="H79" s="2"/>
      <c r="I79" s="24"/>
      <c r="J79" s="2"/>
      <c r="K79" s="2"/>
      <c r="L79" s="2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"/>
      <c r="Y79" s="2"/>
      <c r="Z79" s="2"/>
    </row>
    <row r="80" spans="1:26" x14ac:dyDescent="0.25">
      <c r="A80" s="2"/>
      <c r="B80" s="2"/>
      <c r="C80" s="2"/>
      <c r="D80" s="2"/>
      <c r="E80" s="2"/>
      <c r="F80" s="2"/>
      <c r="G80" s="2"/>
      <c r="H80" s="2"/>
      <c r="I80" s="24"/>
      <c r="J80" s="2"/>
      <c r="K80" s="2"/>
      <c r="L80" s="2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"/>
      <c r="Y80" s="2"/>
      <c r="Z80" s="2"/>
    </row>
    <row r="81" spans="1:26" x14ac:dyDescent="0.25">
      <c r="A81" s="2"/>
      <c r="B81" s="2"/>
      <c r="C81" s="2"/>
      <c r="D81" s="2"/>
      <c r="E81" s="2"/>
      <c r="F81" s="2"/>
      <c r="G81" s="2"/>
      <c r="H81" s="2"/>
      <c r="I81" s="24"/>
      <c r="J81" s="2"/>
      <c r="K81" s="2"/>
      <c r="L81" s="2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"/>
      <c r="Y81" s="2"/>
      <c r="Z81" s="2"/>
    </row>
    <row r="82" spans="1:26" x14ac:dyDescent="0.25">
      <c r="A82" s="2"/>
      <c r="B82" s="2"/>
      <c r="C82" s="2"/>
      <c r="D82" s="2"/>
      <c r="E82" s="2"/>
      <c r="F82" s="2"/>
      <c r="G82" s="2"/>
      <c r="H82" s="2"/>
      <c r="I82" s="24"/>
      <c r="J82" s="2"/>
      <c r="K82" s="2"/>
      <c r="L82" s="2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"/>
      <c r="Y82" s="2"/>
      <c r="Z82" s="2"/>
    </row>
    <row r="83" spans="1:26" x14ac:dyDescent="0.25">
      <c r="A83" s="2"/>
      <c r="B83" s="2"/>
      <c r="C83" s="2"/>
      <c r="D83" s="2"/>
      <c r="E83" s="2"/>
      <c r="F83" s="2"/>
      <c r="G83" s="2"/>
      <c r="H83" s="2"/>
      <c r="I83" s="24"/>
      <c r="J83" s="2"/>
      <c r="K83" s="2"/>
      <c r="L83" s="2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"/>
      <c r="Y83" s="2"/>
      <c r="Z83" s="2"/>
    </row>
    <row r="84" spans="1:26" x14ac:dyDescent="0.25">
      <c r="A84" s="2"/>
      <c r="B84" s="2"/>
      <c r="C84" s="2"/>
      <c r="D84" s="2"/>
      <c r="E84" s="2"/>
      <c r="F84" s="2"/>
      <c r="G84" s="2"/>
      <c r="H84" s="2"/>
      <c r="I84" s="24"/>
      <c r="J84" s="2"/>
      <c r="K84" s="2"/>
      <c r="L84" s="2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"/>
      <c r="Y84" s="2"/>
      <c r="Z84" s="2"/>
    </row>
    <row r="85" spans="1:26" x14ac:dyDescent="0.25">
      <c r="A85" s="2"/>
      <c r="B85" s="2"/>
      <c r="C85" s="2"/>
      <c r="D85" s="2"/>
      <c r="E85" s="2"/>
      <c r="F85" s="2"/>
      <c r="G85" s="2"/>
      <c r="H85" s="2"/>
      <c r="I85" s="24"/>
      <c r="J85" s="2"/>
      <c r="K85" s="2"/>
      <c r="L85" s="2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"/>
      <c r="Y85" s="2"/>
      <c r="Z85" s="2"/>
    </row>
    <row r="86" spans="1:26" x14ac:dyDescent="0.25">
      <c r="A86" s="2"/>
      <c r="B86" s="2"/>
      <c r="C86" s="2"/>
      <c r="D86" s="2"/>
      <c r="E86" s="2"/>
      <c r="F86" s="2"/>
      <c r="G86" s="2"/>
      <c r="H86" s="2"/>
      <c r="I86" s="24"/>
      <c r="J86" s="2"/>
      <c r="K86" s="2"/>
      <c r="L86" s="2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"/>
      <c r="Y86" s="2"/>
      <c r="Z86" s="2"/>
    </row>
    <row r="87" spans="1:26" x14ac:dyDescent="0.25">
      <c r="A87" s="2"/>
      <c r="B87" s="2"/>
      <c r="C87" s="2"/>
      <c r="D87" s="2"/>
      <c r="E87" s="2"/>
      <c r="F87" s="2"/>
      <c r="G87" s="2"/>
      <c r="H87" s="2"/>
      <c r="I87" s="24"/>
      <c r="J87" s="2"/>
      <c r="K87" s="2"/>
      <c r="L87" s="2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"/>
      <c r="Y87" s="2"/>
      <c r="Z87" s="2"/>
    </row>
    <row r="88" spans="1:26" x14ac:dyDescent="0.25">
      <c r="A88" s="2"/>
      <c r="B88" s="2"/>
      <c r="C88" s="2"/>
      <c r="D88" s="2"/>
      <c r="E88" s="2"/>
      <c r="F88" s="2"/>
      <c r="G88" s="2"/>
      <c r="H88" s="2"/>
      <c r="I88" s="24"/>
      <c r="J88" s="2"/>
      <c r="K88" s="2"/>
      <c r="L88" s="2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"/>
      <c r="Y88" s="2"/>
      <c r="Z88" s="2"/>
    </row>
    <row r="89" spans="1:26" x14ac:dyDescent="0.25">
      <c r="A89" s="2"/>
      <c r="B89" s="2"/>
      <c r="C89" s="2"/>
      <c r="D89" s="2"/>
      <c r="E89" s="2"/>
      <c r="F89" s="2"/>
      <c r="G89" s="2"/>
      <c r="H89" s="2"/>
      <c r="I89" s="24"/>
      <c r="J89" s="2"/>
      <c r="K89" s="2"/>
      <c r="L89" s="2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"/>
      <c r="Y89" s="2"/>
      <c r="Z89" s="2"/>
    </row>
    <row r="90" spans="1:26" x14ac:dyDescent="0.25">
      <c r="A90" s="2"/>
      <c r="B90" s="2"/>
      <c r="C90" s="2"/>
      <c r="D90" s="2"/>
      <c r="E90" s="2"/>
      <c r="F90" s="2"/>
      <c r="G90" s="2"/>
      <c r="H90" s="2"/>
      <c r="I90" s="24"/>
      <c r="J90" s="2"/>
      <c r="K90" s="2"/>
      <c r="L90" s="2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"/>
      <c r="Y90" s="2"/>
      <c r="Z90" s="2"/>
    </row>
    <row r="91" spans="1:26" x14ac:dyDescent="0.25">
      <c r="A91" s="2"/>
      <c r="B91" s="2"/>
      <c r="C91" s="2"/>
      <c r="D91" s="2"/>
      <c r="E91" s="2"/>
      <c r="F91" s="2"/>
      <c r="G91" s="2"/>
      <c r="H91" s="2"/>
      <c r="I91" s="24"/>
      <c r="J91" s="2"/>
      <c r="K91" s="2"/>
      <c r="L91" s="2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"/>
      <c r="Y91" s="2"/>
      <c r="Z91" s="2"/>
    </row>
    <row r="92" spans="1:26" x14ac:dyDescent="0.25">
      <c r="A92" s="2"/>
      <c r="B92" s="2"/>
      <c r="C92" s="2"/>
      <c r="D92" s="2"/>
      <c r="E92" s="2"/>
      <c r="F92" s="2"/>
      <c r="G92" s="2"/>
      <c r="H92" s="2"/>
      <c r="I92" s="24"/>
      <c r="J92" s="2"/>
      <c r="K92" s="2"/>
      <c r="L92" s="2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"/>
      <c r="Y92" s="2"/>
      <c r="Z92" s="2"/>
    </row>
    <row r="93" spans="1:26" x14ac:dyDescent="0.25">
      <c r="A93" s="2"/>
      <c r="B93" s="2"/>
      <c r="C93" s="2"/>
      <c r="D93" s="2"/>
      <c r="E93" s="2"/>
      <c r="F93" s="2"/>
      <c r="G93" s="2"/>
      <c r="H93" s="2"/>
      <c r="I93" s="24"/>
      <c r="J93" s="2"/>
      <c r="K93" s="2"/>
      <c r="L93" s="2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"/>
      <c r="Y93" s="2"/>
      <c r="Z93" s="2"/>
    </row>
    <row r="94" spans="1:26" x14ac:dyDescent="0.25">
      <c r="A94" s="2"/>
      <c r="B94" s="2"/>
      <c r="C94" s="2"/>
      <c r="D94" s="2"/>
      <c r="E94" s="2"/>
      <c r="F94" s="2"/>
      <c r="G94" s="2"/>
      <c r="H94" s="2"/>
      <c r="I94" s="24"/>
      <c r="J94" s="2"/>
      <c r="K94" s="2"/>
      <c r="L94" s="2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"/>
      <c r="Y94" s="2"/>
      <c r="Z94" s="2"/>
    </row>
    <row r="95" spans="1:26" x14ac:dyDescent="0.25">
      <c r="A95" s="2"/>
      <c r="B95" s="2"/>
      <c r="C95" s="2"/>
      <c r="D95" s="2"/>
      <c r="E95" s="2"/>
      <c r="F95" s="2"/>
      <c r="G95" s="2"/>
      <c r="H95" s="2"/>
      <c r="I95" s="24"/>
      <c r="J95" s="2"/>
      <c r="K95" s="2"/>
      <c r="L95" s="2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"/>
      <c r="Y95" s="2"/>
      <c r="Z95" s="2"/>
    </row>
    <row r="96" spans="1:26" x14ac:dyDescent="0.25">
      <c r="A96" s="2"/>
      <c r="B96" s="2"/>
      <c r="C96" s="2"/>
      <c r="D96" s="2"/>
      <c r="E96" s="2"/>
      <c r="F96" s="2"/>
      <c r="G96" s="2"/>
      <c r="H96" s="2"/>
      <c r="I96" s="24"/>
      <c r="J96" s="2"/>
      <c r="K96" s="2"/>
      <c r="L96" s="2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"/>
      <c r="Y96" s="2"/>
      <c r="Z96" s="2"/>
    </row>
    <row r="97" spans="1:26" x14ac:dyDescent="0.25">
      <c r="A97" s="2"/>
      <c r="B97" s="2"/>
      <c r="C97" s="2"/>
      <c r="D97" s="2"/>
      <c r="E97" s="2"/>
      <c r="F97" s="2"/>
      <c r="G97" s="2"/>
      <c r="H97" s="2"/>
      <c r="I97" s="24"/>
      <c r="J97" s="2"/>
      <c r="K97" s="2"/>
      <c r="L97" s="2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"/>
      <c r="Y97" s="2"/>
      <c r="Z97" s="2"/>
    </row>
    <row r="98" spans="1:26" x14ac:dyDescent="0.25">
      <c r="A98" s="2"/>
      <c r="B98" s="2"/>
      <c r="C98" s="2"/>
      <c r="D98" s="2"/>
      <c r="E98" s="2"/>
      <c r="F98" s="2"/>
      <c r="G98" s="2"/>
      <c r="H98" s="2"/>
      <c r="I98" s="24"/>
      <c r="J98" s="2"/>
      <c r="K98" s="2"/>
      <c r="L98" s="2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"/>
      <c r="Y98" s="2"/>
      <c r="Z98" s="2"/>
    </row>
    <row r="99" spans="1:26" x14ac:dyDescent="0.25">
      <c r="A99" s="2"/>
      <c r="B99" s="2"/>
      <c r="C99" s="2"/>
      <c r="D99" s="2"/>
      <c r="E99" s="2"/>
      <c r="F99" s="2"/>
      <c r="G99" s="2"/>
      <c r="H99" s="2"/>
      <c r="I99" s="24"/>
      <c r="J99" s="2"/>
      <c r="K99" s="2"/>
      <c r="L99" s="2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"/>
      <c r="Y99" s="2"/>
      <c r="Z99" s="2"/>
    </row>
    <row r="100" spans="1:26" x14ac:dyDescent="0.25">
      <c r="A100" s="2"/>
      <c r="B100" s="2"/>
      <c r="C100" s="2"/>
      <c r="D100" s="2"/>
      <c r="E100" s="2"/>
      <c r="F100" s="2"/>
      <c r="G100" s="2"/>
      <c r="H100" s="2"/>
      <c r="I100" s="24"/>
      <c r="J100" s="2"/>
      <c r="K100" s="2"/>
      <c r="L100" s="2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"/>
      <c r="Y100" s="2"/>
      <c r="Z100" s="2"/>
    </row>
    <row r="101" spans="1:26" x14ac:dyDescent="0.25">
      <c r="A101" s="2"/>
      <c r="B101" s="2"/>
      <c r="C101" s="2"/>
      <c r="D101" s="2"/>
      <c r="E101" s="2"/>
      <c r="F101" s="2"/>
      <c r="G101" s="2"/>
      <c r="H101" s="2"/>
      <c r="I101" s="24"/>
      <c r="J101" s="2"/>
      <c r="K101" s="2"/>
      <c r="L101" s="2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"/>
      <c r="Y101" s="2"/>
      <c r="Z101" s="2"/>
    </row>
    <row r="102" spans="1:26" x14ac:dyDescent="0.25">
      <c r="A102" s="2"/>
      <c r="B102" s="2"/>
      <c r="C102" s="2"/>
      <c r="D102" s="2"/>
      <c r="E102" s="2"/>
      <c r="F102" s="2"/>
      <c r="G102" s="2"/>
      <c r="H102" s="2"/>
      <c r="I102" s="24"/>
      <c r="J102" s="2"/>
      <c r="K102" s="2"/>
      <c r="L102" s="2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"/>
      <c r="Y102" s="2"/>
      <c r="Z102" s="2"/>
    </row>
    <row r="103" spans="1:26" x14ac:dyDescent="0.25">
      <c r="A103" s="2"/>
      <c r="B103" s="2"/>
      <c r="C103" s="2"/>
      <c r="D103" s="2"/>
      <c r="E103" s="2"/>
      <c r="F103" s="2"/>
      <c r="G103" s="2"/>
      <c r="H103" s="2"/>
      <c r="I103" s="24"/>
      <c r="J103" s="2"/>
      <c r="K103" s="2"/>
      <c r="L103" s="2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"/>
      <c r="Y103" s="2"/>
      <c r="Z103" s="2"/>
    </row>
    <row r="104" spans="1:26" x14ac:dyDescent="0.25">
      <c r="A104" s="2"/>
      <c r="B104" s="2"/>
      <c r="C104" s="2"/>
      <c r="D104" s="2"/>
      <c r="E104" s="2"/>
      <c r="F104" s="2"/>
      <c r="G104" s="2"/>
      <c r="H104" s="2"/>
      <c r="I104" s="24"/>
      <c r="J104" s="2"/>
      <c r="K104" s="2"/>
      <c r="L104" s="2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"/>
      <c r="Y104" s="2"/>
      <c r="Z104" s="2"/>
    </row>
    <row r="105" spans="1:26" x14ac:dyDescent="0.25">
      <c r="A105" s="2"/>
      <c r="B105" s="2"/>
      <c r="C105" s="2"/>
      <c r="D105" s="2"/>
      <c r="E105" s="2"/>
      <c r="F105" s="2"/>
      <c r="G105" s="2"/>
      <c r="H105" s="2"/>
      <c r="I105" s="24"/>
      <c r="J105" s="2"/>
      <c r="K105" s="2"/>
      <c r="L105" s="2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"/>
      <c r="Y105" s="2"/>
      <c r="Z105" s="2"/>
    </row>
    <row r="106" spans="1:26" x14ac:dyDescent="0.25">
      <c r="A106" s="2"/>
      <c r="B106" s="2"/>
      <c r="C106" s="2"/>
      <c r="D106" s="2"/>
      <c r="E106" s="2"/>
      <c r="F106" s="2"/>
      <c r="G106" s="2"/>
      <c r="H106" s="2"/>
      <c r="I106" s="24"/>
      <c r="J106" s="2"/>
      <c r="K106" s="2"/>
      <c r="L106" s="2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"/>
      <c r="Y106" s="2"/>
      <c r="Z106" s="2"/>
    </row>
    <row r="107" spans="1:26" x14ac:dyDescent="0.25">
      <c r="A107" s="2"/>
      <c r="B107" s="2"/>
      <c r="C107" s="2"/>
      <c r="D107" s="2"/>
      <c r="E107" s="2"/>
      <c r="F107" s="2"/>
      <c r="G107" s="2"/>
      <c r="H107" s="2"/>
      <c r="I107" s="24"/>
      <c r="J107" s="2"/>
      <c r="K107" s="2"/>
      <c r="L107" s="2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"/>
      <c r="Y107" s="2"/>
      <c r="Z107" s="2"/>
    </row>
    <row r="108" spans="1:26" x14ac:dyDescent="0.25">
      <c r="A108" s="2"/>
      <c r="B108" s="2"/>
      <c r="C108" s="2"/>
      <c r="D108" s="2"/>
      <c r="E108" s="2"/>
      <c r="F108" s="2"/>
      <c r="G108" s="2"/>
      <c r="H108" s="2"/>
      <c r="I108" s="24"/>
      <c r="J108" s="2"/>
      <c r="K108" s="2"/>
      <c r="L108" s="2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"/>
      <c r="Y108" s="2"/>
      <c r="Z108" s="2"/>
    </row>
    <row r="109" spans="1:26" x14ac:dyDescent="0.25">
      <c r="A109" s="2"/>
      <c r="B109" s="2"/>
      <c r="C109" s="2"/>
      <c r="D109" s="2"/>
      <c r="E109" s="2"/>
      <c r="F109" s="2"/>
      <c r="G109" s="2"/>
      <c r="H109" s="2"/>
      <c r="I109" s="24"/>
      <c r="J109" s="2"/>
      <c r="K109" s="2"/>
      <c r="L109" s="2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"/>
      <c r="Y109" s="2"/>
      <c r="Z109" s="2"/>
    </row>
    <row r="110" spans="1:26" x14ac:dyDescent="0.25">
      <c r="A110" s="2"/>
      <c r="B110" s="2"/>
      <c r="C110" s="2"/>
      <c r="D110" s="2"/>
      <c r="E110" s="2"/>
      <c r="F110" s="2"/>
      <c r="G110" s="2"/>
      <c r="H110" s="2"/>
      <c r="I110" s="24"/>
      <c r="J110" s="2"/>
      <c r="K110" s="2"/>
      <c r="L110" s="2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"/>
      <c r="Y110" s="2"/>
      <c r="Z110" s="2"/>
    </row>
    <row r="111" spans="1:26" x14ac:dyDescent="0.25">
      <c r="A111" s="2"/>
      <c r="B111" s="2"/>
      <c r="C111" s="2"/>
      <c r="D111" s="2"/>
      <c r="E111" s="2"/>
      <c r="F111" s="2"/>
      <c r="G111" s="2"/>
      <c r="H111" s="2"/>
      <c r="I111" s="24"/>
      <c r="J111" s="2"/>
      <c r="K111" s="2"/>
      <c r="L111" s="2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"/>
      <c r="Y111" s="2"/>
      <c r="Z111" s="2"/>
    </row>
    <row r="112" spans="1:26" x14ac:dyDescent="0.25">
      <c r="A112" s="2"/>
      <c r="B112" s="2"/>
      <c r="C112" s="2"/>
      <c r="D112" s="2"/>
      <c r="E112" s="2"/>
      <c r="F112" s="2"/>
      <c r="G112" s="2"/>
      <c r="H112" s="2"/>
      <c r="I112" s="24"/>
      <c r="J112" s="2"/>
      <c r="K112" s="2"/>
      <c r="L112" s="2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"/>
      <c r="Y112" s="2"/>
      <c r="Z112" s="2"/>
    </row>
    <row r="113" spans="1:26" x14ac:dyDescent="0.25">
      <c r="A113" s="2"/>
      <c r="B113" s="2"/>
      <c r="C113" s="2"/>
      <c r="D113" s="2"/>
      <c r="E113" s="2"/>
      <c r="F113" s="2"/>
      <c r="G113" s="2"/>
      <c r="H113" s="2"/>
      <c r="I113" s="24"/>
      <c r="J113" s="2"/>
      <c r="K113" s="2"/>
      <c r="L113" s="2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"/>
      <c r="Y113" s="2"/>
      <c r="Z113" s="2"/>
    </row>
    <row r="114" spans="1:26" x14ac:dyDescent="0.25">
      <c r="A114" s="2"/>
      <c r="B114" s="2"/>
      <c r="C114" s="2"/>
      <c r="D114" s="2"/>
      <c r="E114" s="2"/>
      <c r="F114" s="2"/>
      <c r="G114" s="2"/>
      <c r="H114" s="2"/>
      <c r="I114" s="24"/>
      <c r="J114" s="2"/>
      <c r="K114" s="2"/>
      <c r="L114" s="2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"/>
      <c r="Y114" s="2"/>
      <c r="Z114" s="2"/>
    </row>
    <row r="115" spans="1:26" x14ac:dyDescent="0.25">
      <c r="A115" s="2"/>
      <c r="B115" s="2"/>
      <c r="C115" s="2"/>
      <c r="D115" s="2"/>
      <c r="E115" s="2"/>
      <c r="F115" s="2"/>
      <c r="G115" s="2"/>
      <c r="H115" s="2"/>
      <c r="I115" s="24"/>
      <c r="J115" s="2"/>
      <c r="K115" s="2"/>
      <c r="L115" s="2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"/>
      <c r="Y115" s="2"/>
      <c r="Z115" s="2"/>
    </row>
    <row r="116" spans="1:26" x14ac:dyDescent="0.25">
      <c r="A116" s="2"/>
      <c r="B116" s="2"/>
      <c r="C116" s="2"/>
      <c r="D116" s="2"/>
      <c r="E116" s="2"/>
      <c r="F116" s="2"/>
      <c r="G116" s="2"/>
      <c r="H116" s="2"/>
      <c r="I116" s="24"/>
      <c r="J116" s="2"/>
      <c r="K116" s="2"/>
      <c r="L116" s="2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"/>
      <c r="Y116" s="2"/>
      <c r="Z116" s="2"/>
    </row>
    <row r="117" spans="1:26" x14ac:dyDescent="0.25">
      <c r="A117" s="2"/>
      <c r="B117" s="2"/>
      <c r="C117" s="2"/>
      <c r="D117" s="2"/>
      <c r="E117" s="2"/>
      <c r="F117" s="2"/>
      <c r="G117" s="2"/>
      <c r="H117" s="2"/>
      <c r="I117" s="24"/>
      <c r="J117" s="2"/>
      <c r="K117" s="2"/>
      <c r="L117" s="2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"/>
      <c r="Y117" s="2"/>
      <c r="Z117" s="2"/>
    </row>
    <row r="118" spans="1:26" x14ac:dyDescent="0.25">
      <c r="A118" s="2"/>
      <c r="B118" s="2"/>
      <c r="C118" s="2"/>
      <c r="D118" s="2"/>
      <c r="E118" s="2"/>
      <c r="F118" s="2"/>
      <c r="G118" s="2"/>
      <c r="H118" s="2"/>
      <c r="I118" s="24"/>
      <c r="J118" s="2"/>
      <c r="K118" s="2"/>
      <c r="L118" s="2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"/>
      <c r="Y118" s="2"/>
      <c r="Z118" s="2"/>
    </row>
    <row r="119" spans="1:26" x14ac:dyDescent="0.25">
      <c r="A119" s="2"/>
      <c r="B119" s="2"/>
      <c r="C119" s="2"/>
      <c r="D119" s="2"/>
      <c r="E119" s="2"/>
      <c r="F119" s="2"/>
      <c r="G119" s="2"/>
      <c r="H119" s="2"/>
      <c r="I119" s="24"/>
      <c r="J119" s="2"/>
      <c r="K119" s="2"/>
      <c r="L119" s="2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"/>
      <c r="Y119" s="2"/>
      <c r="Z119" s="2"/>
    </row>
    <row r="120" spans="1:26" x14ac:dyDescent="0.25">
      <c r="A120" s="2"/>
      <c r="B120" s="2"/>
      <c r="C120" s="2"/>
      <c r="D120" s="2"/>
      <c r="E120" s="2"/>
      <c r="F120" s="2"/>
      <c r="G120" s="2"/>
      <c r="H120" s="2"/>
      <c r="I120" s="24"/>
      <c r="J120" s="2"/>
      <c r="K120" s="2"/>
      <c r="L120" s="2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"/>
      <c r="Y120" s="2"/>
      <c r="Z120" s="2"/>
    </row>
    <row r="121" spans="1:26" x14ac:dyDescent="0.25">
      <c r="A121" s="2"/>
      <c r="B121" s="2"/>
      <c r="C121" s="2"/>
      <c r="D121" s="2"/>
      <c r="E121" s="2"/>
      <c r="F121" s="2"/>
      <c r="G121" s="2"/>
      <c r="H121" s="2"/>
      <c r="I121" s="24"/>
      <c r="J121" s="2"/>
      <c r="K121" s="2"/>
      <c r="L121" s="2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"/>
      <c r="Y121" s="2"/>
      <c r="Z121" s="2"/>
    </row>
    <row r="122" spans="1:26" x14ac:dyDescent="0.25">
      <c r="A122" s="2"/>
      <c r="B122" s="2"/>
      <c r="C122" s="2"/>
      <c r="D122" s="2"/>
      <c r="E122" s="2"/>
      <c r="F122" s="2"/>
      <c r="G122" s="2"/>
      <c r="H122" s="2"/>
      <c r="I122" s="24"/>
      <c r="J122" s="2"/>
      <c r="K122" s="2"/>
      <c r="L122" s="2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"/>
      <c r="Y122" s="2"/>
      <c r="Z122" s="2"/>
    </row>
    <row r="123" spans="1:26" x14ac:dyDescent="0.25">
      <c r="A123" s="2"/>
      <c r="B123" s="2"/>
      <c r="C123" s="2"/>
      <c r="D123" s="2"/>
      <c r="E123" s="2"/>
      <c r="F123" s="2"/>
      <c r="G123" s="2"/>
      <c r="H123" s="2"/>
      <c r="I123" s="24"/>
      <c r="J123" s="2"/>
      <c r="K123" s="2"/>
      <c r="L123" s="2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"/>
      <c r="Y123" s="2"/>
      <c r="Z123" s="2"/>
    </row>
    <row r="124" spans="1:26" x14ac:dyDescent="0.25">
      <c r="A124" s="2"/>
      <c r="B124" s="2"/>
      <c r="C124" s="2"/>
      <c r="D124" s="2"/>
      <c r="E124" s="2"/>
      <c r="F124" s="2"/>
      <c r="G124" s="2"/>
      <c r="H124" s="2"/>
      <c r="I124" s="24"/>
      <c r="J124" s="2"/>
      <c r="K124" s="2"/>
      <c r="L124" s="2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"/>
      <c r="Y124" s="2"/>
      <c r="Z124" s="2"/>
    </row>
    <row r="125" spans="1:26" x14ac:dyDescent="0.25">
      <c r="A125" s="2"/>
      <c r="B125" s="2"/>
      <c r="C125" s="2"/>
      <c r="D125" s="2"/>
      <c r="E125" s="2"/>
      <c r="F125" s="2"/>
      <c r="G125" s="2"/>
      <c r="H125" s="2"/>
      <c r="I125" s="24"/>
      <c r="J125" s="2"/>
      <c r="K125" s="2"/>
      <c r="L125" s="2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"/>
      <c r="Y125" s="2"/>
      <c r="Z125" s="2"/>
    </row>
    <row r="126" spans="1:26" x14ac:dyDescent="0.25">
      <c r="A126" s="2"/>
      <c r="B126" s="2"/>
      <c r="C126" s="2"/>
      <c r="D126" s="2"/>
      <c r="E126" s="2"/>
      <c r="F126" s="2"/>
      <c r="G126" s="2"/>
      <c r="H126" s="2"/>
      <c r="I126" s="24"/>
      <c r="J126" s="2"/>
      <c r="K126" s="2"/>
      <c r="L126" s="2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"/>
      <c r="Y126" s="2"/>
      <c r="Z126" s="2"/>
    </row>
    <row r="127" spans="1:26" x14ac:dyDescent="0.25">
      <c r="A127" s="2"/>
      <c r="B127" s="2"/>
      <c r="C127" s="2"/>
      <c r="D127" s="2"/>
      <c r="E127" s="2"/>
      <c r="F127" s="2"/>
      <c r="G127" s="2"/>
      <c r="H127" s="2"/>
      <c r="I127" s="24"/>
      <c r="J127" s="2"/>
      <c r="K127" s="2"/>
      <c r="L127" s="2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"/>
      <c r="Y127" s="2"/>
      <c r="Z127" s="2"/>
    </row>
    <row r="128" spans="1:26" x14ac:dyDescent="0.25">
      <c r="A128" s="2"/>
      <c r="B128" s="2"/>
      <c r="C128" s="2"/>
      <c r="D128" s="2"/>
      <c r="E128" s="2"/>
      <c r="F128" s="2"/>
      <c r="G128" s="2"/>
      <c r="H128" s="2"/>
      <c r="I128" s="24"/>
      <c r="J128" s="2"/>
      <c r="K128" s="2"/>
      <c r="L128" s="2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"/>
      <c r="Y128" s="2"/>
      <c r="Z128" s="2"/>
    </row>
    <row r="129" spans="1:26" x14ac:dyDescent="0.25">
      <c r="A129" s="2"/>
      <c r="B129" s="2"/>
      <c r="C129" s="2"/>
      <c r="D129" s="2"/>
      <c r="E129" s="2"/>
      <c r="F129" s="2"/>
      <c r="G129" s="2"/>
      <c r="H129" s="2"/>
      <c r="I129" s="24"/>
      <c r="J129" s="2"/>
      <c r="K129" s="2"/>
      <c r="L129" s="2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"/>
      <c r="Y129" s="2"/>
      <c r="Z129" s="2"/>
    </row>
    <row r="130" spans="1:26" x14ac:dyDescent="0.25">
      <c r="A130" s="2"/>
      <c r="B130" s="2"/>
      <c r="C130" s="2"/>
      <c r="D130" s="2"/>
      <c r="E130" s="2"/>
      <c r="F130" s="2"/>
      <c r="G130" s="2"/>
      <c r="H130" s="2"/>
      <c r="I130" s="24"/>
      <c r="J130" s="2"/>
      <c r="K130" s="2"/>
      <c r="L130" s="2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"/>
      <c r="Y130" s="2"/>
      <c r="Z130" s="2"/>
    </row>
    <row r="131" spans="1:26" x14ac:dyDescent="0.25">
      <c r="A131" s="2"/>
      <c r="B131" s="2"/>
      <c r="C131" s="2"/>
      <c r="D131" s="2"/>
      <c r="E131" s="2"/>
      <c r="F131" s="2"/>
      <c r="G131" s="2"/>
      <c r="H131" s="2"/>
      <c r="I131" s="24"/>
      <c r="J131" s="2"/>
      <c r="K131" s="2"/>
      <c r="L131" s="2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"/>
      <c r="Y131" s="2"/>
      <c r="Z131" s="2"/>
    </row>
    <row r="132" spans="1:26" x14ac:dyDescent="0.25">
      <c r="A132" s="2"/>
      <c r="B132" s="2"/>
      <c r="C132" s="2"/>
      <c r="D132" s="2"/>
      <c r="E132" s="2"/>
      <c r="F132" s="2"/>
      <c r="G132" s="2"/>
      <c r="H132" s="2"/>
      <c r="I132" s="24"/>
      <c r="J132" s="2"/>
      <c r="K132" s="2"/>
      <c r="L132" s="2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"/>
      <c r="Y132" s="2"/>
      <c r="Z132" s="2"/>
    </row>
    <row r="133" spans="1:26" x14ac:dyDescent="0.25">
      <c r="A133" s="2"/>
      <c r="B133" s="2"/>
      <c r="C133" s="2"/>
      <c r="D133" s="2"/>
      <c r="E133" s="2"/>
      <c r="F133" s="2"/>
      <c r="G133" s="2"/>
      <c r="H133" s="2"/>
      <c r="I133" s="24"/>
      <c r="J133" s="2"/>
      <c r="K133" s="2"/>
      <c r="L133" s="2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"/>
      <c r="Y133" s="2"/>
      <c r="Z133" s="2"/>
    </row>
    <row r="134" spans="1:26" x14ac:dyDescent="0.25">
      <c r="A134" s="2"/>
      <c r="B134" s="2"/>
      <c r="C134" s="2"/>
      <c r="D134" s="2"/>
      <c r="E134" s="2"/>
      <c r="F134" s="2"/>
      <c r="G134" s="2"/>
      <c r="H134" s="2"/>
      <c r="I134" s="24"/>
      <c r="J134" s="2"/>
      <c r="K134" s="2"/>
      <c r="L134" s="2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"/>
      <c r="Y134" s="2"/>
      <c r="Z134" s="2"/>
    </row>
    <row r="135" spans="1:26" x14ac:dyDescent="0.25">
      <c r="A135" s="2"/>
      <c r="B135" s="2"/>
      <c r="C135" s="2"/>
      <c r="D135" s="2"/>
      <c r="E135" s="2"/>
      <c r="F135" s="2"/>
      <c r="G135" s="2"/>
      <c r="H135" s="2"/>
      <c r="I135" s="24"/>
      <c r="J135" s="2"/>
      <c r="K135" s="2"/>
      <c r="L135" s="2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"/>
      <c r="Y135" s="2"/>
      <c r="Z135" s="2"/>
    </row>
    <row r="136" spans="1:26" x14ac:dyDescent="0.25">
      <c r="A136" s="2"/>
      <c r="B136" s="2"/>
      <c r="C136" s="2"/>
      <c r="D136" s="2"/>
      <c r="E136" s="2"/>
      <c r="F136" s="2"/>
      <c r="G136" s="2"/>
      <c r="H136" s="2"/>
      <c r="I136" s="24"/>
      <c r="J136" s="2"/>
      <c r="K136" s="2"/>
      <c r="L136" s="2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"/>
      <c r="Y136" s="2"/>
      <c r="Z136" s="2"/>
    </row>
    <row r="137" spans="1:26" x14ac:dyDescent="0.25">
      <c r="A137" s="2"/>
      <c r="B137" s="2"/>
      <c r="C137" s="2"/>
      <c r="D137" s="2"/>
      <c r="E137" s="2"/>
      <c r="F137" s="2"/>
      <c r="G137" s="2"/>
      <c r="H137" s="2"/>
      <c r="I137" s="24"/>
      <c r="J137" s="2"/>
      <c r="K137" s="2"/>
      <c r="L137" s="2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"/>
      <c r="Y137" s="2"/>
      <c r="Z137" s="2"/>
    </row>
    <row r="138" spans="1:26" x14ac:dyDescent="0.25">
      <c r="A138" s="2"/>
      <c r="B138" s="2"/>
      <c r="C138" s="2"/>
      <c r="D138" s="2"/>
      <c r="E138" s="2"/>
      <c r="F138" s="2"/>
      <c r="G138" s="2"/>
      <c r="H138" s="2"/>
      <c r="I138" s="24"/>
      <c r="J138" s="2"/>
      <c r="K138" s="2"/>
      <c r="L138" s="2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"/>
      <c r="Y138" s="2"/>
      <c r="Z138" s="2"/>
    </row>
    <row r="139" spans="1:26" x14ac:dyDescent="0.25">
      <c r="A139" s="2"/>
      <c r="B139" s="2"/>
      <c r="C139" s="2"/>
      <c r="D139" s="2"/>
      <c r="E139" s="2"/>
      <c r="F139" s="2"/>
      <c r="G139" s="2"/>
      <c r="H139" s="2"/>
      <c r="I139" s="24"/>
      <c r="J139" s="2"/>
      <c r="K139" s="2"/>
      <c r="L139" s="2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"/>
      <c r="Y139" s="2"/>
      <c r="Z139" s="2"/>
    </row>
    <row r="140" spans="1:26" x14ac:dyDescent="0.25">
      <c r="A140" s="2"/>
      <c r="B140" s="2"/>
      <c r="C140" s="2"/>
      <c r="D140" s="2"/>
      <c r="E140" s="2"/>
      <c r="F140" s="2"/>
      <c r="G140" s="2"/>
      <c r="H140" s="2"/>
      <c r="I140" s="24"/>
      <c r="J140" s="2"/>
      <c r="K140" s="2"/>
      <c r="L140" s="2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"/>
      <c r="Y140" s="2"/>
      <c r="Z140" s="2"/>
    </row>
    <row r="141" spans="1:26" x14ac:dyDescent="0.25">
      <c r="A141" s="2"/>
      <c r="B141" s="2"/>
      <c r="C141" s="2"/>
      <c r="D141" s="2"/>
      <c r="E141" s="2"/>
      <c r="F141" s="2"/>
      <c r="G141" s="2"/>
      <c r="H141" s="2"/>
      <c r="I141" s="24"/>
      <c r="J141" s="2"/>
      <c r="K141" s="2"/>
      <c r="L141" s="2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"/>
      <c r="Y141" s="2"/>
      <c r="Z141" s="2"/>
    </row>
    <row r="142" spans="1:26" x14ac:dyDescent="0.25">
      <c r="A142" s="2"/>
      <c r="B142" s="2"/>
      <c r="C142" s="2"/>
      <c r="D142" s="2"/>
      <c r="E142" s="2"/>
      <c r="F142" s="2"/>
      <c r="G142" s="2"/>
      <c r="H142" s="2"/>
      <c r="I142" s="24"/>
      <c r="J142" s="2"/>
      <c r="K142" s="2"/>
      <c r="L142" s="2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"/>
      <c r="Y142" s="2"/>
      <c r="Z142" s="2"/>
    </row>
    <row r="143" spans="1:26" x14ac:dyDescent="0.25">
      <c r="A143" s="2"/>
      <c r="B143" s="2"/>
      <c r="C143" s="2"/>
      <c r="D143" s="2"/>
      <c r="E143" s="2"/>
      <c r="F143" s="2"/>
      <c r="G143" s="2"/>
      <c r="H143" s="2"/>
      <c r="I143" s="24"/>
      <c r="J143" s="2"/>
      <c r="K143" s="2"/>
      <c r="L143" s="2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"/>
      <c r="Y143" s="2"/>
      <c r="Z143" s="2"/>
    </row>
    <row r="144" spans="1:26" x14ac:dyDescent="0.25">
      <c r="A144" s="2"/>
      <c r="B144" s="2"/>
      <c r="C144" s="2"/>
      <c r="D144" s="2"/>
      <c r="E144" s="2"/>
      <c r="F144" s="2"/>
      <c r="G144" s="2"/>
      <c r="H144" s="2"/>
      <c r="I144" s="24"/>
      <c r="J144" s="2"/>
      <c r="K144" s="2"/>
      <c r="L144" s="2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"/>
      <c r="Y144" s="2"/>
      <c r="Z144" s="2"/>
    </row>
    <row r="145" spans="1:26" x14ac:dyDescent="0.25">
      <c r="A145" s="2"/>
      <c r="B145" s="2"/>
      <c r="C145" s="2"/>
      <c r="D145" s="2"/>
      <c r="E145" s="2"/>
      <c r="F145" s="2"/>
      <c r="G145" s="2"/>
      <c r="H145" s="2"/>
      <c r="I145" s="24"/>
      <c r="J145" s="2"/>
      <c r="K145" s="2"/>
      <c r="L145" s="2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"/>
      <c r="Y145" s="2"/>
      <c r="Z145" s="2"/>
    </row>
    <row r="146" spans="1:26" x14ac:dyDescent="0.25">
      <c r="A146" s="2"/>
      <c r="B146" s="2"/>
      <c r="C146" s="2"/>
      <c r="D146" s="2"/>
      <c r="E146" s="2"/>
      <c r="F146" s="2"/>
      <c r="G146" s="2"/>
      <c r="H146" s="2"/>
      <c r="I146" s="24"/>
      <c r="J146" s="2"/>
      <c r="K146" s="2"/>
      <c r="L146" s="2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"/>
      <c r="Y146" s="2"/>
      <c r="Z146" s="2"/>
    </row>
    <row r="147" spans="1:26" x14ac:dyDescent="0.25">
      <c r="A147" s="2"/>
      <c r="B147" s="2"/>
      <c r="C147" s="2"/>
      <c r="D147" s="2"/>
      <c r="E147" s="2"/>
      <c r="F147" s="2"/>
      <c r="G147" s="2"/>
      <c r="H147" s="2"/>
      <c r="I147" s="24"/>
      <c r="J147" s="2"/>
      <c r="K147" s="2"/>
      <c r="L147" s="2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"/>
      <c r="Y147" s="2"/>
      <c r="Z147" s="2"/>
    </row>
    <row r="148" spans="1:26" x14ac:dyDescent="0.25">
      <c r="A148" s="2"/>
      <c r="B148" s="2"/>
      <c r="C148" s="2"/>
      <c r="D148" s="2"/>
      <c r="E148" s="2"/>
      <c r="F148" s="2"/>
      <c r="G148" s="2"/>
      <c r="H148" s="2"/>
      <c r="I148" s="24"/>
      <c r="J148" s="2"/>
      <c r="K148" s="2"/>
      <c r="L148" s="2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"/>
      <c r="Y148" s="2"/>
      <c r="Z148" s="2"/>
    </row>
    <row r="149" spans="1:26" x14ac:dyDescent="0.25">
      <c r="A149" s="2"/>
      <c r="B149" s="2"/>
      <c r="C149" s="2"/>
      <c r="D149" s="2"/>
      <c r="E149" s="2"/>
      <c r="F149" s="2"/>
      <c r="G149" s="2"/>
      <c r="H149" s="2"/>
      <c r="I149" s="24"/>
      <c r="J149" s="2"/>
      <c r="K149" s="2"/>
      <c r="L149" s="2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"/>
      <c r="Y149" s="2"/>
      <c r="Z149" s="2"/>
    </row>
    <row r="150" spans="1:26" x14ac:dyDescent="0.25">
      <c r="A150" s="2"/>
      <c r="B150" s="2"/>
      <c r="C150" s="2"/>
      <c r="D150" s="2"/>
      <c r="E150" s="2"/>
      <c r="F150" s="2"/>
      <c r="G150" s="2"/>
      <c r="H150" s="2"/>
      <c r="I150" s="24"/>
      <c r="J150" s="2"/>
      <c r="K150" s="2"/>
      <c r="L150" s="2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"/>
      <c r="Y150" s="2"/>
      <c r="Z150" s="2"/>
    </row>
    <row r="151" spans="1:26" x14ac:dyDescent="0.25">
      <c r="A151" s="2"/>
      <c r="B151" s="2"/>
      <c r="C151" s="2"/>
      <c r="D151" s="2"/>
      <c r="E151" s="2"/>
      <c r="F151" s="2"/>
      <c r="G151" s="2"/>
      <c r="H151" s="2"/>
      <c r="I151" s="24"/>
      <c r="J151" s="2"/>
      <c r="K151" s="2"/>
      <c r="L151" s="2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"/>
      <c r="Y151" s="2"/>
      <c r="Z151" s="2"/>
    </row>
    <row r="152" spans="1:26" x14ac:dyDescent="0.25">
      <c r="A152" s="2"/>
      <c r="B152" s="2"/>
      <c r="C152" s="2"/>
      <c r="D152" s="2"/>
      <c r="E152" s="2"/>
      <c r="F152" s="2"/>
      <c r="G152" s="2"/>
      <c r="H152" s="2"/>
      <c r="I152" s="24"/>
      <c r="J152" s="2"/>
      <c r="K152" s="2"/>
      <c r="L152" s="2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"/>
      <c r="Y152" s="2"/>
      <c r="Z152" s="2"/>
    </row>
    <row r="153" spans="1:26" x14ac:dyDescent="0.25">
      <c r="A153" s="2"/>
      <c r="B153" s="2"/>
      <c r="C153" s="2"/>
      <c r="D153" s="2"/>
      <c r="E153" s="2"/>
      <c r="F153" s="2"/>
      <c r="G153" s="2"/>
      <c r="H153" s="2"/>
      <c r="I153" s="24"/>
      <c r="J153" s="2"/>
      <c r="K153" s="2"/>
      <c r="L153" s="2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"/>
      <c r="Y153" s="2"/>
      <c r="Z153" s="2"/>
    </row>
    <row r="154" spans="1:26" x14ac:dyDescent="0.25">
      <c r="A154" s="2"/>
      <c r="B154" s="2"/>
      <c r="C154" s="2"/>
      <c r="D154" s="2"/>
      <c r="E154" s="2"/>
      <c r="F154" s="2"/>
      <c r="G154" s="2"/>
      <c r="H154" s="2"/>
      <c r="I154" s="24"/>
      <c r="J154" s="2"/>
      <c r="K154" s="2"/>
      <c r="L154" s="2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"/>
      <c r="Y154" s="2"/>
      <c r="Z154" s="2"/>
    </row>
    <row r="155" spans="1:26" x14ac:dyDescent="0.25">
      <c r="A155" s="2"/>
      <c r="B155" s="2"/>
      <c r="C155" s="2"/>
      <c r="D155" s="2"/>
      <c r="E155" s="2"/>
      <c r="F155" s="2"/>
      <c r="G155" s="2"/>
      <c r="H155" s="2"/>
      <c r="I155" s="24"/>
      <c r="J155" s="2"/>
      <c r="K155" s="2"/>
      <c r="L155" s="2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"/>
      <c r="Y155" s="2"/>
      <c r="Z155" s="2"/>
    </row>
    <row r="156" spans="1:26" x14ac:dyDescent="0.25">
      <c r="A156" s="2"/>
      <c r="B156" s="2"/>
      <c r="C156" s="2"/>
      <c r="D156" s="2"/>
      <c r="E156" s="2"/>
      <c r="F156" s="2"/>
      <c r="G156" s="2"/>
      <c r="H156" s="2"/>
      <c r="I156" s="24"/>
      <c r="J156" s="2"/>
      <c r="K156" s="2"/>
      <c r="L156" s="2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"/>
      <c r="Y156" s="2"/>
      <c r="Z156" s="2"/>
    </row>
    <row r="157" spans="1:26" x14ac:dyDescent="0.25">
      <c r="A157" s="2"/>
      <c r="B157" s="2"/>
      <c r="C157" s="2"/>
      <c r="D157" s="2"/>
      <c r="E157" s="2"/>
      <c r="F157" s="2"/>
      <c r="G157" s="2"/>
      <c r="H157" s="2"/>
      <c r="I157" s="24"/>
      <c r="J157" s="2"/>
      <c r="K157" s="2"/>
      <c r="L157" s="2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"/>
      <c r="Y157" s="2"/>
      <c r="Z157" s="2"/>
    </row>
    <row r="158" spans="1:26" x14ac:dyDescent="0.25">
      <c r="A158" s="2"/>
      <c r="B158" s="2"/>
      <c r="C158" s="2"/>
      <c r="D158" s="2"/>
      <c r="E158" s="2"/>
      <c r="F158" s="2"/>
      <c r="G158" s="2"/>
      <c r="H158" s="2"/>
      <c r="I158" s="24"/>
      <c r="J158" s="2"/>
      <c r="K158" s="2"/>
      <c r="L158" s="2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"/>
      <c r="Y158" s="2"/>
      <c r="Z158" s="2"/>
    </row>
    <row r="159" spans="1:26" x14ac:dyDescent="0.25">
      <c r="A159" s="2"/>
      <c r="B159" s="2"/>
      <c r="C159" s="2"/>
      <c r="D159" s="2"/>
      <c r="E159" s="2"/>
      <c r="F159" s="2"/>
      <c r="G159" s="2"/>
      <c r="H159" s="2"/>
      <c r="I159" s="24"/>
      <c r="J159" s="2"/>
      <c r="K159" s="2"/>
      <c r="L159" s="2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"/>
      <c r="Y159" s="2"/>
      <c r="Z159" s="2"/>
    </row>
    <row r="160" spans="1:26" x14ac:dyDescent="0.25">
      <c r="A160" s="2"/>
      <c r="B160" s="2"/>
      <c r="C160" s="2"/>
      <c r="D160" s="2"/>
      <c r="E160" s="2"/>
      <c r="F160" s="2"/>
      <c r="G160" s="2"/>
      <c r="H160" s="2"/>
      <c r="I160" s="24"/>
      <c r="J160" s="2"/>
      <c r="K160" s="2"/>
      <c r="L160" s="2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"/>
      <c r="Y160" s="2"/>
      <c r="Z160" s="2"/>
    </row>
    <row r="161" spans="1:26" x14ac:dyDescent="0.25">
      <c r="A161" s="2"/>
      <c r="B161" s="2"/>
      <c r="C161" s="2"/>
      <c r="D161" s="2"/>
      <c r="E161" s="2"/>
      <c r="F161" s="2"/>
      <c r="G161" s="2"/>
      <c r="H161" s="2"/>
      <c r="I161" s="24"/>
      <c r="J161" s="2"/>
      <c r="K161" s="2"/>
      <c r="L161" s="2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"/>
      <c r="Y161" s="2"/>
      <c r="Z161" s="2"/>
    </row>
    <row r="162" spans="1:26" x14ac:dyDescent="0.25">
      <c r="A162" s="2"/>
      <c r="B162" s="2"/>
      <c r="C162" s="2"/>
      <c r="D162" s="2"/>
      <c r="E162" s="2"/>
      <c r="F162" s="2"/>
      <c r="G162" s="2"/>
      <c r="H162" s="2"/>
      <c r="I162" s="24"/>
      <c r="J162" s="2"/>
      <c r="K162" s="2"/>
      <c r="L162" s="2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"/>
      <c r="Y162" s="2"/>
      <c r="Z162" s="2"/>
    </row>
    <row r="163" spans="1:26" x14ac:dyDescent="0.25">
      <c r="A163" s="2"/>
      <c r="B163" s="2"/>
      <c r="C163" s="2"/>
      <c r="D163" s="2"/>
      <c r="E163" s="2"/>
      <c r="F163" s="2"/>
      <c r="G163" s="2"/>
      <c r="H163" s="2"/>
      <c r="I163" s="24"/>
      <c r="J163" s="2"/>
      <c r="K163" s="2"/>
      <c r="L163" s="2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"/>
      <c r="Y163" s="2"/>
      <c r="Z163" s="2"/>
    </row>
    <row r="164" spans="1:26" x14ac:dyDescent="0.25">
      <c r="A164" s="2"/>
      <c r="B164" s="2"/>
      <c r="C164" s="2"/>
      <c r="D164" s="2"/>
      <c r="E164" s="2"/>
      <c r="F164" s="2"/>
      <c r="G164" s="2"/>
      <c r="H164" s="2"/>
      <c r="I164" s="24"/>
      <c r="J164" s="2"/>
      <c r="K164" s="2"/>
      <c r="L164" s="2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"/>
      <c r="Y164" s="2"/>
      <c r="Z164" s="2"/>
    </row>
    <row r="165" spans="1:26" x14ac:dyDescent="0.25">
      <c r="A165" s="2"/>
      <c r="B165" s="2"/>
      <c r="C165" s="2"/>
      <c r="D165" s="2"/>
      <c r="E165" s="2"/>
      <c r="F165" s="2"/>
      <c r="G165" s="2"/>
      <c r="H165" s="2"/>
      <c r="I165" s="24"/>
      <c r="J165" s="2"/>
      <c r="K165" s="2"/>
      <c r="L165" s="2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"/>
      <c r="Y165" s="2"/>
      <c r="Z165" s="2"/>
    </row>
    <row r="166" spans="1:26" x14ac:dyDescent="0.25">
      <c r="A166" s="2"/>
      <c r="B166" s="2"/>
      <c r="C166" s="2"/>
      <c r="D166" s="2"/>
      <c r="E166" s="2"/>
      <c r="F166" s="2"/>
      <c r="G166" s="2"/>
      <c r="H166" s="2"/>
      <c r="I166" s="24"/>
      <c r="J166" s="2"/>
      <c r="K166" s="2"/>
      <c r="L166" s="2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"/>
      <c r="Y166" s="2"/>
      <c r="Z166" s="2"/>
    </row>
    <row r="167" spans="1:26" x14ac:dyDescent="0.25">
      <c r="A167" s="2"/>
      <c r="B167" s="2"/>
      <c r="C167" s="2"/>
      <c r="D167" s="2"/>
      <c r="E167" s="2"/>
      <c r="F167" s="2"/>
      <c r="G167" s="2"/>
      <c r="H167" s="2"/>
      <c r="I167" s="24"/>
      <c r="J167" s="2"/>
      <c r="K167" s="2"/>
      <c r="L167" s="2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"/>
      <c r="Y167" s="2"/>
      <c r="Z167" s="2"/>
    </row>
    <row r="168" spans="1:26" x14ac:dyDescent="0.25">
      <c r="A168" s="2"/>
      <c r="B168" s="2"/>
      <c r="C168" s="2"/>
      <c r="D168" s="2"/>
      <c r="E168" s="2"/>
      <c r="F168" s="2"/>
      <c r="G168" s="2"/>
      <c r="H168" s="2"/>
      <c r="I168" s="24"/>
      <c r="J168" s="2"/>
      <c r="K168" s="2"/>
      <c r="L168" s="2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"/>
      <c r="Y168" s="2"/>
      <c r="Z168" s="2"/>
    </row>
    <row r="169" spans="1:26" x14ac:dyDescent="0.25">
      <c r="A169" s="2"/>
      <c r="B169" s="2"/>
      <c r="C169" s="2"/>
      <c r="D169" s="2"/>
      <c r="E169" s="2"/>
      <c r="F169" s="2"/>
      <c r="G169" s="2"/>
      <c r="H169" s="2"/>
      <c r="I169" s="24"/>
      <c r="J169" s="2"/>
      <c r="K169" s="2"/>
      <c r="L169" s="2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"/>
      <c r="Y169" s="2"/>
      <c r="Z169" s="2"/>
    </row>
    <row r="170" spans="1:26" x14ac:dyDescent="0.25">
      <c r="A170" s="2"/>
      <c r="B170" s="2"/>
      <c r="C170" s="2"/>
      <c r="D170" s="2"/>
      <c r="E170" s="2"/>
      <c r="F170" s="2"/>
      <c r="G170" s="2"/>
      <c r="H170" s="2"/>
      <c r="I170" s="24"/>
      <c r="J170" s="2"/>
      <c r="K170" s="2"/>
      <c r="L170" s="2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"/>
      <c r="Y170" s="2"/>
      <c r="Z170" s="2"/>
    </row>
    <row r="171" spans="1:26" x14ac:dyDescent="0.25">
      <c r="A171" s="2"/>
      <c r="B171" s="2"/>
      <c r="C171" s="2"/>
      <c r="D171" s="2"/>
      <c r="E171" s="2"/>
      <c r="F171" s="2"/>
      <c r="G171" s="2"/>
      <c r="H171" s="2"/>
      <c r="I171" s="24"/>
      <c r="J171" s="2"/>
      <c r="K171" s="2"/>
      <c r="L171" s="2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"/>
      <c r="Y171" s="2"/>
      <c r="Z171" s="2"/>
    </row>
    <row r="172" spans="1:26" x14ac:dyDescent="0.25">
      <c r="A172" s="2"/>
      <c r="B172" s="2"/>
      <c r="C172" s="2"/>
      <c r="D172" s="2"/>
      <c r="E172" s="2"/>
      <c r="F172" s="2"/>
      <c r="G172" s="2"/>
      <c r="H172" s="2"/>
      <c r="I172" s="24"/>
      <c r="J172" s="2"/>
      <c r="K172" s="2"/>
      <c r="L172" s="2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"/>
      <c r="Y172" s="2"/>
      <c r="Z172" s="2"/>
    </row>
    <row r="173" spans="1:26" x14ac:dyDescent="0.25">
      <c r="A173" s="2"/>
      <c r="B173" s="2"/>
      <c r="C173" s="2"/>
      <c r="D173" s="2"/>
      <c r="E173" s="2"/>
      <c r="F173" s="2"/>
      <c r="G173" s="2"/>
      <c r="H173" s="2"/>
      <c r="I173" s="24"/>
      <c r="J173" s="2"/>
      <c r="K173" s="2"/>
      <c r="L173" s="2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"/>
      <c r="Y173" s="2"/>
      <c r="Z173" s="2"/>
    </row>
    <row r="174" spans="1:26" x14ac:dyDescent="0.25">
      <c r="A174" s="2"/>
      <c r="B174" s="2"/>
      <c r="C174" s="2"/>
      <c r="D174" s="2"/>
      <c r="E174" s="2"/>
      <c r="F174" s="2"/>
      <c r="G174" s="2"/>
      <c r="H174" s="2"/>
      <c r="I174" s="24"/>
      <c r="J174" s="2"/>
      <c r="K174" s="2"/>
      <c r="L174" s="2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"/>
      <c r="Y174" s="2"/>
      <c r="Z174" s="2"/>
    </row>
    <row r="175" spans="1:26" x14ac:dyDescent="0.25">
      <c r="A175" s="2"/>
      <c r="B175" s="2"/>
      <c r="C175" s="2"/>
      <c r="D175" s="2"/>
      <c r="E175" s="2"/>
      <c r="F175" s="2"/>
      <c r="G175" s="2"/>
      <c r="H175" s="2"/>
      <c r="I175" s="24"/>
      <c r="J175" s="2"/>
      <c r="K175" s="2"/>
      <c r="L175" s="2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"/>
      <c r="Y175" s="2"/>
      <c r="Z175" s="2"/>
    </row>
    <row r="176" spans="1:26" x14ac:dyDescent="0.25">
      <c r="A176" s="2"/>
      <c r="B176" s="2"/>
      <c r="C176" s="2"/>
      <c r="D176" s="2"/>
      <c r="E176" s="2"/>
      <c r="F176" s="2"/>
      <c r="G176" s="2"/>
      <c r="H176" s="2"/>
      <c r="I176" s="24"/>
      <c r="J176" s="2"/>
      <c r="K176" s="2"/>
      <c r="L176" s="2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"/>
      <c r="Y176" s="2"/>
      <c r="Z176" s="2"/>
    </row>
    <row r="177" spans="1:26" x14ac:dyDescent="0.25">
      <c r="A177" s="2"/>
      <c r="B177" s="2"/>
      <c r="C177" s="2"/>
      <c r="D177" s="2"/>
      <c r="E177" s="2"/>
      <c r="F177" s="2"/>
      <c r="G177" s="2"/>
      <c r="H177" s="2"/>
      <c r="I177" s="24"/>
      <c r="J177" s="2"/>
      <c r="K177" s="2"/>
      <c r="L177" s="2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"/>
      <c r="Y177" s="2"/>
      <c r="Z177" s="2"/>
    </row>
    <row r="178" spans="1:26" x14ac:dyDescent="0.25">
      <c r="A178" s="2"/>
      <c r="B178" s="2"/>
      <c r="C178" s="2"/>
      <c r="D178" s="2"/>
      <c r="E178" s="2"/>
      <c r="F178" s="2"/>
      <c r="G178" s="2"/>
      <c r="H178" s="2"/>
      <c r="I178" s="24"/>
      <c r="J178" s="2"/>
      <c r="K178" s="2"/>
      <c r="L178" s="2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"/>
      <c r="Y178" s="2"/>
      <c r="Z178" s="2"/>
    </row>
    <row r="179" spans="1:26" x14ac:dyDescent="0.25">
      <c r="A179" s="2"/>
      <c r="B179" s="2"/>
      <c r="C179" s="2"/>
      <c r="D179" s="2"/>
      <c r="E179" s="2"/>
      <c r="F179" s="2"/>
      <c r="G179" s="2"/>
      <c r="H179" s="2"/>
      <c r="I179" s="24"/>
      <c r="J179" s="2"/>
      <c r="K179" s="2"/>
      <c r="L179" s="2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"/>
      <c r="Y179" s="2"/>
      <c r="Z179" s="2"/>
    </row>
    <row r="180" spans="1:26" x14ac:dyDescent="0.25">
      <c r="A180" s="2"/>
      <c r="B180" s="2"/>
      <c r="C180" s="2"/>
      <c r="D180" s="2"/>
      <c r="E180" s="2"/>
      <c r="F180" s="2"/>
      <c r="G180" s="2"/>
      <c r="H180" s="2"/>
      <c r="I180" s="24"/>
      <c r="J180" s="2"/>
      <c r="K180" s="2"/>
      <c r="L180" s="2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"/>
      <c r="Y180" s="2"/>
      <c r="Z180" s="2"/>
    </row>
    <row r="181" spans="1:26" x14ac:dyDescent="0.25">
      <c r="A181" s="2"/>
      <c r="B181" s="2"/>
      <c r="C181" s="2"/>
      <c r="D181" s="2"/>
      <c r="E181" s="2"/>
      <c r="F181" s="2"/>
      <c r="G181" s="2"/>
      <c r="H181" s="2"/>
      <c r="I181" s="24"/>
      <c r="J181" s="2"/>
      <c r="K181" s="2"/>
      <c r="L181" s="2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"/>
      <c r="Y181" s="2"/>
      <c r="Z181" s="2"/>
    </row>
    <row r="182" spans="1:26" x14ac:dyDescent="0.25">
      <c r="A182" s="2"/>
      <c r="B182" s="2"/>
      <c r="C182" s="2"/>
      <c r="D182" s="2"/>
      <c r="E182" s="2"/>
      <c r="F182" s="2"/>
      <c r="G182" s="2"/>
      <c r="H182" s="2"/>
      <c r="I182" s="24"/>
      <c r="J182" s="2"/>
      <c r="K182" s="2"/>
      <c r="L182" s="2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"/>
      <c r="Y182" s="2"/>
      <c r="Z182" s="2"/>
    </row>
    <row r="183" spans="1:26" x14ac:dyDescent="0.25">
      <c r="A183" s="2"/>
      <c r="B183" s="2"/>
      <c r="C183" s="2"/>
      <c r="D183" s="2"/>
      <c r="E183" s="2"/>
      <c r="F183" s="2"/>
      <c r="G183" s="2"/>
      <c r="H183" s="2"/>
      <c r="I183" s="24"/>
      <c r="J183" s="2"/>
      <c r="K183" s="2"/>
      <c r="L183" s="2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"/>
      <c r="Y183" s="2"/>
      <c r="Z183" s="2"/>
    </row>
    <row r="184" spans="1:26" x14ac:dyDescent="0.25">
      <c r="A184" s="2"/>
      <c r="B184" s="2"/>
      <c r="C184" s="2"/>
      <c r="D184" s="2"/>
      <c r="E184" s="2"/>
      <c r="F184" s="2"/>
      <c r="G184" s="2"/>
      <c r="H184" s="2"/>
      <c r="I184" s="24"/>
      <c r="J184" s="2"/>
      <c r="K184" s="2"/>
      <c r="L184" s="2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"/>
      <c r="Y184" s="2"/>
      <c r="Z184" s="2"/>
    </row>
    <row r="185" spans="1:26" x14ac:dyDescent="0.25">
      <c r="A185" s="2"/>
      <c r="B185" s="2"/>
      <c r="C185" s="2"/>
      <c r="D185" s="2"/>
      <c r="E185" s="2"/>
      <c r="F185" s="2"/>
      <c r="G185" s="2"/>
      <c r="H185" s="2"/>
      <c r="I185" s="24"/>
      <c r="J185" s="2"/>
      <c r="K185" s="2"/>
      <c r="L185" s="2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"/>
      <c r="Y185" s="2"/>
      <c r="Z185" s="2"/>
    </row>
    <row r="186" spans="1:26" x14ac:dyDescent="0.25">
      <c r="A186" s="2"/>
      <c r="B186" s="2"/>
      <c r="C186" s="2"/>
      <c r="D186" s="2"/>
      <c r="E186" s="2"/>
      <c r="F186" s="2"/>
      <c r="G186" s="2"/>
      <c r="H186" s="2"/>
      <c r="I186" s="24"/>
      <c r="J186" s="2"/>
      <c r="K186" s="2"/>
      <c r="L186" s="2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"/>
      <c r="Y186" s="2"/>
      <c r="Z186" s="2"/>
    </row>
    <row r="187" spans="1:26" x14ac:dyDescent="0.25">
      <c r="A187" s="2"/>
      <c r="B187" s="2"/>
      <c r="C187" s="2"/>
      <c r="D187" s="2"/>
      <c r="E187" s="2"/>
      <c r="F187" s="2"/>
      <c r="G187" s="2"/>
      <c r="H187" s="2"/>
      <c r="I187" s="24"/>
      <c r="J187" s="2"/>
      <c r="K187" s="2"/>
      <c r="L187" s="2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"/>
      <c r="Y187" s="2"/>
      <c r="Z187" s="2"/>
    </row>
    <row r="188" spans="1:26" x14ac:dyDescent="0.25">
      <c r="A188" s="2"/>
      <c r="B188" s="2"/>
      <c r="C188" s="2"/>
      <c r="D188" s="2"/>
      <c r="E188" s="2"/>
      <c r="F188" s="2"/>
      <c r="G188" s="2"/>
      <c r="H188" s="2"/>
      <c r="I188" s="24"/>
      <c r="J188" s="2"/>
      <c r="K188" s="2"/>
      <c r="L188" s="2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"/>
      <c r="Y188" s="2"/>
      <c r="Z188" s="2"/>
    </row>
    <row r="189" spans="1:26" x14ac:dyDescent="0.25">
      <c r="A189" s="2"/>
      <c r="B189" s="2"/>
      <c r="C189" s="2"/>
      <c r="D189" s="2"/>
      <c r="E189" s="2"/>
      <c r="F189" s="2"/>
      <c r="G189" s="2"/>
      <c r="H189" s="2"/>
      <c r="I189" s="24"/>
      <c r="J189" s="2"/>
      <c r="K189" s="2"/>
      <c r="L189" s="2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"/>
      <c r="Y189" s="2"/>
      <c r="Z189" s="2"/>
    </row>
    <row r="190" spans="1:26" x14ac:dyDescent="0.25">
      <c r="A190" s="2"/>
      <c r="B190" s="2"/>
      <c r="C190" s="2"/>
      <c r="D190" s="2"/>
      <c r="E190" s="2"/>
      <c r="F190" s="2"/>
      <c r="G190" s="2"/>
      <c r="H190" s="2"/>
      <c r="I190" s="24"/>
      <c r="J190" s="2"/>
      <c r="K190" s="2"/>
      <c r="L190" s="2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"/>
      <c r="Y190" s="2"/>
      <c r="Z190" s="2"/>
    </row>
    <row r="191" spans="1:26" x14ac:dyDescent="0.25">
      <c r="A191" s="2"/>
      <c r="B191" s="2"/>
      <c r="C191" s="2"/>
      <c r="D191" s="2"/>
      <c r="E191" s="2"/>
      <c r="F191" s="2"/>
      <c r="G191" s="2"/>
      <c r="H191" s="2"/>
      <c r="I191" s="24"/>
      <c r="J191" s="2"/>
      <c r="K191" s="2"/>
      <c r="L191" s="2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"/>
      <c r="Y191" s="2"/>
      <c r="Z191" s="2"/>
    </row>
    <row r="192" spans="1:26" x14ac:dyDescent="0.25">
      <c r="A192" s="2"/>
      <c r="B192" s="2"/>
      <c r="C192" s="2"/>
      <c r="D192" s="2"/>
      <c r="E192" s="2"/>
      <c r="F192" s="2"/>
      <c r="G192" s="2"/>
      <c r="H192" s="2"/>
      <c r="I192" s="24"/>
      <c r="J192" s="2"/>
      <c r="K192" s="2"/>
      <c r="L192" s="2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"/>
      <c r="Y192" s="2"/>
      <c r="Z192" s="2"/>
    </row>
    <row r="193" spans="1:26" x14ac:dyDescent="0.25">
      <c r="A193" s="2"/>
      <c r="B193" s="2"/>
      <c r="C193" s="2"/>
      <c r="D193" s="2"/>
      <c r="E193" s="2"/>
      <c r="F193" s="2"/>
      <c r="G193" s="2"/>
      <c r="H193" s="2"/>
      <c r="I193" s="24"/>
      <c r="J193" s="2"/>
      <c r="K193" s="2"/>
      <c r="L193" s="2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"/>
      <c r="Y193" s="2"/>
      <c r="Z193" s="2"/>
    </row>
    <row r="194" spans="1:26" x14ac:dyDescent="0.25">
      <c r="A194" s="2"/>
      <c r="B194" s="2"/>
      <c r="C194" s="2"/>
      <c r="D194" s="2"/>
      <c r="E194" s="2"/>
      <c r="F194" s="2"/>
      <c r="G194" s="2"/>
      <c r="H194" s="2"/>
      <c r="I194" s="24"/>
      <c r="J194" s="2"/>
      <c r="K194" s="2"/>
      <c r="L194" s="2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"/>
      <c r="Y194" s="2"/>
      <c r="Z194" s="2"/>
    </row>
    <row r="195" spans="1:26" x14ac:dyDescent="0.25">
      <c r="A195" s="2"/>
      <c r="B195" s="2"/>
      <c r="C195" s="2"/>
      <c r="D195" s="2"/>
      <c r="E195" s="2"/>
      <c r="F195" s="2"/>
      <c r="G195" s="2"/>
      <c r="H195" s="2"/>
      <c r="I195" s="24"/>
      <c r="J195" s="2"/>
      <c r="K195" s="2"/>
      <c r="L195" s="2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"/>
      <c r="Y195" s="2"/>
      <c r="Z195" s="2"/>
    </row>
    <row r="196" spans="1:26" x14ac:dyDescent="0.25">
      <c r="A196" s="2"/>
      <c r="B196" s="2"/>
      <c r="C196" s="2"/>
      <c r="D196" s="2"/>
      <c r="E196" s="2"/>
      <c r="F196" s="2"/>
      <c r="G196" s="2"/>
      <c r="H196" s="2"/>
      <c r="I196" s="24"/>
      <c r="J196" s="2"/>
      <c r="K196" s="2"/>
      <c r="L196" s="2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"/>
      <c r="Y196" s="2"/>
      <c r="Z196" s="2"/>
    </row>
    <row r="197" spans="1:26" x14ac:dyDescent="0.25">
      <c r="A197" s="2"/>
      <c r="B197" s="2"/>
      <c r="C197" s="2"/>
      <c r="D197" s="2"/>
      <c r="E197" s="2"/>
      <c r="F197" s="2"/>
      <c r="G197" s="2"/>
      <c r="H197" s="2"/>
      <c r="I197" s="24"/>
      <c r="J197" s="2"/>
      <c r="K197" s="2"/>
      <c r="L197" s="2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"/>
      <c r="Y197" s="2"/>
      <c r="Z197" s="2"/>
    </row>
    <row r="198" spans="1:26" x14ac:dyDescent="0.25">
      <c r="A198" s="2"/>
      <c r="B198" s="2"/>
      <c r="C198" s="2"/>
      <c r="D198" s="2"/>
      <c r="E198" s="2"/>
      <c r="F198" s="2"/>
      <c r="G198" s="2"/>
      <c r="H198" s="2"/>
      <c r="I198" s="24"/>
      <c r="J198" s="2"/>
      <c r="K198" s="2"/>
      <c r="L198" s="2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"/>
      <c r="Y198" s="2"/>
      <c r="Z198" s="2"/>
    </row>
    <row r="199" spans="1:26" x14ac:dyDescent="0.25">
      <c r="A199" s="2"/>
      <c r="B199" s="2"/>
      <c r="C199" s="2"/>
      <c r="D199" s="2"/>
      <c r="E199" s="2"/>
      <c r="F199" s="2"/>
      <c r="G199" s="2"/>
      <c r="H199" s="2"/>
      <c r="I199" s="24"/>
      <c r="J199" s="2"/>
      <c r="K199" s="2"/>
      <c r="L199" s="2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"/>
      <c r="Y199" s="2"/>
      <c r="Z199" s="2"/>
    </row>
    <row r="200" spans="1:26" x14ac:dyDescent="0.25">
      <c r="A200" s="2"/>
      <c r="B200" s="2"/>
      <c r="C200" s="2"/>
      <c r="D200" s="2"/>
      <c r="E200" s="2"/>
      <c r="F200" s="2"/>
      <c r="G200" s="2"/>
      <c r="H200" s="2"/>
      <c r="I200" s="24"/>
      <c r="J200" s="2"/>
      <c r="K200" s="2"/>
      <c r="L200" s="2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"/>
      <c r="Y200" s="2"/>
      <c r="Z200" s="2"/>
    </row>
    <row r="201" spans="1:26" x14ac:dyDescent="0.25">
      <c r="A201" s="2"/>
      <c r="B201" s="2"/>
      <c r="C201" s="2"/>
      <c r="D201" s="2"/>
      <c r="E201" s="2"/>
      <c r="F201" s="2"/>
      <c r="G201" s="2"/>
      <c r="H201" s="2"/>
      <c r="I201" s="24"/>
      <c r="J201" s="2"/>
      <c r="K201" s="2"/>
      <c r="L201" s="2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"/>
      <c r="Y201" s="2"/>
      <c r="Z201" s="2"/>
    </row>
    <row r="202" spans="1:26" x14ac:dyDescent="0.25">
      <c r="A202" s="2"/>
      <c r="B202" s="2"/>
      <c r="C202" s="2"/>
      <c r="D202" s="2"/>
      <c r="E202" s="2"/>
      <c r="F202" s="2"/>
      <c r="G202" s="2"/>
      <c r="H202" s="2"/>
      <c r="I202" s="24"/>
      <c r="J202" s="2"/>
      <c r="K202" s="2"/>
      <c r="L202" s="2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"/>
      <c r="Y202" s="2"/>
      <c r="Z202" s="2"/>
    </row>
    <row r="203" spans="1:26" x14ac:dyDescent="0.25">
      <c r="A203" s="2"/>
      <c r="B203" s="2"/>
      <c r="C203" s="2"/>
      <c r="D203" s="2"/>
      <c r="E203" s="2"/>
      <c r="F203" s="2"/>
      <c r="G203" s="2"/>
      <c r="H203" s="2"/>
      <c r="I203" s="24"/>
      <c r="J203" s="2"/>
      <c r="K203" s="2"/>
      <c r="L203" s="2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"/>
      <c r="Y203" s="2"/>
      <c r="Z203" s="2"/>
    </row>
    <row r="204" spans="1:26" x14ac:dyDescent="0.25">
      <c r="A204" s="2"/>
      <c r="B204" s="2"/>
      <c r="C204" s="2"/>
      <c r="D204" s="2"/>
      <c r="E204" s="2"/>
      <c r="F204" s="2"/>
      <c r="G204" s="2"/>
      <c r="H204" s="2"/>
      <c r="I204" s="24"/>
      <c r="J204" s="2"/>
      <c r="K204" s="2"/>
      <c r="L204" s="2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"/>
      <c r="Y204" s="2"/>
      <c r="Z204" s="2"/>
    </row>
    <row r="205" spans="1:26" x14ac:dyDescent="0.25">
      <c r="A205" s="2"/>
      <c r="B205" s="2"/>
      <c r="C205" s="2"/>
      <c r="D205" s="2"/>
      <c r="E205" s="2"/>
      <c r="F205" s="2"/>
      <c r="G205" s="2"/>
      <c r="H205" s="2"/>
      <c r="I205" s="24"/>
      <c r="J205" s="2"/>
      <c r="K205" s="2"/>
      <c r="L205" s="2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"/>
      <c r="Y205" s="2"/>
      <c r="Z205" s="2"/>
    </row>
    <row r="206" spans="1:26" x14ac:dyDescent="0.25">
      <c r="A206" s="2"/>
      <c r="B206" s="2"/>
      <c r="C206" s="2"/>
      <c r="D206" s="2"/>
      <c r="E206" s="2"/>
      <c r="F206" s="2"/>
      <c r="G206" s="2"/>
      <c r="H206" s="2"/>
      <c r="I206" s="24"/>
      <c r="J206" s="2"/>
      <c r="K206" s="2"/>
      <c r="L206" s="2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"/>
      <c r="Y206" s="2"/>
      <c r="Z206" s="2"/>
    </row>
    <row r="207" spans="1:26" x14ac:dyDescent="0.25">
      <c r="A207" s="2"/>
      <c r="B207" s="2"/>
      <c r="C207" s="2"/>
      <c r="D207" s="2"/>
      <c r="E207" s="2"/>
      <c r="F207" s="2"/>
      <c r="G207" s="2"/>
      <c r="H207" s="2"/>
      <c r="I207" s="24"/>
      <c r="J207" s="2"/>
      <c r="K207" s="2"/>
      <c r="L207" s="2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"/>
      <c r="Y207" s="2"/>
      <c r="Z207" s="2"/>
    </row>
    <row r="208" spans="1:26" x14ac:dyDescent="0.25">
      <c r="A208" s="2"/>
      <c r="B208" s="2"/>
      <c r="C208" s="2"/>
      <c r="D208" s="2"/>
      <c r="E208" s="2"/>
      <c r="F208" s="2"/>
      <c r="G208" s="2"/>
      <c r="H208" s="2"/>
      <c r="I208" s="24"/>
      <c r="J208" s="2"/>
      <c r="K208" s="2"/>
      <c r="L208" s="2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"/>
      <c r="Y208" s="2"/>
      <c r="Z208" s="2"/>
    </row>
    <row r="209" spans="1:26" x14ac:dyDescent="0.25">
      <c r="A209" s="2"/>
      <c r="B209" s="2"/>
      <c r="C209" s="2"/>
      <c r="D209" s="2"/>
      <c r="E209" s="2"/>
      <c r="F209" s="2"/>
      <c r="G209" s="2"/>
      <c r="H209" s="2"/>
      <c r="I209" s="24"/>
      <c r="J209" s="2"/>
      <c r="K209" s="2"/>
      <c r="L209" s="2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"/>
      <c r="Y209" s="2"/>
      <c r="Z209" s="2"/>
    </row>
    <row r="210" spans="1:26" x14ac:dyDescent="0.25">
      <c r="A210" s="2"/>
      <c r="B210" s="2"/>
      <c r="C210" s="2"/>
      <c r="D210" s="2"/>
      <c r="E210" s="2"/>
      <c r="F210" s="2"/>
      <c r="G210" s="2"/>
      <c r="H210" s="2"/>
      <c r="I210" s="24"/>
      <c r="J210" s="2"/>
      <c r="K210" s="2"/>
      <c r="L210" s="2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"/>
      <c r="Y210" s="2"/>
      <c r="Z210" s="2"/>
    </row>
    <row r="211" spans="1:26" x14ac:dyDescent="0.25">
      <c r="A211" s="2"/>
      <c r="B211" s="2"/>
      <c r="C211" s="2"/>
      <c r="D211" s="2"/>
      <c r="E211" s="2"/>
      <c r="F211" s="2"/>
      <c r="G211" s="2"/>
      <c r="H211" s="2"/>
      <c r="I211" s="24"/>
      <c r="J211" s="2"/>
      <c r="K211" s="2"/>
      <c r="L211" s="2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"/>
      <c r="Y211" s="2"/>
      <c r="Z211" s="2"/>
    </row>
    <row r="212" spans="1:26" x14ac:dyDescent="0.25">
      <c r="A212" s="2"/>
      <c r="B212" s="2"/>
      <c r="C212" s="2"/>
      <c r="D212" s="2"/>
      <c r="E212" s="2"/>
      <c r="F212" s="2"/>
      <c r="G212" s="2"/>
      <c r="H212" s="2"/>
      <c r="I212" s="24"/>
      <c r="J212" s="2"/>
      <c r="K212" s="2"/>
      <c r="L212" s="2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"/>
      <c r="Y212" s="2"/>
      <c r="Z212" s="2"/>
    </row>
    <row r="213" spans="1:26" x14ac:dyDescent="0.25">
      <c r="A213" s="2"/>
      <c r="B213" s="2"/>
      <c r="C213" s="2"/>
      <c r="D213" s="2"/>
      <c r="E213" s="2"/>
      <c r="F213" s="2"/>
      <c r="G213" s="2"/>
      <c r="H213" s="2"/>
      <c r="I213" s="24"/>
      <c r="J213" s="2"/>
      <c r="K213" s="2"/>
      <c r="L213" s="2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"/>
      <c r="Y213" s="2"/>
      <c r="Z213" s="2"/>
    </row>
    <row r="214" spans="1:26" x14ac:dyDescent="0.25">
      <c r="A214" s="2"/>
      <c r="B214" s="2"/>
      <c r="C214" s="2"/>
      <c r="D214" s="2"/>
      <c r="E214" s="2"/>
      <c r="F214" s="2"/>
      <c r="G214" s="2"/>
      <c r="H214" s="2"/>
      <c r="I214" s="24"/>
      <c r="J214" s="2"/>
      <c r="K214" s="2"/>
      <c r="L214" s="2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"/>
      <c r="Y214" s="2"/>
      <c r="Z214" s="2"/>
    </row>
    <row r="215" spans="1:26" x14ac:dyDescent="0.25">
      <c r="A215" s="2"/>
      <c r="B215" s="2"/>
      <c r="C215" s="2"/>
      <c r="D215" s="2"/>
      <c r="E215" s="2"/>
      <c r="F215" s="2"/>
      <c r="G215" s="2"/>
      <c r="H215" s="2"/>
      <c r="I215" s="24"/>
      <c r="J215" s="2"/>
      <c r="K215" s="2"/>
      <c r="L215" s="2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"/>
      <c r="Y215" s="2"/>
      <c r="Z215" s="2"/>
    </row>
    <row r="216" spans="1:26" x14ac:dyDescent="0.25">
      <c r="A216" s="2"/>
      <c r="B216" s="2"/>
      <c r="C216" s="2"/>
      <c r="D216" s="2"/>
      <c r="E216" s="2"/>
      <c r="F216" s="2"/>
      <c r="G216" s="2"/>
      <c r="H216" s="2"/>
      <c r="I216" s="24"/>
      <c r="J216" s="2"/>
      <c r="K216" s="2"/>
      <c r="L216" s="2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"/>
      <c r="Y216" s="2"/>
      <c r="Z216" s="2"/>
    </row>
    <row r="217" spans="1:26" x14ac:dyDescent="0.25">
      <c r="A217" s="2"/>
      <c r="B217" s="2"/>
      <c r="C217" s="2"/>
      <c r="D217" s="2"/>
      <c r="E217" s="2"/>
      <c r="F217" s="2"/>
      <c r="G217" s="2"/>
      <c r="H217" s="2"/>
      <c r="I217" s="24"/>
      <c r="J217" s="2"/>
      <c r="K217" s="2"/>
      <c r="L217" s="2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"/>
      <c r="Y217" s="2"/>
      <c r="Z217" s="2"/>
    </row>
    <row r="218" spans="1:26" x14ac:dyDescent="0.25">
      <c r="A218" s="2"/>
      <c r="B218" s="2"/>
      <c r="C218" s="2"/>
      <c r="D218" s="2"/>
      <c r="E218" s="2"/>
      <c r="F218" s="2"/>
      <c r="G218" s="2"/>
      <c r="H218" s="2"/>
      <c r="I218" s="24"/>
      <c r="J218" s="2"/>
      <c r="K218" s="2"/>
      <c r="L218" s="2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"/>
      <c r="Y218" s="2"/>
      <c r="Z218" s="2"/>
    </row>
    <row r="219" spans="1:26" x14ac:dyDescent="0.25">
      <c r="A219" s="2"/>
      <c r="B219" s="2"/>
      <c r="C219" s="2"/>
      <c r="D219" s="2"/>
      <c r="E219" s="2"/>
      <c r="F219" s="2"/>
      <c r="G219" s="2"/>
      <c r="H219" s="2"/>
      <c r="I219" s="24"/>
      <c r="J219" s="2"/>
      <c r="K219" s="2"/>
      <c r="L219" s="2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"/>
      <c r="Y219" s="2"/>
      <c r="Z219" s="2"/>
    </row>
    <row r="220" spans="1:26" x14ac:dyDescent="0.25">
      <c r="A220" s="2"/>
      <c r="B220" s="2"/>
      <c r="C220" s="2"/>
      <c r="D220" s="2"/>
      <c r="E220" s="2"/>
      <c r="F220" s="2"/>
      <c r="G220" s="2"/>
      <c r="H220" s="2"/>
      <c r="I220" s="24"/>
      <c r="J220" s="2"/>
      <c r="K220" s="2"/>
      <c r="L220" s="2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"/>
      <c r="Y220" s="2"/>
      <c r="Z220" s="2"/>
    </row>
    <row r="221" spans="1:26" x14ac:dyDescent="0.25">
      <c r="A221" s="2"/>
      <c r="B221" s="2"/>
      <c r="C221" s="2"/>
      <c r="D221" s="2"/>
      <c r="E221" s="2"/>
      <c r="F221" s="2"/>
      <c r="G221" s="2"/>
      <c r="H221" s="2"/>
      <c r="I221" s="24"/>
      <c r="J221" s="2"/>
      <c r="K221" s="2"/>
      <c r="L221" s="2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"/>
      <c r="Y221" s="2"/>
      <c r="Z221" s="2"/>
    </row>
    <row r="222" spans="1:26" x14ac:dyDescent="0.25">
      <c r="A222" s="2"/>
      <c r="B222" s="2"/>
      <c r="C222" s="2"/>
      <c r="D222" s="2"/>
      <c r="E222" s="2"/>
      <c r="F222" s="2"/>
      <c r="G222" s="2"/>
      <c r="H222" s="2"/>
      <c r="I222" s="24"/>
      <c r="J222" s="2"/>
      <c r="K222" s="2"/>
      <c r="L222" s="2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"/>
      <c r="Y222" s="2"/>
      <c r="Z222" s="2"/>
    </row>
    <row r="223" spans="1:26" x14ac:dyDescent="0.25">
      <c r="A223" s="2"/>
      <c r="B223" s="2"/>
      <c r="C223" s="2"/>
      <c r="D223" s="2"/>
      <c r="E223" s="2"/>
      <c r="F223" s="2"/>
      <c r="G223" s="2"/>
      <c r="H223" s="2"/>
      <c r="I223" s="24"/>
      <c r="J223" s="2"/>
      <c r="K223" s="2"/>
      <c r="L223" s="2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"/>
      <c r="Y223" s="2"/>
      <c r="Z223" s="2"/>
    </row>
    <row r="224" spans="1:26" x14ac:dyDescent="0.25">
      <c r="A224" s="2"/>
      <c r="B224" s="2"/>
      <c r="C224" s="2"/>
      <c r="D224" s="2"/>
      <c r="E224" s="2"/>
      <c r="F224" s="2"/>
      <c r="G224" s="2"/>
      <c r="H224" s="2"/>
      <c r="I224" s="24"/>
      <c r="J224" s="2"/>
      <c r="K224" s="2"/>
      <c r="L224" s="2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"/>
      <c r="Y224" s="2"/>
      <c r="Z224" s="2"/>
    </row>
    <row r="225" spans="1:26" x14ac:dyDescent="0.25">
      <c r="A225" s="2"/>
      <c r="B225" s="2"/>
      <c r="C225" s="2"/>
      <c r="D225" s="2"/>
      <c r="E225" s="2"/>
      <c r="F225" s="2"/>
      <c r="G225" s="2"/>
      <c r="H225" s="2"/>
      <c r="I225" s="24"/>
      <c r="J225" s="2"/>
      <c r="K225" s="2"/>
      <c r="L225" s="2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"/>
      <c r="Y225" s="2"/>
      <c r="Z225" s="2"/>
    </row>
    <row r="226" spans="1:26" x14ac:dyDescent="0.25">
      <c r="A226" s="2"/>
      <c r="B226" s="2"/>
      <c r="C226" s="2"/>
      <c r="D226" s="2"/>
      <c r="E226" s="2"/>
      <c r="F226" s="2"/>
      <c r="G226" s="2"/>
      <c r="H226" s="2"/>
      <c r="I226" s="24"/>
      <c r="J226" s="2"/>
      <c r="K226" s="2"/>
      <c r="L226" s="2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"/>
      <c r="Y226" s="2"/>
      <c r="Z226" s="2"/>
    </row>
    <row r="227" spans="1:26" x14ac:dyDescent="0.25">
      <c r="A227" s="2"/>
      <c r="B227" s="2"/>
      <c r="C227" s="2"/>
      <c r="D227" s="2"/>
      <c r="E227" s="2"/>
      <c r="F227" s="2"/>
      <c r="G227" s="2"/>
      <c r="H227" s="2"/>
      <c r="I227" s="24"/>
      <c r="J227" s="2"/>
      <c r="K227" s="2"/>
      <c r="L227" s="2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"/>
      <c r="Y227" s="2"/>
      <c r="Z227" s="2"/>
    </row>
    <row r="228" spans="1:26" x14ac:dyDescent="0.25">
      <c r="A228" s="2"/>
      <c r="B228" s="2"/>
      <c r="C228" s="2"/>
      <c r="D228" s="2"/>
      <c r="E228" s="2"/>
      <c r="F228" s="2"/>
      <c r="G228" s="2"/>
      <c r="H228" s="2"/>
      <c r="I228" s="24"/>
      <c r="J228" s="2"/>
      <c r="K228" s="2"/>
      <c r="L228" s="2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"/>
      <c r="Y228" s="2"/>
      <c r="Z228" s="2"/>
    </row>
    <row r="229" spans="1:26" x14ac:dyDescent="0.25">
      <c r="A229" s="2"/>
      <c r="B229" s="2"/>
      <c r="C229" s="2"/>
      <c r="D229" s="2"/>
      <c r="E229" s="2"/>
      <c r="F229" s="2"/>
      <c r="G229" s="2"/>
      <c r="H229" s="2"/>
      <c r="I229" s="24"/>
      <c r="J229" s="2"/>
      <c r="K229" s="2"/>
      <c r="L229" s="2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"/>
      <c r="Y229" s="2"/>
      <c r="Z229" s="2"/>
    </row>
    <row r="230" spans="1:26" x14ac:dyDescent="0.25">
      <c r="A230" s="2"/>
      <c r="B230" s="2"/>
      <c r="C230" s="2"/>
      <c r="D230" s="2"/>
      <c r="E230" s="2"/>
      <c r="F230" s="2"/>
      <c r="G230" s="2"/>
      <c r="H230" s="2"/>
      <c r="I230" s="24"/>
      <c r="J230" s="2"/>
      <c r="K230" s="2"/>
      <c r="L230" s="2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"/>
      <c r="Y230" s="2"/>
      <c r="Z230" s="2"/>
    </row>
    <row r="231" spans="1:26" x14ac:dyDescent="0.25">
      <c r="A231" s="2"/>
      <c r="B231" s="2"/>
      <c r="C231" s="2"/>
      <c r="D231" s="2"/>
      <c r="E231" s="2"/>
      <c r="F231" s="2"/>
      <c r="G231" s="2"/>
      <c r="H231" s="2"/>
      <c r="I231" s="24"/>
      <c r="J231" s="2"/>
      <c r="K231" s="2"/>
      <c r="L231" s="2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"/>
      <c r="Y231" s="2"/>
      <c r="Z231" s="2"/>
    </row>
    <row r="232" spans="1:26" x14ac:dyDescent="0.25">
      <c r="A232" s="2"/>
      <c r="B232" s="2"/>
      <c r="C232" s="2"/>
      <c r="D232" s="2"/>
      <c r="E232" s="2"/>
      <c r="F232" s="2"/>
      <c r="G232" s="2"/>
      <c r="H232" s="2"/>
      <c r="I232" s="24"/>
      <c r="J232" s="2"/>
      <c r="K232" s="2"/>
      <c r="L232" s="2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"/>
      <c r="Y232" s="2"/>
      <c r="Z232" s="2"/>
    </row>
    <row r="233" spans="1:26" x14ac:dyDescent="0.25">
      <c r="A233" s="2"/>
      <c r="B233" s="2"/>
      <c r="C233" s="2"/>
      <c r="D233" s="2"/>
      <c r="E233" s="2"/>
      <c r="F233" s="2"/>
      <c r="G233" s="2"/>
      <c r="H233" s="2"/>
      <c r="I233" s="24"/>
      <c r="J233" s="2"/>
      <c r="K233" s="2"/>
      <c r="L233" s="2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"/>
      <c r="Y233" s="2"/>
      <c r="Z233" s="2"/>
    </row>
    <row r="234" spans="1:26" x14ac:dyDescent="0.25">
      <c r="A234" s="2"/>
      <c r="B234" s="2"/>
      <c r="C234" s="2"/>
      <c r="D234" s="2"/>
      <c r="E234" s="2"/>
      <c r="F234" s="2"/>
      <c r="G234" s="2"/>
      <c r="H234" s="2"/>
      <c r="I234" s="24"/>
      <c r="J234" s="2"/>
      <c r="K234" s="2"/>
      <c r="L234" s="2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"/>
      <c r="Y234" s="2"/>
      <c r="Z234" s="2"/>
    </row>
    <row r="235" spans="1:26" x14ac:dyDescent="0.25">
      <c r="A235" s="2"/>
      <c r="B235" s="2"/>
      <c r="C235" s="2"/>
      <c r="D235" s="2"/>
      <c r="E235" s="2"/>
      <c r="F235" s="2"/>
      <c r="G235" s="2"/>
      <c r="H235" s="2"/>
      <c r="I235" s="24"/>
      <c r="J235" s="2"/>
      <c r="K235" s="2"/>
      <c r="L235" s="2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"/>
      <c r="Y235" s="2"/>
      <c r="Z235" s="2"/>
    </row>
    <row r="236" spans="1:26" x14ac:dyDescent="0.25">
      <c r="A236" s="2"/>
      <c r="B236" s="2"/>
      <c r="C236" s="2"/>
      <c r="D236" s="2"/>
      <c r="E236" s="2"/>
      <c r="F236" s="2"/>
      <c r="G236" s="2"/>
      <c r="H236" s="2"/>
      <c r="I236" s="24"/>
      <c r="J236" s="2"/>
      <c r="K236" s="2"/>
      <c r="L236" s="2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"/>
      <c r="Y236" s="2"/>
      <c r="Z236" s="2"/>
    </row>
    <row r="237" spans="1:26" x14ac:dyDescent="0.25">
      <c r="A237" s="2"/>
      <c r="B237" s="2"/>
      <c r="C237" s="2"/>
      <c r="D237" s="2"/>
      <c r="E237" s="2"/>
      <c r="F237" s="2"/>
      <c r="G237" s="2"/>
      <c r="H237" s="2"/>
      <c r="I237" s="24"/>
      <c r="J237" s="2"/>
      <c r="K237" s="2"/>
      <c r="L237" s="2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"/>
      <c r="Y237" s="2"/>
      <c r="Z237" s="2"/>
    </row>
    <row r="238" spans="1:26" x14ac:dyDescent="0.25">
      <c r="A238" s="2"/>
      <c r="B238" s="2"/>
      <c r="C238" s="2"/>
      <c r="D238" s="2"/>
      <c r="E238" s="2"/>
      <c r="F238" s="2"/>
      <c r="G238" s="2"/>
      <c r="H238" s="2"/>
      <c r="I238" s="24"/>
      <c r="J238" s="2"/>
      <c r="K238" s="2"/>
      <c r="L238" s="2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"/>
      <c r="Y238" s="2"/>
      <c r="Z238" s="2"/>
    </row>
    <row r="239" spans="1:26" x14ac:dyDescent="0.25">
      <c r="A239" s="2"/>
      <c r="B239" s="2"/>
      <c r="C239" s="2"/>
      <c r="D239" s="2"/>
      <c r="E239" s="2"/>
      <c r="F239" s="2"/>
      <c r="G239" s="2"/>
      <c r="H239" s="2"/>
      <c r="I239" s="24"/>
      <c r="J239" s="2"/>
      <c r="K239" s="2"/>
      <c r="L239" s="2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"/>
      <c r="Y239" s="2"/>
      <c r="Z239" s="2"/>
    </row>
    <row r="240" spans="1:26" x14ac:dyDescent="0.25">
      <c r="A240" s="2"/>
      <c r="B240" s="2"/>
      <c r="C240" s="2"/>
      <c r="D240" s="2"/>
      <c r="E240" s="2"/>
      <c r="F240" s="2"/>
      <c r="G240" s="2"/>
      <c r="H240" s="2"/>
      <c r="I240" s="24"/>
      <c r="J240" s="2"/>
      <c r="K240" s="2"/>
      <c r="L240" s="2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"/>
      <c r="Y240" s="2"/>
      <c r="Z240" s="2"/>
    </row>
    <row r="241" spans="1:26" x14ac:dyDescent="0.25">
      <c r="A241" s="2"/>
      <c r="B241" s="2"/>
      <c r="C241" s="2"/>
      <c r="D241" s="2"/>
      <c r="E241" s="2"/>
      <c r="F241" s="2"/>
      <c r="G241" s="2"/>
      <c r="H241" s="2"/>
      <c r="I241" s="24"/>
      <c r="J241" s="2"/>
      <c r="K241" s="2"/>
      <c r="L241" s="2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"/>
      <c r="Y241" s="2"/>
      <c r="Z241" s="2"/>
    </row>
    <row r="242" spans="1:26" x14ac:dyDescent="0.25">
      <c r="A242" s="2"/>
      <c r="B242" s="2"/>
      <c r="C242" s="2"/>
      <c r="D242" s="2"/>
      <c r="E242" s="2"/>
      <c r="F242" s="2"/>
      <c r="G242" s="2"/>
      <c r="H242" s="2"/>
      <c r="I242" s="24"/>
      <c r="J242" s="2"/>
      <c r="K242" s="2"/>
      <c r="L242" s="2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"/>
      <c r="Y242" s="2"/>
      <c r="Z242" s="2"/>
    </row>
    <row r="243" spans="1:26" x14ac:dyDescent="0.25">
      <c r="A243" s="2"/>
      <c r="B243" s="2"/>
      <c r="C243" s="2"/>
      <c r="D243" s="2"/>
      <c r="E243" s="2"/>
      <c r="F243" s="2"/>
      <c r="G243" s="2"/>
      <c r="H243" s="2"/>
      <c r="I243" s="24"/>
      <c r="J243" s="2"/>
      <c r="K243" s="2"/>
      <c r="L243" s="2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"/>
      <c r="Y243" s="2"/>
      <c r="Z243" s="2"/>
    </row>
    <row r="244" spans="1:26" x14ac:dyDescent="0.25">
      <c r="A244" s="2"/>
      <c r="B244" s="2"/>
      <c r="C244" s="2"/>
      <c r="D244" s="2"/>
      <c r="E244" s="2"/>
      <c r="F244" s="2"/>
      <c r="G244" s="2"/>
      <c r="H244" s="2"/>
      <c r="I244" s="24"/>
      <c r="J244" s="2"/>
      <c r="K244" s="2"/>
      <c r="L244" s="2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"/>
      <c r="Y244" s="2"/>
      <c r="Z244" s="2"/>
    </row>
    <row r="245" spans="1:26" x14ac:dyDescent="0.25">
      <c r="A245" s="2"/>
      <c r="B245" s="2"/>
      <c r="C245" s="2"/>
      <c r="D245" s="2"/>
      <c r="E245" s="2"/>
      <c r="F245" s="2"/>
      <c r="G245" s="2"/>
      <c r="H245" s="2"/>
      <c r="I245" s="24"/>
      <c r="J245" s="2"/>
      <c r="K245" s="2"/>
      <c r="L245" s="2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"/>
      <c r="Y245" s="2"/>
      <c r="Z245" s="2"/>
    </row>
    <row r="246" spans="1:26" x14ac:dyDescent="0.25">
      <c r="A246" s="2"/>
      <c r="B246" s="2"/>
      <c r="C246" s="2"/>
      <c r="D246" s="2"/>
      <c r="E246" s="2"/>
      <c r="F246" s="2"/>
      <c r="G246" s="2"/>
      <c r="H246" s="2"/>
      <c r="I246" s="24"/>
      <c r="J246" s="2"/>
      <c r="K246" s="2"/>
      <c r="L246" s="2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"/>
      <c r="Y246" s="2"/>
      <c r="Z246" s="2"/>
    </row>
    <row r="247" spans="1:26" x14ac:dyDescent="0.25">
      <c r="A247" s="2"/>
      <c r="B247" s="2"/>
      <c r="C247" s="2"/>
      <c r="D247" s="2"/>
      <c r="E247" s="2"/>
      <c r="F247" s="2"/>
      <c r="G247" s="2"/>
      <c r="H247" s="2"/>
      <c r="I247" s="24"/>
      <c r="J247" s="2"/>
      <c r="K247" s="2"/>
      <c r="L247" s="2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"/>
      <c r="Y247" s="2"/>
      <c r="Z247" s="2"/>
    </row>
    <row r="248" spans="1:26" x14ac:dyDescent="0.25">
      <c r="A248" s="2"/>
      <c r="B248" s="2"/>
      <c r="C248" s="2"/>
      <c r="D248" s="2"/>
      <c r="E248" s="2"/>
      <c r="F248" s="2"/>
      <c r="G248" s="2"/>
      <c r="H248" s="2"/>
      <c r="I248" s="24"/>
      <c r="J248" s="2"/>
      <c r="K248" s="2"/>
      <c r="L248" s="2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"/>
      <c r="Y248" s="2"/>
      <c r="Z248" s="2"/>
    </row>
    <row r="249" spans="1:26" x14ac:dyDescent="0.25">
      <c r="A249" s="2"/>
      <c r="B249" s="2"/>
      <c r="C249" s="2"/>
      <c r="D249" s="2"/>
      <c r="E249" s="2"/>
      <c r="F249" s="2"/>
      <c r="G249" s="2"/>
      <c r="H249" s="2"/>
      <c r="I249" s="24"/>
      <c r="J249" s="2"/>
      <c r="K249" s="2"/>
      <c r="L249" s="2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"/>
      <c r="Y249" s="2"/>
      <c r="Z249" s="2"/>
    </row>
  </sheetData>
  <mergeCells count="5">
    <mergeCell ref="A17:G17"/>
    <mergeCell ref="A1:H1"/>
    <mergeCell ref="A2:H2"/>
    <mergeCell ref="D4:H4"/>
    <mergeCell ref="J4:L4"/>
  </mergeCells>
  <conditionalFormatting sqref="H6:H10">
    <cfRule type="expression" dxfId="7" priority="3">
      <formula>$H6="prüfen"</formula>
    </cfRule>
    <cfRule type="expression" dxfId="6" priority="4">
      <formula>$H6="ok"</formula>
    </cfRule>
  </conditionalFormatting>
  <conditionalFormatting sqref="L6:L24">
    <cfRule type="dataBar" priority="7">
      <dataBar>
        <cfvo type="min"/>
        <cfvo type="max"/>
        <color rgb="FF60A5FA"/>
      </dataBar>
    </cfRule>
    <cfRule type="dataBar" priority="8">
      <dataBar>
        <cfvo type="min"/>
        <cfvo type="max"/>
        <color rgb="FF60A5FA"/>
      </dataBar>
      <extLst>
        <ext xmlns:x14="http://schemas.microsoft.com/office/spreadsheetml/2009/9/main" uri="{B025F937-C7B1-47D3-B67F-A62EFF666E3E}">
          <x14:id>{E9E89CD5-1F98-C935-1E28-E03C49F6E9D9}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9E89CD5-1F98-C935-1E28-E03C49F6E9D9}">
            <x14:dataBar>
              <x14:cfvo type="min"/>
              <x14:cfvo type="max"/>
              <x14:negativeFillColor auto="1"/>
              <x14:axisColor auto="1"/>
            </x14:dataBar>
          </x14:cfRule>
          <xm:sqref>L6:L24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xr:uid="{00000000-0002-0000-0000-000000000000}">
          <x14:formula1>
            <xm:f>Listen!$F$2:$F$13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50"/>
  <sheetViews>
    <sheetView workbookViewId="0"/>
  </sheetViews>
  <sheetFormatPr baseColWidth="10" defaultColWidth="9" defaultRowHeight="15" x14ac:dyDescent="0.25"/>
  <cols>
    <col min="1" max="1" width="20" customWidth="1"/>
    <col min="2" max="4" width="15" customWidth="1"/>
    <col min="5" max="16" width="12" customWidth="1"/>
    <col min="17" max="18" width="15" customWidth="1"/>
    <col min="19" max="19" width="12" customWidth="1"/>
  </cols>
  <sheetData>
    <row r="1" spans="1:26" x14ac:dyDescent="0.25">
      <c r="A1" s="1" t="s">
        <v>2</v>
      </c>
      <c r="B1" s="4">
        <v>2026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0" x14ac:dyDescent="0.25">
      <c r="A2" s="1" t="s">
        <v>62</v>
      </c>
      <c r="B2" s="5" t="s">
        <v>63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15"/>
      <c r="B4" s="15"/>
      <c r="C4" s="15"/>
      <c r="D4" s="15"/>
      <c r="E4" s="15">
        <v>1</v>
      </c>
      <c r="F4" s="15">
        <v>2</v>
      </c>
      <c r="G4" s="15">
        <v>3</v>
      </c>
      <c r="H4" s="15">
        <v>4</v>
      </c>
      <c r="I4" s="15">
        <v>5</v>
      </c>
      <c r="J4" s="15">
        <v>6</v>
      </c>
      <c r="K4" s="15">
        <v>7</v>
      </c>
      <c r="L4" s="15">
        <v>8</v>
      </c>
      <c r="M4" s="15">
        <v>9</v>
      </c>
      <c r="N4" s="15">
        <v>10</v>
      </c>
      <c r="O4" s="15">
        <v>11</v>
      </c>
      <c r="P4" s="15">
        <v>12</v>
      </c>
      <c r="Q4" s="15"/>
      <c r="R4" s="15"/>
      <c r="S4" s="15"/>
      <c r="T4" s="2"/>
      <c r="U4" s="2"/>
      <c r="V4" s="2"/>
      <c r="W4" s="2"/>
      <c r="X4" s="2"/>
      <c r="Y4" s="2"/>
      <c r="Z4" s="2"/>
    </row>
    <row r="5" spans="1:26" x14ac:dyDescent="0.25">
      <c r="A5" s="1" t="s">
        <v>12</v>
      </c>
      <c r="B5" s="1" t="s">
        <v>64</v>
      </c>
      <c r="C5" s="1" t="s">
        <v>65</v>
      </c>
      <c r="D5" s="1" t="s">
        <v>66</v>
      </c>
      <c r="E5" s="1" t="s">
        <v>67</v>
      </c>
      <c r="F5" s="1" t="s">
        <v>68</v>
      </c>
      <c r="G5" s="1" t="s">
        <v>69</v>
      </c>
      <c r="H5" s="1" t="s">
        <v>70</v>
      </c>
      <c r="I5" s="1" t="s">
        <v>71</v>
      </c>
      <c r="J5" s="1" t="s">
        <v>72</v>
      </c>
      <c r="K5" s="1" t="s">
        <v>73</v>
      </c>
      <c r="L5" s="1" t="s">
        <v>74</v>
      </c>
      <c r="M5" s="1" t="s">
        <v>75</v>
      </c>
      <c r="N5" s="1" t="s">
        <v>76</v>
      </c>
      <c r="O5" s="1" t="s">
        <v>77</v>
      </c>
      <c r="P5" s="1" t="s">
        <v>78</v>
      </c>
      <c r="Q5" s="1" t="s">
        <v>79</v>
      </c>
      <c r="R5" s="1" t="s">
        <v>10</v>
      </c>
      <c r="S5" s="1" t="s">
        <v>11</v>
      </c>
      <c r="T5" s="2"/>
      <c r="U5" s="2"/>
      <c r="V5" s="2"/>
      <c r="W5" s="2"/>
      <c r="X5" s="2"/>
      <c r="Y5" s="2"/>
      <c r="Z5" s="2"/>
    </row>
    <row r="6" spans="1:26" x14ac:dyDescent="0.25">
      <c r="A6" s="2" t="s">
        <v>80</v>
      </c>
      <c r="B6" s="2" t="s">
        <v>15</v>
      </c>
      <c r="C6" s="6">
        <v>3200</v>
      </c>
      <c r="D6" s="7">
        <f t="shared" ref="D6:D28" si="0">C6*12</f>
        <v>38400</v>
      </c>
      <c r="E6" s="7">
        <f>IF($A6="","",IF($B6="Einkommen",SUMIFS(Buchungen!$J$6:$J$330,Buchungen!$C$6:$C$330,$A6,Buchungen!$H$6:$H$330,E$4,Buchungen!$I$6:$I$330,$B$1),-SUMIFS(Buchungen!$J$6:$J$330,Buchungen!$C$6:$C$330,$A6,Buchungen!$H$6:$H$330,E$4,Buchungen!$I$6:$I$330,$B$1)))</f>
        <v>3200</v>
      </c>
      <c r="F6" s="7">
        <f>IF($A6="","",IF($B6="Einkommen",SUMIFS(Buchungen!$J$6:$J$330,Buchungen!$C$6:$C$330,$A6,Buchungen!$H$6:$H$330,F$4,Buchungen!$I$6:$I$330,$B$1),-SUMIFS(Buchungen!$J$6:$J$330,Buchungen!$C$6:$C$330,$A6,Buchungen!$H$6:$H$330,F$4,Buchungen!$I$6:$I$330,$B$1)))</f>
        <v>3200</v>
      </c>
      <c r="G6" s="7">
        <f>IF($A6="","",IF($B6="Einkommen",SUMIFS(Buchungen!$J$6:$J$330,Buchungen!$C$6:$C$330,$A6,Buchungen!$H$6:$H$330,G$4,Buchungen!$I$6:$I$330,$B$1),-SUMIFS(Buchungen!$J$6:$J$330,Buchungen!$C$6:$C$330,$A6,Buchungen!$H$6:$H$330,G$4,Buchungen!$I$6:$I$330,$B$1)))</f>
        <v>3200</v>
      </c>
      <c r="H6" s="7">
        <f>IF($A6="","",IF($B6="Einkommen",SUMIFS(Buchungen!$J$6:$J$330,Buchungen!$C$6:$C$330,$A6,Buchungen!$H$6:$H$330,H$4,Buchungen!$I$6:$I$330,$B$1),-SUMIFS(Buchungen!$J$6:$J$330,Buchungen!$C$6:$C$330,$A6,Buchungen!$H$6:$H$330,H$4,Buchungen!$I$6:$I$330,$B$1)))</f>
        <v>3200</v>
      </c>
      <c r="I6" s="7">
        <f>IF($A6="","",IF($B6="Einkommen",SUMIFS(Buchungen!$J$6:$J$330,Buchungen!$C$6:$C$330,$A6,Buchungen!$H$6:$H$330,I$4,Buchungen!$I$6:$I$330,$B$1),-SUMIFS(Buchungen!$J$6:$J$330,Buchungen!$C$6:$C$330,$A6,Buchungen!$H$6:$H$330,I$4,Buchungen!$I$6:$I$330,$B$1)))</f>
        <v>3200</v>
      </c>
      <c r="J6" s="7">
        <f>IF($A6="","",IF($B6="Einkommen",SUMIFS(Buchungen!$J$6:$J$330,Buchungen!$C$6:$C$330,$A6,Buchungen!$H$6:$H$330,J$4,Buchungen!$I$6:$I$330,$B$1),-SUMIFS(Buchungen!$J$6:$J$330,Buchungen!$C$6:$C$330,$A6,Buchungen!$H$6:$H$330,J$4,Buchungen!$I$6:$I$330,$B$1)))</f>
        <v>3200</v>
      </c>
      <c r="K6" s="7">
        <f>IF($A6="","",IF($B6="Einkommen",SUMIFS(Buchungen!$J$6:$J$330,Buchungen!$C$6:$C$330,$A6,Buchungen!$H$6:$H$330,K$4,Buchungen!$I$6:$I$330,$B$1),-SUMIFS(Buchungen!$J$6:$J$330,Buchungen!$C$6:$C$330,$A6,Buchungen!$H$6:$H$330,K$4,Buchungen!$I$6:$I$330,$B$1)))</f>
        <v>3200</v>
      </c>
      <c r="L6" s="7">
        <f>IF($A6="","",IF($B6="Einkommen",SUMIFS(Buchungen!$J$6:$J$330,Buchungen!$C$6:$C$330,$A6,Buchungen!$H$6:$H$330,L$4,Buchungen!$I$6:$I$330,$B$1),-SUMIFS(Buchungen!$J$6:$J$330,Buchungen!$C$6:$C$330,$A6,Buchungen!$H$6:$H$330,L$4,Buchungen!$I$6:$I$330,$B$1)))</f>
        <v>3200</v>
      </c>
      <c r="M6" s="7">
        <f>IF($A6="","",IF($B6="Einkommen",SUMIFS(Buchungen!$J$6:$J$330,Buchungen!$C$6:$C$330,$A6,Buchungen!$H$6:$H$330,M$4,Buchungen!$I$6:$I$330,$B$1),-SUMIFS(Buchungen!$J$6:$J$330,Buchungen!$C$6:$C$330,$A6,Buchungen!$H$6:$H$330,M$4,Buchungen!$I$6:$I$330,$B$1)))</f>
        <v>3200</v>
      </c>
      <c r="N6" s="7">
        <f>IF($A6="","",IF($B6="Einkommen",SUMIFS(Buchungen!$J$6:$J$330,Buchungen!$C$6:$C$330,$A6,Buchungen!$H$6:$H$330,N$4,Buchungen!$I$6:$I$330,$B$1),-SUMIFS(Buchungen!$J$6:$J$330,Buchungen!$C$6:$C$330,$A6,Buchungen!$H$6:$H$330,N$4,Buchungen!$I$6:$I$330,$B$1)))</f>
        <v>3200</v>
      </c>
      <c r="O6" s="7">
        <f>IF($A6="","",IF($B6="Einkommen",SUMIFS(Buchungen!$J$6:$J$330,Buchungen!$C$6:$C$330,$A6,Buchungen!$H$6:$H$330,O$4,Buchungen!$I$6:$I$330,$B$1),-SUMIFS(Buchungen!$J$6:$J$330,Buchungen!$C$6:$C$330,$A6,Buchungen!$H$6:$H$330,O$4,Buchungen!$I$6:$I$330,$B$1)))</f>
        <v>3400</v>
      </c>
      <c r="P6" s="7">
        <f>IF($A6="","",IF($B6="Einkommen",SUMIFS(Buchungen!$J$6:$J$330,Buchungen!$C$6:$C$330,$A6,Buchungen!$H$6:$H$330,P$4,Buchungen!$I$6:$I$330,$B$1),-SUMIFS(Buchungen!$J$6:$J$330,Buchungen!$C$6:$C$330,$A6,Buchungen!$H$6:$H$330,P$4,Buchungen!$I$6:$I$330,$B$1)))</f>
        <v>3200</v>
      </c>
      <c r="Q6" s="7">
        <f t="shared" ref="Q6:Q28" si="1">SUM(E6:P6)</f>
        <v>38600</v>
      </c>
      <c r="R6" s="7">
        <f t="shared" ref="R6:R28" si="2">IF($A6="","",IF(OR($B6="Einkommen",$B6="Sparen"),Q6-D6,D6-Q6))</f>
        <v>200</v>
      </c>
      <c r="S6" s="2" t="str">
        <f t="shared" ref="S6:S28" si="3">IF($A6="","",IF(R6&gt;=0,"im Plan","prüfen"))</f>
        <v>im Plan</v>
      </c>
      <c r="T6" s="2"/>
      <c r="U6" s="2"/>
      <c r="V6" s="2"/>
      <c r="W6" s="2"/>
      <c r="X6" s="2"/>
      <c r="Y6" s="2"/>
      <c r="Z6" s="2"/>
    </row>
    <row r="7" spans="1:26" x14ac:dyDescent="0.25">
      <c r="A7" s="2" t="s">
        <v>81</v>
      </c>
      <c r="B7" s="2" t="s">
        <v>15</v>
      </c>
      <c r="C7" s="6">
        <v>180</v>
      </c>
      <c r="D7" s="7">
        <f t="shared" si="0"/>
        <v>2160</v>
      </c>
      <c r="E7" s="7">
        <f>IF($A7="","",IF($B7="Einkommen",SUMIFS(Buchungen!$J$6:$J$330,Buchungen!$C$6:$C$330,$A7,Buchungen!$H$6:$H$330,E$4,Buchungen!$I$6:$I$330,$B$1),-SUMIFS(Buchungen!$J$6:$J$330,Buchungen!$C$6:$C$330,$A7,Buchungen!$H$6:$H$330,E$4,Buchungen!$I$6:$I$330,$B$1)))</f>
        <v>0</v>
      </c>
      <c r="F7" s="7">
        <f>IF($A7="","",IF($B7="Einkommen",SUMIFS(Buchungen!$J$6:$J$330,Buchungen!$C$6:$C$330,$A7,Buchungen!$H$6:$H$330,F$4,Buchungen!$I$6:$I$330,$B$1),-SUMIFS(Buchungen!$J$6:$J$330,Buchungen!$C$6:$C$330,$A7,Buchungen!$H$6:$H$330,F$4,Buchungen!$I$6:$I$330,$B$1)))</f>
        <v>120</v>
      </c>
      <c r="G7" s="7">
        <f>IF($A7="","",IF($B7="Einkommen",SUMIFS(Buchungen!$J$6:$J$330,Buchungen!$C$6:$C$330,$A7,Buchungen!$H$6:$H$330,G$4,Buchungen!$I$6:$I$330,$B$1),-SUMIFS(Buchungen!$J$6:$J$330,Buchungen!$C$6:$C$330,$A7,Buchungen!$H$6:$H$330,G$4,Buchungen!$I$6:$I$330,$B$1)))</f>
        <v>0</v>
      </c>
      <c r="H7" s="7">
        <f>IF($A7="","",IF($B7="Einkommen",SUMIFS(Buchungen!$J$6:$J$330,Buchungen!$C$6:$C$330,$A7,Buchungen!$H$6:$H$330,H$4,Buchungen!$I$6:$I$330,$B$1),-SUMIFS(Buchungen!$J$6:$J$330,Buchungen!$C$6:$C$330,$A7,Buchungen!$H$6:$H$330,H$4,Buchungen!$I$6:$I$330,$B$1)))</f>
        <v>180</v>
      </c>
      <c r="I7" s="7">
        <f>IF($A7="","",IF($B7="Einkommen",SUMIFS(Buchungen!$J$6:$J$330,Buchungen!$C$6:$C$330,$A7,Buchungen!$H$6:$H$330,I$4,Buchungen!$I$6:$I$330,$B$1),-SUMIFS(Buchungen!$J$6:$J$330,Buchungen!$C$6:$C$330,$A7,Buchungen!$H$6:$H$330,I$4,Buchungen!$I$6:$I$330,$B$1)))</f>
        <v>0</v>
      </c>
      <c r="J7" s="7">
        <f>IF($A7="","",IF($B7="Einkommen",SUMIFS(Buchungen!$J$6:$J$330,Buchungen!$C$6:$C$330,$A7,Buchungen!$H$6:$H$330,J$4,Buchungen!$I$6:$I$330,$B$1),-SUMIFS(Buchungen!$J$6:$J$330,Buchungen!$C$6:$C$330,$A7,Buchungen!$H$6:$H$330,J$4,Buchungen!$I$6:$I$330,$B$1)))</f>
        <v>220</v>
      </c>
      <c r="K7" s="7">
        <f>IF($A7="","",IF($B7="Einkommen",SUMIFS(Buchungen!$J$6:$J$330,Buchungen!$C$6:$C$330,$A7,Buchungen!$H$6:$H$330,K$4,Buchungen!$I$6:$I$330,$B$1),-SUMIFS(Buchungen!$J$6:$J$330,Buchungen!$C$6:$C$330,$A7,Buchungen!$H$6:$H$330,K$4,Buchungen!$I$6:$I$330,$B$1)))</f>
        <v>0</v>
      </c>
      <c r="L7" s="7">
        <f>IF($A7="","",IF($B7="Einkommen",SUMIFS(Buchungen!$J$6:$J$330,Buchungen!$C$6:$C$330,$A7,Buchungen!$H$6:$H$330,L$4,Buchungen!$I$6:$I$330,$B$1),-SUMIFS(Buchungen!$J$6:$J$330,Buchungen!$C$6:$C$330,$A7,Buchungen!$H$6:$H$330,L$4,Buchungen!$I$6:$I$330,$B$1)))</f>
        <v>0</v>
      </c>
      <c r="M7" s="7">
        <f>IF($A7="","",IF($B7="Einkommen",SUMIFS(Buchungen!$J$6:$J$330,Buchungen!$C$6:$C$330,$A7,Buchungen!$H$6:$H$330,M$4,Buchungen!$I$6:$I$330,$B$1),-SUMIFS(Buchungen!$J$6:$J$330,Buchungen!$C$6:$C$330,$A7,Buchungen!$H$6:$H$330,M$4,Buchungen!$I$6:$I$330,$B$1)))</f>
        <v>160</v>
      </c>
      <c r="N7" s="7">
        <f>IF($A7="","",IF($B7="Einkommen",SUMIFS(Buchungen!$J$6:$J$330,Buchungen!$C$6:$C$330,$A7,Buchungen!$H$6:$H$330,N$4,Buchungen!$I$6:$I$330,$B$1),-SUMIFS(Buchungen!$J$6:$J$330,Buchungen!$C$6:$C$330,$A7,Buchungen!$H$6:$H$330,N$4,Buchungen!$I$6:$I$330,$B$1)))</f>
        <v>0</v>
      </c>
      <c r="O7" s="7">
        <f>IF($A7="","",IF($B7="Einkommen",SUMIFS(Buchungen!$J$6:$J$330,Buchungen!$C$6:$C$330,$A7,Buchungen!$H$6:$H$330,O$4,Buchungen!$I$6:$I$330,$B$1),-SUMIFS(Buchungen!$J$6:$J$330,Buchungen!$C$6:$C$330,$A7,Buchungen!$H$6:$H$330,O$4,Buchungen!$I$6:$I$330,$B$1)))</f>
        <v>0</v>
      </c>
      <c r="P7" s="7">
        <f>IF($A7="","",IF($B7="Einkommen",SUMIFS(Buchungen!$J$6:$J$330,Buchungen!$C$6:$C$330,$A7,Buchungen!$H$6:$H$330,P$4,Buchungen!$I$6:$I$330,$B$1),-SUMIFS(Buchungen!$J$6:$J$330,Buchungen!$C$6:$C$330,$A7,Buchungen!$H$6:$H$330,P$4,Buchungen!$I$6:$I$330,$B$1)))</f>
        <v>240</v>
      </c>
      <c r="Q7" s="7">
        <f t="shared" si="1"/>
        <v>920</v>
      </c>
      <c r="R7" s="7">
        <f t="shared" si="2"/>
        <v>-1240</v>
      </c>
      <c r="S7" s="2" t="str">
        <f t="shared" si="3"/>
        <v>prüfen</v>
      </c>
      <c r="T7" s="2"/>
      <c r="U7" s="2"/>
      <c r="V7" s="2"/>
      <c r="W7" s="2"/>
      <c r="X7" s="2"/>
      <c r="Y7" s="2"/>
      <c r="Z7" s="2"/>
    </row>
    <row r="8" spans="1:26" x14ac:dyDescent="0.25">
      <c r="A8" s="2" t="s">
        <v>82</v>
      </c>
      <c r="B8" s="2" t="s">
        <v>15</v>
      </c>
      <c r="C8" s="6">
        <v>25</v>
      </c>
      <c r="D8" s="7">
        <f t="shared" si="0"/>
        <v>300</v>
      </c>
      <c r="E8" s="7">
        <f>IF($A8="","",IF($B8="Einkommen",SUMIFS(Buchungen!$J$6:$J$330,Buchungen!$C$6:$C$330,$A8,Buchungen!$H$6:$H$330,E$4,Buchungen!$I$6:$I$330,$B$1),-SUMIFS(Buchungen!$J$6:$J$330,Buchungen!$C$6:$C$330,$A8,Buchungen!$H$6:$H$330,E$4,Buchungen!$I$6:$I$330,$B$1)))</f>
        <v>0</v>
      </c>
      <c r="F8" s="7">
        <f>IF($A8="","",IF($B8="Einkommen",SUMIFS(Buchungen!$J$6:$J$330,Buchungen!$C$6:$C$330,$A8,Buchungen!$H$6:$H$330,F$4,Buchungen!$I$6:$I$330,$B$1),-SUMIFS(Buchungen!$J$6:$J$330,Buchungen!$C$6:$C$330,$A8,Buchungen!$H$6:$H$330,F$4,Buchungen!$I$6:$I$330,$B$1)))</f>
        <v>0</v>
      </c>
      <c r="G8" s="7">
        <f>IF($A8="","",IF($B8="Einkommen",SUMIFS(Buchungen!$J$6:$J$330,Buchungen!$C$6:$C$330,$A8,Buchungen!$H$6:$H$330,G$4,Buchungen!$I$6:$I$330,$B$1),-SUMIFS(Buchungen!$J$6:$J$330,Buchungen!$C$6:$C$330,$A8,Buchungen!$H$6:$H$330,G$4,Buchungen!$I$6:$I$330,$B$1)))</f>
        <v>18</v>
      </c>
      <c r="H8" s="7">
        <f>IF($A8="","",IF($B8="Einkommen",SUMIFS(Buchungen!$J$6:$J$330,Buchungen!$C$6:$C$330,$A8,Buchungen!$H$6:$H$330,H$4,Buchungen!$I$6:$I$330,$B$1),-SUMIFS(Buchungen!$J$6:$J$330,Buchungen!$C$6:$C$330,$A8,Buchungen!$H$6:$H$330,H$4,Buchungen!$I$6:$I$330,$B$1)))</f>
        <v>0</v>
      </c>
      <c r="I8" s="7">
        <f>IF($A8="","",IF($B8="Einkommen",SUMIFS(Buchungen!$J$6:$J$330,Buchungen!$C$6:$C$330,$A8,Buchungen!$H$6:$H$330,I$4,Buchungen!$I$6:$I$330,$B$1),-SUMIFS(Buchungen!$J$6:$J$330,Buchungen!$C$6:$C$330,$A8,Buchungen!$H$6:$H$330,I$4,Buchungen!$I$6:$I$330,$B$1)))</f>
        <v>0</v>
      </c>
      <c r="J8" s="7">
        <f>IF($A8="","",IF($B8="Einkommen",SUMIFS(Buchungen!$J$6:$J$330,Buchungen!$C$6:$C$330,$A8,Buchungen!$H$6:$H$330,J$4,Buchungen!$I$6:$I$330,$B$1),-SUMIFS(Buchungen!$J$6:$J$330,Buchungen!$C$6:$C$330,$A8,Buchungen!$H$6:$H$330,J$4,Buchungen!$I$6:$I$330,$B$1)))</f>
        <v>24</v>
      </c>
      <c r="K8" s="7">
        <f>IF($A8="","",IF($B8="Einkommen",SUMIFS(Buchungen!$J$6:$J$330,Buchungen!$C$6:$C$330,$A8,Buchungen!$H$6:$H$330,K$4,Buchungen!$I$6:$I$330,$B$1),-SUMIFS(Buchungen!$J$6:$J$330,Buchungen!$C$6:$C$330,$A8,Buchungen!$H$6:$H$330,K$4,Buchungen!$I$6:$I$330,$B$1)))</f>
        <v>0</v>
      </c>
      <c r="L8" s="7">
        <f>IF($A8="","",IF($B8="Einkommen",SUMIFS(Buchungen!$J$6:$J$330,Buchungen!$C$6:$C$330,$A8,Buchungen!$H$6:$H$330,L$4,Buchungen!$I$6:$I$330,$B$1),-SUMIFS(Buchungen!$J$6:$J$330,Buchungen!$C$6:$C$330,$A8,Buchungen!$H$6:$H$330,L$4,Buchungen!$I$6:$I$330,$B$1)))</f>
        <v>0</v>
      </c>
      <c r="M8" s="7">
        <f>IF($A8="","",IF($B8="Einkommen",SUMIFS(Buchungen!$J$6:$J$330,Buchungen!$C$6:$C$330,$A8,Buchungen!$H$6:$H$330,M$4,Buchungen!$I$6:$I$330,$B$1),-SUMIFS(Buchungen!$J$6:$J$330,Buchungen!$C$6:$C$330,$A8,Buchungen!$H$6:$H$330,M$4,Buchungen!$I$6:$I$330,$B$1)))</f>
        <v>20</v>
      </c>
      <c r="N8" s="7">
        <f>IF($A8="","",IF($B8="Einkommen",SUMIFS(Buchungen!$J$6:$J$330,Buchungen!$C$6:$C$330,$A8,Buchungen!$H$6:$H$330,N$4,Buchungen!$I$6:$I$330,$B$1),-SUMIFS(Buchungen!$J$6:$J$330,Buchungen!$C$6:$C$330,$A8,Buchungen!$H$6:$H$330,N$4,Buchungen!$I$6:$I$330,$B$1)))</f>
        <v>0</v>
      </c>
      <c r="O8" s="7">
        <f>IF($A8="","",IF($B8="Einkommen",SUMIFS(Buchungen!$J$6:$J$330,Buchungen!$C$6:$C$330,$A8,Buchungen!$H$6:$H$330,O$4,Buchungen!$I$6:$I$330,$B$1),-SUMIFS(Buchungen!$J$6:$J$330,Buchungen!$C$6:$C$330,$A8,Buchungen!$H$6:$H$330,O$4,Buchungen!$I$6:$I$330,$B$1)))</f>
        <v>0</v>
      </c>
      <c r="P8" s="7">
        <f>IF($A8="","",IF($B8="Einkommen",SUMIFS(Buchungen!$J$6:$J$330,Buchungen!$C$6:$C$330,$A8,Buchungen!$H$6:$H$330,P$4,Buchungen!$I$6:$I$330,$B$1),-SUMIFS(Buchungen!$J$6:$J$330,Buchungen!$C$6:$C$330,$A8,Buchungen!$H$6:$H$330,P$4,Buchungen!$I$6:$I$330,$B$1)))</f>
        <v>28</v>
      </c>
      <c r="Q8" s="7">
        <f t="shared" si="1"/>
        <v>90</v>
      </c>
      <c r="R8" s="7">
        <f t="shared" si="2"/>
        <v>-210</v>
      </c>
      <c r="S8" s="2" t="str">
        <f t="shared" si="3"/>
        <v>prüfen</v>
      </c>
      <c r="T8" s="2"/>
      <c r="U8" s="2"/>
      <c r="V8" s="2"/>
      <c r="W8" s="2"/>
      <c r="X8" s="2"/>
      <c r="Y8" s="2"/>
      <c r="Z8" s="2"/>
    </row>
    <row r="9" spans="1:26" x14ac:dyDescent="0.25">
      <c r="A9" s="2" t="s">
        <v>83</v>
      </c>
      <c r="B9" s="2" t="s">
        <v>15</v>
      </c>
      <c r="C9" s="6">
        <v>0</v>
      </c>
      <c r="D9" s="7">
        <f t="shared" si="0"/>
        <v>0</v>
      </c>
      <c r="E9" s="7">
        <f>IF($A9="","",IF($B9="Einkommen",SUMIFS(Buchungen!$J$6:$J$330,Buchungen!$C$6:$C$330,$A9,Buchungen!$H$6:$H$330,E$4,Buchungen!$I$6:$I$330,$B$1),-SUMIFS(Buchungen!$J$6:$J$330,Buchungen!$C$6:$C$330,$A9,Buchungen!$H$6:$H$330,E$4,Buchungen!$I$6:$I$330,$B$1)))</f>
        <v>0</v>
      </c>
      <c r="F9" s="7">
        <f>IF($A9="","",IF($B9="Einkommen",SUMIFS(Buchungen!$J$6:$J$330,Buchungen!$C$6:$C$330,$A9,Buchungen!$H$6:$H$330,F$4,Buchungen!$I$6:$I$330,$B$1),-SUMIFS(Buchungen!$J$6:$J$330,Buchungen!$C$6:$C$330,$A9,Buchungen!$H$6:$H$330,F$4,Buchungen!$I$6:$I$330,$B$1)))</f>
        <v>0</v>
      </c>
      <c r="G9" s="7">
        <f>IF($A9="","",IF($B9="Einkommen",SUMIFS(Buchungen!$J$6:$J$330,Buchungen!$C$6:$C$330,$A9,Buchungen!$H$6:$H$330,G$4,Buchungen!$I$6:$I$330,$B$1),-SUMIFS(Buchungen!$J$6:$J$330,Buchungen!$C$6:$C$330,$A9,Buchungen!$H$6:$H$330,G$4,Buchungen!$I$6:$I$330,$B$1)))</f>
        <v>0</v>
      </c>
      <c r="H9" s="7">
        <f>IF($A9="","",IF($B9="Einkommen",SUMIFS(Buchungen!$J$6:$J$330,Buchungen!$C$6:$C$330,$A9,Buchungen!$H$6:$H$330,H$4,Buchungen!$I$6:$I$330,$B$1),-SUMIFS(Buchungen!$J$6:$J$330,Buchungen!$C$6:$C$330,$A9,Buchungen!$H$6:$H$330,H$4,Buchungen!$I$6:$I$330,$B$1)))</f>
        <v>0</v>
      </c>
      <c r="I9" s="7">
        <f>IF($A9="","",IF($B9="Einkommen",SUMIFS(Buchungen!$J$6:$J$330,Buchungen!$C$6:$C$330,$A9,Buchungen!$H$6:$H$330,I$4,Buchungen!$I$6:$I$330,$B$1),-SUMIFS(Buchungen!$J$6:$J$330,Buchungen!$C$6:$C$330,$A9,Buchungen!$H$6:$H$330,I$4,Buchungen!$I$6:$I$330,$B$1)))</f>
        <v>75</v>
      </c>
      <c r="J9" s="7">
        <f>IF($A9="","",IF($B9="Einkommen",SUMIFS(Buchungen!$J$6:$J$330,Buchungen!$C$6:$C$330,$A9,Buchungen!$H$6:$H$330,J$4,Buchungen!$I$6:$I$330,$B$1),-SUMIFS(Buchungen!$J$6:$J$330,Buchungen!$C$6:$C$330,$A9,Buchungen!$H$6:$H$330,J$4,Buchungen!$I$6:$I$330,$B$1)))</f>
        <v>0</v>
      </c>
      <c r="K9" s="7">
        <f>IF($A9="","",IF($B9="Einkommen",SUMIFS(Buchungen!$J$6:$J$330,Buchungen!$C$6:$C$330,$A9,Buchungen!$H$6:$H$330,K$4,Buchungen!$I$6:$I$330,$B$1),-SUMIFS(Buchungen!$J$6:$J$330,Buchungen!$C$6:$C$330,$A9,Buchungen!$H$6:$H$330,K$4,Buchungen!$I$6:$I$330,$B$1)))</f>
        <v>0</v>
      </c>
      <c r="L9" s="7">
        <f>IF($A9="","",IF($B9="Einkommen",SUMIFS(Buchungen!$J$6:$J$330,Buchungen!$C$6:$C$330,$A9,Buchungen!$H$6:$H$330,L$4,Buchungen!$I$6:$I$330,$B$1),-SUMIFS(Buchungen!$J$6:$J$330,Buchungen!$C$6:$C$330,$A9,Buchungen!$H$6:$H$330,L$4,Buchungen!$I$6:$I$330,$B$1)))</f>
        <v>0</v>
      </c>
      <c r="M9" s="7">
        <f>IF($A9="","",IF($B9="Einkommen",SUMIFS(Buchungen!$J$6:$J$330,Buchungen!$C$6:$C$330,$A9,Buchungen!$H$6:$H$330,M$4,Buchungen!$I$6:$I$330,$B$1),-SUMIFS(Buchungen!$J$6:$J$330,Buchungen!$C$6:$C$330,$A9,Buchungen!$H$6:$H$330,M$4,Buchungen!$I$6:$I$330,$B$1)))</f>
        <v>0</v>
      </c>
      <c r="N9" s="7">
        <f>IF($A9="","",IF($B9="Einkommen",SUMIFS(Buchungen!$J$6:$J$330,Buchungen!$C$6:$C$330,$A9,Buchungen!$H$6:$H$330,N$4,Buchungen!$I$6:$I$330,$B$1),-SUMIFS(Buchungen!$J$6:$J$330,Buchungen!$C$6:$C$330,$A9,Buchungen!$H$6:$H$330,N$4,Buchungen!$I$6:$I$330,$B$1)))</f>
        <v>130</v>
      </c>
      <c r="O9" s="7">
        <f>IF($A9="","",IF($B9="Einkommen",SUMIFS(Buchungen!$J$6:$J$330,Buchungen!$C$6:$C$330,$A9,Buchungen!$H$6:$H$330,O$4,Buchungen!$I$6:$I$330,$B$1),-SUMIFS(Buchungen!$J$6:$J$330,Buchungen!$C$6:$C$330,$A9,Buchungen!$H$6:$H$330,O$4,Buchungen!$I$6:$I$330,$B$1)))</f>
        <v>0</v>
      </c>
      <c r="P9" s="7">
        <f>IF($A9="","",IF($B9="Einkommen",SUMIFS(Buchungen!$J$6:$J$330,Buchungen!$C$6:$C$330,$A9,Buchungen!$H$6:$H$330,P$4,Buchungen!$I$6:$I$330,$B$1),-SUMIFS(Buchungen!$J$6:$J$330,Buchungen!$C$6:$C$330,$A9,Buchungen!$H$6:$H$330,P$4,Buchungen!$I$6:$I$330,$B$1)))</f>
        <v>0</v>
      </c>
      <c r="Q9" s="7">
        <f t="shared" si="1"/>
        <v>205</v>
      </c>
      <c r="R9" s="7">
        <f t="shared" si="2"/>
        <v>205</v>
      </c>
      <c r="S9" s="2" t="str">
        <f t="shared" si="3"/>
        <v>im Plan</v>
      </c>
      <c r="T9" s="2"/>
      <c r="U9" s="2"/>
      <c r="V9" s="2"/>
      <c r="W9" s="2"/>
      <c r="X9" s="2"/>
      <c r="Y9" s="2"/>
      <c r="Z9" s="2"/>
    </row>
    <row r="10" spans="1:26" x14ac:dyDescent="0.25">
      <c r="A10" s="2" t="s">
        <v>16</v>
      </c>
      <c r="B10" s="2" t="s">
        <v>18</v>
      </c>
      <c r="C10" s="6">
        <v>1050</v>
      </c>
      <c r="D10" s="7">
        <f t="shared" si="0"/>
        <v>12600</v>
      </c>
      <c r="E10" s="7">
        <f>IF($A10="","",IF($B10="Einkommen",SUMIFS(Buchungen!$J$6:$J$330,Buchungen!$C$6:$C$330,$A10,Buchungen!$H$6:$H$330,E$4,Buchungen!$I$6:$I$330,$B$1),-SUMIFS(Buchungen!$J$6:$J$330,Buchungen!$C$6:$C$330,$A10,Buchungen!$H$6:$H$330,E$4,Buchungen!$I$6:$I$330,$B$1)))</f>
        <v>1050</v>
      </c>
      <c r="F10" s="7">
        <f>IF($A10="","",IF($B10="Einkommen",SUMIFS(Buchungen!$J$6:$J$330,Buchungen!$C$6:$C$330,$A10,Buchungen!$H$6:$H$330,F$4,Buchungen!$I$6:$I$330,$B$1),-SUMIFS(Buchungen!$J$6:$J$330,Buchungen!$C$6:$C$330,$A10,Buchungen!$H$6:$H$330,F$4,Buchungen!$I$6:$I$330,$B$1)))</f>
        <v>1050</v>
      </c>
      <c r="G10" s="7">
        <f>IF($A10="","",IF($B10="Einkommen",SUMIFS(Buchungen!$J$6:$J$330,Buchungen!$C$6:$C$330,$A10,Buchungen!$H$6:$H$330,G$4,Buchungen!$I$6:$I$330,$B$1),-SUMIFS(Buchungen!$J$6:$J$330,Buchungen!$C$6:$C$330,$A10,Buchungen!$H$6:$H$330,G$4,Buchungen!$I$6:$I$330,$B$1)))</f>
        <v>1050</v>
      </c>
      <c r="H10" s="7">
        <f>IF($A10="","",IF($B10="Einkommen",SUMIFS(Buchungen!$J$6:$J$330,Buchungen!$C$6:$C$330,$A10,Buchungen!$H$6:$H$330,H$4,Buchungen!$I$6:$I$330,$B$1),-SUMIFS(Buchungen!$J$6:$J$330,Buchungen!$C$6:$C$330,$A10,Buchungen!$H$6:$H$330,H$4,Buchungen!$I$6:$I$330,$B$1)))</f>
        <v>1050</v>
      </c>
      <c r="I10" s="7">
        <f>IF($A10="","",IF($B10="Einkommen",SUMIFS(Buchungen!$J$6:$J$330,Buchungen!$C$6:$C$330,$A10,Buchungen!$H$6:$H$330,I$4,Buchungen!$I$6:$I$330,$B$1),-SUMIFS(Buchungen!$J$6:$J$330,Buchungen!$C$6:$C$330,$A10,Buchungen!$H$6:$H$330,I$4,Buchungen!$I$6:$I$330,$B$1)))</f>
        <v>1050</v>
      </c>
      <c r="J10" s="7">
        <f>IF($A10="","",IF($B10="Einkommen",SUMIFS(Buchungen!$J$6:$J$330,Buchungen!$C$6:$C$330,$A10,Buchungen!$H$6:$H$330,J$4,Buchungen!$I$6:$I$330,$B$1),-SUMIFS(Buchungen!$J$6:$J$330,Buchungen!$C$6:$C$330,$A10,Buchungen!$H$6:$H$330,J$4,Buchungen!$I$6:$I$330,$B$1)))</f>
        <v>1050</v>
      </c>
      <c r="K10" s="7">
        <f>IF($A10="","",IF($B10="Einkommen",SUMIFS(Buchungen!$J$6:$J$330,Buchungen!$C$6:$C$330,$A10,Buchungen!$H$6:$H$330,K$4,Buchungen!$I$6:$I$330,$B$1),-SUMIFS(Buchungen!$J$6:$J$330,Buchungen!$C$6:$C$330,$A10,Buchungen!$H$6:$H$330,K$4,Buchungen!$I$6:$I$330,$B$1)))</f>
        <v>1050</v>
      </c>
      <c r="L10" s="7">
        <f>IF($A10="","",IF($B10="Einkommen",SUMIFS(Buchungen!$J$6:$J$330,Buchungen!$C$6:$C$330,$A10,Buchungen!$H$6:$H$330,L$4,Buchungen!$I$6:$I$330,$B$1),-SUMIFS(Buchungen!$J$6:$J$330,Buchungen!$C$6:$C$330,$A10,Buchungen!$H$6:$H$330,L$4,Buchungen!$I$6:$I$330,$B$1)))</f>
        <v>1050</v>
      </c>
      <c r="M10" s="7">
        <f>IF($A10="","",IF($B10="Einkommen",SUMIFS(Buchungen!$J$6:$J$330,Buchungen!$C$6:$C$330,$A10,Buchungen!$H$6:$H$330,M$4,Buchungen!$I$6:$I$330,$B$1),-SUMIFS(Buchungen!$J$6:$J$330,Buchungen!$C$6:$C$330,$A10,Buchungen!$H$6:$H$330,M$4,Buchungen!$I$6:$I$330,$B$1)))</f>
        <v>1050</v>
      </c>
      <c r="N10" s="7">
        <f>IF($A10="","",IF($B10="Einkommen",SUMIFS(Buchungen!$J$6:$J$330,Buchungen!$C$6:$C$330,$A10,Buchungen!$H$6:$H$330,N$4,Buchungen!$I$6:$I$330,$B$1),-SUMIFS(Buchungen!$J$6:$J$330,Buchungen!$C$6:$C$330,$A10,Buchungen!$H$6:$H$330,N$4,Buchungen!$I$6:$I$330,$B$1)))</f>
        <v>1050</v>
      </c>
      <c r="O10" s="7">
        <f>IF($A10="","",IF($B10="Einkommen",SUMIFS(Buchungen!$J$6:$J$330,Buchungen!$C$6:$C$330,$A10,Buchungen!$H$6:$H$330,O$4,Buchungen!$I$6:$I$330,$B$1),-SUMIFS(Buchungen!$J$6:$J$330,Buchungen!$C$6:$C$330,$A10,Buchungen!$H$6:$H$330,O$4,Buchungen!$I$6:$I$330,$B$1)))</f>
        <v>1050</v>
      </c>
      <c r="P10" s="7">
        <f>IF($A10="","",IF($B10="Einkommen",SUMIFS(Buchungen!$J$6:$J$330,Buchungen!$C$6:$C$330,$A10,Buchungen!$H$6:$H$330,P$4,Buchungen!$I$6:$I$330,$B$1),-SUMIFS(Buchungen!$J$6:$J$330,Buchungen!$C$6:$C$330,$A10,Buchungen!$H$6:$H$330,P$4,Buchungen!$I$6:$I$330,$B$1)))</f>
        <v>1050</v>
      </c>
      <c r="Q10" s="7">
        <f t="shared" si="1"/>
        <v>12600</v>
      </c>
      <c r="R10" s="7">
        <f t="shared" si="2"/>
        <v>0</v>
      </c>
      <c r="S10" s="2" t="str">
        <f t="shared" si="3"/>
        <v>im Plan</v>
      </c>
      <c r="T10" s="2"/>
      <c r="U10" s="2"/>
      <c r="V10" s="2"/>
      <c r="W10" s="2"/>
      <c r="X10" s="2"/>
      <c r="Y10" s="2"/>
      <c r="Z10" s="2"/>
    </row>
    <row r="11" spans="1:26" x14ac:dyDescent="0.25">
      <c r="A11" s="2" t="s">
        <v>19</v>
      </c>
      <c r="B11" s="2" t="s">
        <v>18</v>
      </c>
      <c r="C11" s="6">
        <v>145</v>
      </c>
      <c r="D11" s="7">
        <f t="shared" si="0"/>
        <v>1740</v>
      </c>
      <c r="E11" s="7">
        <f>IF($A11="","",IF($B11="Einkommen",SUMIFS(Buchungen!$J$6:$J$330,Buchungen!$C$6:$C$330,$A11,Buchungen!$H$6:$H$330,E$4,Buchungen!$I$6:$I$330,$B$1),-SUMIFS(Buchungen!$J$6:$J$330,Buchungen!$C$6:$C$330,$A11,Buchungen!$H$6:$H$330,E$4,Buchungen!$I$6:$I$330,$B$1)))</f>
        <v>138</v>
      </c>
      <c r="F11" s="7">
        <f>IF($A11="","",IF($B11="Einkommen",SUMIFS(Buchungen!$J$6:$J$330,Buchungen!$C$6:$C$330,$A11,Buchungen!$H$6:$H$330,F$4,Buchungen!$I$6:$I$330,$B$1),-SUMIFS(Buchungen!$J$6:$J$330,Buchungen!$C$6:$C$330,$A11,Buchungen!$H$6:$H$330,F$4,Buchungen!$I$6:$I$330,$B$1)))</f>
        <v>138</v>
      </c>
      <c r="G11" s="7">
        <f>IF($A11="","",IF($B11="Einkommen",SUMIFS(Buchungen!$J$6:$J$330,Buchungen!$C$6:$C$330,$A11,Buchungen!$H$6:$H$330,G$4,Buchungen!$I$6:$I$330,$B$1),-SUMIFS(Buchungen!$J$6:$J$330,Buchungen!$C$6:$C$330,$A11,Buchungen!$H$6:$H$330,G$4,Buchungen!$I$6:$I$330,$B$1)))</f>
        <v>138</v>
      </c>
      <c r="H11" s="7">
        <f>IF($A11="","",IF($B11="Einkommen",SUMIFS(Buchungen!$J$6:$J$330,Buchungen!$C$6:$C$330,$A11,Buchungen!$H$6:$H$330,H$4,Buchungen!$I$6:$I$330,$B$1),-SUMIFS(Buchungen!$J$6:$J$330,Buchungen!$C$6:$C$330,$A11,Buchungen!$H$6:$H$330,H$4,Buchungen!$I$6:$I$330,$B$1)))</f>
        <v>138</v>
      </c>
      <c r="I11" s="7">
        <f>IF($A11="","",IF($B11="Einkommen",SUMIFS(Buchungen!$J$6:$J$330,Buchungen!$C$6:$C$330,$A11,Buchungen!$H$6:$H$330,I$4,Buchungen!$I$6:$I$330,$B$1),-SUMIFS(Buchungen!$J$6:$J$330,Buchungen!$C$6:$C$330,$A11,Buchungen!$H$6:$H$330,I$4,Buchungen!$I$6:$I$330,$B$1)))</f>
        <v>138</v>
      </c>
      <c r="J11" s="7">
        <f>IF($A11="","",IF($B11="Einkommen",SUMIFS(Buchungen!$J$6:$J$330,Buchungen!$C$6:$C$330,$A11,Buchungen!$H$6:$H$330,J$4,Buchungen!$I$6:$I$330,$B$1),-SUMIFS(Buchungen!$J$6:$J$330,Buchungen!$C$6:$C$330,$A11,Buchungen!$H$6:$H$330,J$4,Buchungen!$I$6:$I$330,$B$1)))</f>
        <v>138</v>
      </c>
      <c r="K11" s="7">
        <f>IF($A11="","",IF($B11="Einkommen",SUMIFS(Buchungen!$J$6:$J$330,Buchungen!$C$6:$C$330,$A11,Buchungen!$H$6:$H$330,K$4,Buchungen!$I$6:$I$330,$B$1),-SUMIFS(Buchungen!$J$6:$J$330,Buchungen!$C$6:$C$330,$A11,Buchungen!$H$6:$H$330,K$4,Buchungen!$I$6:$I$330,$B$1)))</f>
        <v>148</v>
      </c>
      <c r="L11" s="7">
        <f>IF($A11="","",IF($B11="Einkommen",SUMIFS(Buchungen!$J$6:$J$330,Buchungen!$C$6:$C$330,$A11,Buchungen!$H$6:$H$330,L$4,Buchungen!$I$6:$I$330,$B$1),-SUMIFS(Buchungen!$J$6:$J$330,Buchungen!$C$6:$C$330,$A11,Buchungen!$H$6:$H$330,L$4,Buchungen!$I$6:$I$330,$B$1)))</f>
        <v>148</v>
      </c>
      <c r="M11" s="7">
        <f>IF($A11="","",IF($B11="Einkommen",SUMIFS(Buchungen!$J$6:$J$330,Buchungen!$C$6:$C$330,$A11,Buchungen!$H$6:$H$330,M$4,Buchungen!$I$6:$I$330,$B$1),-SUMIFS(Buchungen!$J$6:$J$330,Buchungen!$C$6:$C$330,$A11,Buchungen!$H$6:$H$330,M$4,Buchungen!$I$6:$I$330,$B$1)))</f>
        <v>148</v>
      </c>
      <c r="N11" s="7">
        <f>IF($A11="","",IF($B11="Einkommen",SUMIFS(Buchungen!$J$6:$J$330,Buchungen!$C$6:$C$330,$A11,Buchungen!$H$6:$H$330,N$4,Buchungen!$I$6:$I$330,$B$1),-SUMIFS(Buchungen!$J$6:$J$330,Buchungen!$C$6:$C$330,$A11,Buchungen!$H$6:$H$330,N$4,Buchungen!$I$6:$I$330,$B$1)))</f>
        <v>148</v>
      </c>
      <c r="O11" s="7">
        <f>IF($A11="","",IF($B11="Einkommen",SUMIFS(Buchungen!$J$6:$J$330,Buchungen!$C$6:$C$330,$A11,Buchungen!$H$6:$H$330,O$4,Buchungen!$I$6:$I$330,$B$1),-SUMIFS(Buchungen!$J$6:$J$330,Buchungen!$C$6:$C$330,$A11,Buchungen!$H$6:$H$330,O$4,Buchungen!$I$6:$I$330,$B$1)))</f>
        <v>148</v>
      </c>
      <c r="P11" s="7">
        <f>IF($A11="","",IF($B11="Einkommen",SUMIFS(Buchungen!$J$6:$J$330,Buchungen!$C$6:$C$330,$A11,Buchungen!$H$6:$H$330,P$4,Buchungen!$I$6:$I$330,$B$1),-SUMIFS(Buchungen!$J$6:$J$330,Buchungen!$C$6:$C$330,$A11,Buchungen!$H$6:$H$330,P$4,Buchungen!$I$6:$I$330,$B$1)))</f>
        <v>148</v>
      </c>
      <c r="Q11" s="7">
        <f t="shared" si="1"/>
        <v>1716</v>
      </c>
      <c r="R11" s="7">
        <f t="shared" si="2"/>
        <v>24</v>
      </c>
      <c r="S11" s="2" t="str">
        <f t="shared" si="3"/>
        <v>im Plan</v>
      </c>
      <c r="T11" s="2"/>
      <c r="U11" s="2"/>
      <c r="V11" s="2"/>
      <c r="W11" s="2"/>
      <c r="X11" s="2"/>
      <c r="Y11" s="2"/>
      <c r="Z11" s="2"/>
    </row>
    <row r="12" spans="1:26" x14ac:dyDescent="0.25">
      <c r="A12" s="2" t="s">
        <v>22</v>
      </c>
      <c r="B12" s="2" t="s">
        <v>18</v>
      </c>
      <c r="C12" s="6">
        <v>460</v>
      </c>
      <c r="D12" s="7">
        <f t="shared" si="0"/>
        <v>5520</v>
      </c>
      <c r="E12" s="7">
        <f>IF($A12="","",IF($B12="Einkommen",SUMIFS(Buchungen!$J$6:$J$330,Buchungen!$C$6:$C$330,$A12,Buchungen!$H$6:$H$330,E$4,Buchungen!$I$6:$I$330,$B$1),-SUMIFS(Buchungen!$J$6:$J$330,Buchungen!$C$6:$C$330,$A12,Buchungen!$H$6:$H$330,E$4,Buchungen!$I$6:$I$330,$B$1)))</f>
        <v>391</v>
      </c>
      <c r="F12" s="7">
        <f>IF($A12="","",IF($B12="Einkommen",SUMIFS(Buchungen!$J$6:$J$330,Buchungen!$C$6:$C$330,$A12,Buchungen!$H$6:$H$330,F$4,Buchungen!$I$6:$I$330,$B$1),-SUMIFS(Buchungen!$J$6:$J$330,Buchungen!$C$6:$C$330,$A12,Buchungen!$H$6:$H$330,F$4,Buchungen!$I$6:$I$330,$B$1)))</f>
        <v>388</v>
      </c>
      <c r="G12" s="7">
        <f>IF($A12="","",IF($B12="Einkommen",SUMIFS(Buchungen!$J$6:$J$330,Buchungen!$C$6:$C$330,$A12,Buchungen!$H$6:$H$330,G$4,Buchungen!$I$6:$I$330,$B$1),-SUMIFS(Buchungen!$J$6:$J$330,Buchungen!$C$6:$C$330,$A12,Buchungen!$H$6:$H$330,G$4,Buchungen!$I$6:$I$330,$B$1)))</f>
        <v>409</v>
      </c>
      <c r="H12" s="7">
        <f>IF($A12="","",IF($B12="Einkommen",SUMIFS(Buchungen!$J$6:$J$330,Buchungen!$C$6:$C$330,$A12,Buchungen!$H$6:$H$330,H$4,Buchungen!$I$6:$I$330,$B$1),-SUMIFS(Buchungen!$J$6:$J$330,Buchungen!$C$6:$C$330,$A12,Buchungen!$H$6:$H$330,H$4,Buchungen!$I$6:$I$330,$B$1)))</f>
        <v>395</v>
      </c>
      <c r="I12" s="7">
        <f>IF($A12="","",IF($B12="Einkommen",SUMIFS(Buchungen!$J$6:$J$330,Buchungen!$C$6:$C$330,$A12,Buchungen!$H$6:$H$330,I$4,Buchungen!$I$6:$I$330,$B$1),-SUMIFS(Buchungen!$J$6:$J$330,Buchungen!$C$6:$C$330,$A12,Buchungen!$H$6:$H$330,I$4,Buchungen!$I$6:$I$330,$B$1)))</f>
        <v>412</v>
      </c>
      <c r="J12" s="7">
        <f>IF($A12="","",IF($B12="Einkommen",SUMIFS(Buchungen!$J$6:$J$330,Buchungen!$C$6:$C$330,$A12,Buchungen!$H$6:$H$330,J$4,Buchungen!$I$6:$I$330,$B$1),-SUMIFS(Buchungen!$J$6:$J$330,Buchungen!$C$6:$C$330,$A12,Buchungen!$H$6:$H$330,J$4,Buchungen!$I$6:$I$330,$B$1)))</f>
        <v>422</v>
      </c>
      <c r="K12" s="7">
        <f>IF($A12="","",IF($B12="Einkommen",SUMIFS(Buchungen!$J$6:$J$330,Buchungen!$C$6:$C$330,$A12,Buchungen!$H$6:$H$330,K$4,Buchungen!$I$6:$I$330,$B$1),-SUMIFS(Buchungen!$J$6:$J$330,Buchungen!$C$6:$C$330,$A12,Buchungen!$H$6:$H$330,K$4,Buchungen!$I$6:$I$330,$B$1)))</f>
        <v>393</v>
      </c>
      <c r="L12" s="7">
        <f>IF($A12="","",IF($B12="Einkommen",SUMIFS(Buchungen!$J$6:$J$330,Buchungen!$C$6:$C$330,$A12,Buchungen!$H$6:$H$330,L$4,Buchungen!$I$6:$I$330,$B$1),-SUMIFS(Buchungen!$J$6:$J$330,Buchungen!$C$6:$C$330,$A12,Buchungen!$H$6:$H$330,L$4,Buchungen!$I$6:$I$330,$B$1)))</f>
        <v>411</v>
      </c>
      <c r="M12" s="7">
        <f>IF($A12="","",IF($B12="Einkommen",SUMIFS(Buchungen!$J$6:$J$330,Buchungen!$C$6:$C$330,$A12,Buchungen!$H$6:$H$330,M$4,Buchungen!$I$6:$I$330,$B$1),-SUMIFS(Buchungen!$J$6:$J$330,Buchungen!$C$6:$C$330,$A12,Buchungen!$H$6:$H$330,M$4,Buchungen!$I$6:$I$330,$B$1)))</f>
        <v>413</v>
      </c>
      <c r="N12" s="7">
        <f>IF($A12="","",IF($B12="Einkommen",SUMIFS(Buchungen!$J$6:$J$330,Buchungen!$C$6:$C$330,$A12,Buchungen!$H$6:$H$330,N$4,Buchungen!$I$6:$I$330,$B$1),-SUMIFS(Buchungen!$J$6:$J$330,Buchungen!$C$6:$C$330,$A12,Buchungen!$H$6:$H$330,N$4,Buchungen!$I$6:$I$330,$B$1)))</f>
        <v>412</v>
      </c>
      <c r="O12" s="7">
        <f>IF($A12="","",IF($B12="Einkommen",SUMIFS(Buchungen!$J$6:$J$330,Buchungen!$C$6:$C$330,$A12,Buchungen!$H$6:$H$330,O$4,Buchungen!$I$6:$I$330,$B$1),-SUMIFS(Buchungen!$J$6:$J$330,Buchungen!$C$6:$C$330,$A12,Buchungen!$H$6:$H$330,O$4,Buchungen!$I$6:$I$330,$B$1)))</f>
        <v>400</v>
      </c>
      <c r="P12" s="7">
        <f>IF($A12="","",IF($B12="Einkommen",SUMIFS(Buchungen!$J$6:$J$330,Buchungen!$C$6:$C$330,$A12,Buchungen!$H$6:$H$330,P$4,Buchungen!$I$6:$I$330,$B$1),-SUMIFS(Buchungen!$J$6:$J$330,Buchungen!$C$6:$C$330,$A12,Buchungen!$H$6:$H$330,P$4,Buchungen!$I$6:$I$330,$B$1)))</f>
        <v>417</v>
      </c>
      <c r="Q12" s="7">
        <f t="shared" si="1"/>
        <v>4863</v>
      </c>
      <c r="R12" s="7">
        <f t="shared" si="2"/>
        <v>657</v>
      </c>
      <c r="S12" s="2" t="str">
        <f t="shared" si="3"/>
        <v>im Plan</v>
      </c>
      <c r="T12" s="2"/>
      <c r="U12" s="2"/>
      <c r="V12" s="2"/>
      <c r="W12" s="2"/>
      <c r="X12" s="2"/>
      <c r="Y12" s="2"/>
      <c r="Z12" s="2"/>
    </row>
    <row r="13" spans="1:26" x14ac:dyDescent="0.25">
      <c r="A13" s="2" t="s">
        <v>25</v>
      </c>
      <c r="B13" s="2" t="s">
        <v>18</v>
      </c>
      <c r="C13" s="6">
        <v>115</v>
      </c>
      <c r="D13" s="7">
        <f t="shared" si="0"/>
        <v>1380</v>
      </c>
      <c r="E13" s="7">
        <f>IF($A13="","",IF($B13="Einkommen",SUMIFS(Buchungen!$J$6:$J$330,Buchungen!$C$6:$C$330,$A13,Buchungen!$H$6:$H$330,E$4,Buchungen!$I$6:$I$330,$B$1),-SUMIFS(Buchungen!$J$6:$J$330,Buchungen!$C$6:$C$330,$A13,Buchungen!$H$6:$H$330,E$4,Buchungen!$I$6:$I$330,$B$1)))</f>
        <v>92</v>
      </c>
      <c r="F13" s="7">
        <f>IF($A13="","",IF($B13="Einkommen",SUMIFS(Buchungen!$J$6:$J$330,Buchungen!$C$6:$C$330,$A13,Buchungen!$H$6:$H$330,F$4,Buchungen!$I$6:$I$330,$B$1),-SUMIFS(Buchungen!$J$6:$J$330,Buchungen!$C$6:$C$330,$A13,Buchungen!$H$6:$H$330,F$4,Buchungen!$I$6:$I$330,$B$1)))</f>
        <v>92</v>
      </c>
      <c r="G13" s="7">
        <f>IF($A13="","",IF($B13="Einkommen",SUMIFS(Buchungen!$J$6:$J$330,Buchungen!$C$6:$C$330,$A13,Buchungen!$H$6:$H$330,G$4,Buchungen!$I$6:$I$330,$B$1),-SUMIFS(Buchungen!$J$6:$J$330,Buchungen!$C$6:$C$330,$A13,Buchungen!$H$6:$H$330,G$4,Buchungen!$I$6:$I$330,$B$1)))</f>
        <v>117</v>
      </c>
      <c r="H13" s="7">
        <f>IF($A13="","",IF($B13="Einkommen",SUMIFS(Buchungen!$J$6:$J$330,Buchungen!$C$6:$C$330,$A13,Buchungen!$H$6:$H$330,H$4,Buchungen!$I$6:$I$330,$B$1),-SUMIFS(Buchungen!$J$6:$J$330,Buchungen!$C$6:$C$330,$A13,Buchungen!$H$6:$H$330,H$4,Buchungen!$I$6:$I$330,$B$1)))</f>
        <v>92</v>
      </c>
      <c r="I13" s="7">
        <f>IF($A13="","",IF($B13="Einkommen",SUMIFS(Buchungen!$J$6:$J$330,Buchungen!$C$6:$C$330,$A13,Buchungen!$H$6:$H$330,I$4,Buchungen!$I$6:$I$330,$B$1),-SUMIFS(Buchungen!$J$6:$J$330,Buchungen!$C$6:$C$330,$A13,Buchungen!$H$6:$H$330,I$4,Buchungen!$I$6:$I$330,$B$1)))</f>
        <v>92</v>
      </c>
      <c r="J13" s="7">
        <f>IF($A13="","",IF($B13="Einkommen",SUMIFS(Buchungen!$J$6:$J$330,Buchungen!$C$6:$C$330,$A13,Buchungen!$H$6:$H$330,J$4,Buchungen!$I$6:$I$330,$B$1),-SUMIFS(Buchungen!$J$6:$J$330,Buchungen!$C$6:$C$330,$A13,Buchungen!$H$6:$H$330,J$4,Buchungen!$I$6:$I$330,$B$1)))</f>
        <v>117</v>
      </c>
      <c r="K13" s="7">
        <f>IF($A13="","",IF($B13="Einkommen",SUMIFS(Buchungen!$J$6:$J$330,Buchungen!$C$6:$C$330,$A13,Buchungen!$H$6:$H$330,K$4,Buchungen!$I$6:$I$330,$B$1),-SUMIFS(Buchungen!$J$6:$J$330,Buchungen!$C$6:$C$330,$A13,Buchungen!$H$6:$H$330,K$4,Buchungen!$I$6:$I$330,$B$1)))</f>
        <v>92</v>
      </c>
      <c r="L13" s="7">
        <f>IF($A13="","",IF($B13="Einkommen",SUMIFS(Buchungen!$J$6:$J$330,Buchungen!$C$6:$C$330,$A13,Buchungen!$H$6:$H$330,L$4,Buchungen!$I$6:$I$330,$B$1),-SUMIFS(Buchungen!$J$6:$J$330,Buchungen!$C$6:$C$330,$A13,Buchungen!$H$6:$H$330,L$4,Buchungen!$I$6:$I$330,$B$1)))</f>
        <v>92</v>
      </c>
      <c r="M13" s="7">
        <f>IF($A13="","",IF($B13="Einkommen",SUMIFS(Buchungen!$J$6:$J$330,Buchungen!$C$6:$C$330,$A13,Buchungen!$H$6:$H$330,M$4,Buchungen!$I$6:$I$330,$B$1),-SUMIFS(Buchungen!$J$6:$J$330,Buchungen!$C$6:$C$330,$A13,Buchungen!$H$6:$H$330,M$4,Buchungen!$I$6:$I$330,$B$1)))</f>
        <v>117</v>
      </c>
      <c r="N13" s="7">
        <f>IF($A13="","",IF($B13="Einkommen",SUMIFS(Buchungen!$J$6:$J$330,Buchungen!$C$6:$C$330,$A13,Buchungen!$H$6:$H$330,N$4,Buchungen!$I$6:$I$330,$B$1),-SUMIFS(Buchungen!$J$6:$J$330,Buchungen!$C$6:$C$330,$A13,Buchungen!$H$6:$H$330,N$4,Buchungen!$I$6:$I$330,$B$1)))</f>
        <v>92</v>
      </c>
      <c r="O13" s="7">
        <f>IF($A13="","",IF($B13="Einkommen",SUMIFS(Buchungen!$J$6:$J$330,Buchungen!$C$6:$C$330,$A13,Buchungen!$H$6:$H$330,O$4,Buchungen!$I$6:$I$330,$B$1),-SUMIFS(Buchungen!$J$6:$J$330,Buchungen!$C$6:$C$330,$A13,Buchungen!$H$6:$H$330,O$4,Buchungen!$I$6:$I$330,$B$1)))</f>
        <v>92</v>
      </c>
      <c r="P13" s="7">
        <f>IF($A13="","",IF($B13="Einkommen",SUMIFS(Buchungen!$J$6:$J$330,Buchungen!$C$6:$C$330,$A13,Buchungen!$H$6:$H$330,P$4,Buchungen!$I$6:$I$330,$B$1),-SUMIFS(Buchungen!$J$6:$J$330,Buchungen!$C$6:$C$330,$A13,Buchungen!$H$6:$H$330,P$4,Buchungen!$I$6:$I$330,$B$1)))</f>
        <v>117</v>
      </c>
      <c r="Q13" s="7">
        <f t="shared" si="1"/>
        <v>1204</v>
      </c>
      <c r="R13" s="7">
        <f t="shared" si="2"/>
        <v>176</v>
      </c>
      <c r="S13" s="2" t="str">
        <f t="shared" si="3"/>
        <v>im Plan</v>
      </c>
      <c r="T13" s="2"/>
      <c r="U13" s="2"/>
      <c r="V13" s="2"/>
      <c r="W13" s="2"/>
      <c r="X13" s="2"/>
      <c r="Y13" s="2"/>
      <c r="Z13" s="2"/>
    </row>
    <row r="14" spans="1:26" x14ac:dyDescent="0.25">
      <c r="A14" s="2" t="s">
        <v>28</v>
      </c>
      <c r="B14" s="2" t="s">
        <v>18</v>
      </c>
      <c r="C14" s="6">
        <v>75</v>
      </c>
      <c r="D14" s="7">
        <f t="shared" si="0"/>
        <v>900</v>
      </c>
      <c r="E14" s="7">
        <f>IF($A14="","",IF($B14="Einkommen",SUMIFS(Buchungen!$J$6:$J$330,Buchungen!$C$6:$C$330,$A14,Buchungen!$H$6:$H$330,E$4,Buchungen!$I$6:$I$330,$B$1),-SUMIFS(Buchungen!$J$6:$J$330,Buchungen!$C$6:$C$330,$A14,Buchungen!$H$6:$H$330,E$4,Buchungen!$I$6:$I$330,$B$1)))</f>
        <v>42</v>
      </c>
      <c r="F14" s="7">
        <f>IF($A14="","",IF($B14="Einkommen",SUMIFS(Buchungen!$J$6:$J$330,Buchungen!$C$6:$C$330,$A14,Buchungen!$H$6:$H$330,F$4,Buchungen!$I$6:$I$330,$B$1),-SUMIFS(Buchungen!$J$6:$J$330,Buchungen!$C$6:$C$330,$A14,Buchungen!$H$6:$H$330,F$4,Buchungen!$I$6:$I$330,$B$1)))</f>
        <v>58</v>
      </c>
      <c r="G14" s="7">
        <f>IF($A14="","",IF($B14="Einkommen",SUMIFS(Buchungen!$J$6:$J$330,Buchungen!$C$6:$C$330,$A14,Buchungen!$H$6:$H$330,G$4,Buchungen!$I$6:$I$330,$B$1),-SUMIFS(Buchungen!$J$6:$J$330,Buchungen!$C$6:$C$330,$A14,Buchungen!$H$6:$H$330,G$4,Buchungen!$I$6:$I$330,$B$1)))</f>
        <v>35</v>
      </c>
      <c r="H14" s="7">
        <f>IF($A14="","",IF($B14="Einkommen",SUMIFS(Buchungen!$J$6:$J$330,Buchungen!$C$6:$C$330,$A14,Buchungen!$H$6:$H$330,H$4,Buchungen!$I$6:$I$330,$B$1),-SUMIFS(Buchungen!$J$6:$J$330,Buchungen!$C$6:$C$330,$A14,Buchungen!$H$6:$H$330,H$4,Buchungen!$I$6:$I$330,$B$1)))</f>
        <v>80</v>
      </c>
      <c r="I14" s="7">
        <f>IF($A14="","",IF($B14="Einkommen",SUMIFS(Buchungen!$J$6:$J$330,Buchungen!$C$6:$C$330,$A14,Buchungen!$H$6:$H$330,I$4,Buchungen!$I$6:$I$330,$B$1),-SUMIFS(Buchungen!$J$6:$J$330,Buchungen!$C$6:$C$330,$A14,Buchungen!$H$6:$H$330,I$4,Buchungen!$I$6:$I$330,$B$1)))</f>
        <v>28</v>
      </c>
      <c r="J14" s="7">
        <f>IF($A14="","",IF($B14="Einkommen",SUMIFS(Buchungen!$J$6:$J$330,Buchungen!$C$6:$C$330,$A14,Buchungen!$H$6:$H$330,J$4,Buchungen!$I$6:$I$330,$B$1),-SUMIFS(Buchungen!$J$6:$J$330,Buchungen!$C$6:$C$330,$A14,Buchungen!$H$6:$H$330,J$4,Buchungen!$I$6:$I$330,$B$1)))</f>
        <v>45</v>
      </c>
      <c r="K14" s="7">
        <f>IF($A14="","",IF($B14="Einkommen",SUMIFS(Buchungen!$J$6:$J$330,Buchungen!$C$6:$C$330,$A14,Buchungen!$H$6:$H$330,K$4,Buchungen!$I$6:$I$330,$B$1),-SUMIFS(Buchungen!$J$6:$J$330,Buchungen!$C$6:$C$330,$A14,Buchungen!$H$6:$H$330,K$4,Buchungen!$I$6:$I$330,$B$1)))</f>
        <v>50</v>
      </c>
      <c r="L14" s="7">
        <f>IF($A14="","",IF($B14="Einkommen",SUMIFS(Buchungen!$J$6:$J$330,Buchungen!$C$6:$C$330,$A14,Buchungen!$H$6:$H$330,L$4,Buchungen!$I$6:$I$330,$B$1),-SUMIFS(Buchungen!$J$6:$J$330,Buchungen!$C$6:$C$330,$A14,Buchungen!$H$6:$H$330,L$4,Buchungen!$I$6:$I$330,$B$1)))</f>
        <v>36</v>
      </c>
      <c r="M14" s="7">
        <f>IF($A14="","",IF($B14="Einkommen",SUMIFS(Buchungen!$J$6:$J$330,Buchungen!$C$6:$C$330,$A14,Buchungen!$H$6:$H$330,M$4,Buchungen!$I$6:$I$330,$B$1),-SUMIFS(Buchungen!$J$6:$J$330,Buchungen!$C$6:$C$330,$A14,Buchungen!$H$6:$H$330,M$4,Buchungen!$I$6:$I$330,$B$1)))</f>
        <v>62</v>
      </c>
      <c r="N14" s="7">
        <f>IF($A14="","",IF($B14="Einkommen",SUMIFS(Buchungen!$J$6:$J$330,Buchungen!$C$6:$C$330,$A14,Buchungen!$H$6:$H$330,N$4,Buchungen!$I$6:$I$330,$B$1),-SUMIFS(Buchungen!$J$6:$J$330,Buchungen!$C$6:$C$330,$A14,Buchungen!$H$6:$H$330,N$4,Buchungen!$I$6:$I$330,$B$1)))</f>
        <v>40</v>
      </c>
      <c r="O14" s="7">
        <f>IF($A14="","",IF($B14="Einkommen",SUMIFS(Buchungen!$J$6:$J$330,Buchungen!$C$6:$C$330,$A14,Buchungen!$H$6:$H$330,O$4,Buchungen!$I$6:$I$330,$B$1),-SUMIFS(Buchungen!$J$6:$J$330,Buchungen!$C$6:$C$330,$A14,Buchungen!$H$6:$H$330,O$4,Buchungen!$I$6:$I$330,$B$1)))</f>
        <v>55</v>
      </c>
      <c r="P14" s="7">
        <f>IF($A14="","",IF($B14="Einkommen",SUMIFS(Buchungen!$J$6:$J$330,Buchungen!$C$6:$C$330,$A14,Buchungen!$H$6:$H$330,P$4,Buchungen!$I$6:$I$330,$B$1),-SUMIFS(Buchungen!$J$6:$J$330,Buchungen!$C$6:$C$330,$A14,Buchungen!$H$6:$H$330,P$4,Buchungen!$I$6:$I$330,$B$1)))</f>
        <v>30</v>
      </c>
      <c r="Q14" s="7">
        <f t="shared" si="1"/>
        <v>561</v>
      </c>
      <c r="R14" s="7">
        <f t="shared" si="2"/>
        <v>339</v>
      </c>
      <c r="S14" s="2" t="str">
        <f t="shared" si="3"/>
        <v>im Plan</v>
      </c>
      <c r="T14" s="2"/>
      <c r="U14" s="2"/>
      <c r="V14" s="2"/>
      <c r="W14" s="2"/>
      <c r="X14" s="2"/>
      <c r="Y14" s="2"/>
      <c r="Z14" s="2"/>
    </row>
    <row r="15" spans="1:26" x14ac:dyDescent="0.25">
      <c r="A15" s="2" t="s">
        <v>30</v>
      </c>
      <c r="B15" s="2" t="s">
        <v>18</v>
      </c>
      <c r="C15" s="6">
        <v>170</v>
      </c>
      <c r="D15" s="7">
        <f t="shared" si="0"/>
        <v>2040</v>
      </c>
      <c r="E15" s="7">
        <f>IF($A15="","",IF($B15="Einkommen",SUMIFS(Buchungen!$J$6:$J$330,Buchungen!$C$6:$C$330,$A15,Buchungen!$H$6:$H$330,E$4,Buchungen!$I$6:$I$330,$B$1),-SUMIFS(Buchungen!$J$6:$J$330,Buchungen!$C$6:$C$330,$A15,Buchungen!$H$6:$H$330,E$4,Buchungen!$I$6:$I$330,$B$1)))</f>
        <v>59</v>
      </c>
      <c r="F15" s="7">
        <f>IF($A15="","",IF($B15="Einkommen",SUMIFS(Buchungen!$J$6:$J$330,Buchungen!$C$6:$C$330,$A15,Buchungen!$H$6:$H$330,F$4,Buchungen!$I$6:$I$330,$B$1),-SUMIFS(Buchungen!$J$6:$J$330,Buchungen!$C$6:$C$330,$A15,Buchungen!$H$6:$H$330,F$4,Buchungen!$I$6:$I$330,$B$1)))</f>
        <v>59</v>
      </c>
      <c r="G15" s="7">
        <f>IF($A15="","",IF($B15="Einkommen",SUMIFS(Buchungen!$J$6:$J$330,Buchungen!$C$6:$C$330,$A15,Buchungen!$H$6:$H$330,G$4,Buchungen!$I$6:$I$330,$B$1),-SUMIFS(Buchungen!$J$6:$J$330,Buchungen!$C$6:$C$330,$A15,Buchungen!$H$6:$H$330,G$4,Buchungen!$I$6:$I$330,$B$1)))</f>
        <v>59</v>
      </c>
      <c r="H15" s="7">
        <f>IF($A15="","",IF($B15="Einkommen",SUMIFS(Buchungen!$J$6:$J$330,Buchungen!$C$6:$C$330,$A15,Buchungen!$H$6:$H$330,H$4,Buchungen!$I$6:$I$330,$B$1),-SUMIFS(Buchungen!$J$6:$J$330,Buchungen!$C$6:$C$330,$A15,Buchungen!$H$6:$H$330,H$4,Buchungen!$I$6:$I$330,$B$1)))</f>
        <v>59</v>
      </c>
      <c r="I15" s="7">
        <f>IF($A15="","",IF($B15="Einkommen",SUMIFS(Buchungen!$J$6:$J$330,Buchungen!$C$6:$C$330,$A15,Buchungen!$H$6:$H$330,I$4,Buchungen!$I$6:$I$330,$B$1),-SUMIFS(Buchungen!$J$6:$J$330,Buchungen!$C$6:$C$330,$A15,Buchungen!$H$6:$H$330,I$4,Buchungen!$I$6:$I$330,$B$1)))</f>
        <v>59</v>
      </c>
      <c r="J15" s="7">
        <f>IF($A15="","",IF($B15="Einkommen",SUMIFS(Buchungen!$J$6:$J$330,Buchungen!$C$6:$C$330,$A15,Buchungen!$H$6:$H$330,J$4,Buchungen!$I$6:$I$330,$B$1),-SUMIFS(Buchungen!$J$6:$J$330,Buchungen!$C$6:$C$330,$A15,Buchungen!$H$6:$H$330,J$4,Buchungen!$I$6:$I$330,$B$1)))</f>
        <v>59</v>
      </c>
      <c r="K15" s="7">
        <f>IF($A15="","",IF($B15="Einkommen",SUMIFS(Buchungen!$J$6:$J$330,Buchungen!$C$6:$C$330,$A15,Buchungen!$H$6:$H$330,K$4,Buchungen!$I$6:$I$330,$B$1),-SUMIFS(Buchungen!$J$6:$J$330,Buchungen!$C$6:$C$330,$A15,Buchungen!$H$6:$H$330,K$4,Buchungen!$I$6:$I$330,$B$1)))</f>
        <v>59</v>
      </c>
      <c r="L15" s="7">
        <f>IF($A15="","",IF($B15="Einkommen",SUMIFS(Buchungen!$J$6:$J$330,Buchungen!$C$6:$C$330,$A15,Buchungen!$H$6:$H$330,L$4,Buchungen!$I$6:$I$330,$B$1),-SUMIFS(Buchungen!$J$6:$J$330,Buchungen!$C$6:$C$330,$A15,Buchungen!$H$6:$H$330,L$4,Buchungen!$I$6:$I$330,$B$1)))</f>
        <v>59</v>
      </c>
      <c r="M15" s="7">
        <f>IF($A15="","",IF($B15="Einkommen",SUMIFS(Buchungen!$J$6:$J$330,Buchungen!$C$6:$C$330,$A15,Buchungen!$H$6:$H$330,M$4,Buchungen!$I$6:$I$330,$B$1),-SUMIFS(Buchungen!$J$6:$J$330,Buchungen!$C$6:$C$330,$A15,Buchungen!$H$6:$H$330,M$4,Buchungen!$I$6:$I$330,$B$1)))</f>
        <v>59</v>
      </c>
      <c r="N15" s="7">
        <f>IF($A15="","",IF($B15="Einkommen",SUMIFS(Buchungen!$J$6:$J$330,Buchungen!$C$6:$C$330,$A15,Buchungen!$H$6:$H$330,N$4,Buchungen!$I$6:$I$330,$B$1),-SUMIFS(Buchungen!$J$6:$J$330,Buchungen!$C$6:$C$330,$A15,Buchungen!$H$6:$H$330,N$4,Buchungen!$I$6:$I$330,$B$1)))</f>
        <v>59</v>
      </c>
      <c r="O15" s="7">
        <f>IF($A15="","",IF($B15="Einkommen",SUMIFS(Buchungen!$J$6:$J$330,Buchungen!$C$6:$C$330,$A15,Buchungen!$H$6:$H$330,O$4,Buchungen!$I$6:$I$330,$B$1),-SUMIFS(Buchungen!$J$6:$J$330,Buchungen!$C$6:$C$330,$A15,Buchungen!$H$6:$H$330,O$4,Buchungen!$I$6:$I$330,$B$1)))</f>
        <v>59</v>
      </c>
      <c r="P15" s="7">
        <f>IF($A15="","",IF($B15="Einkommen",SUMIFS(Buchungen!$J$6:$J$330,Buchungen!$C$6:$C$330,$A15,Buchungen!$H$6:$H$330,P$4,Buchungen!$I$6:$I$330,$B$1),-SUMIFS(Buchungen!$J$6:$J$330,Buchungen!$C$6:$C$330,$A15,Buchungen!$H$6:$H$330,P$4,Buchungen!$I$6:$I$330,$B$1)))</f>
        <v>59</v>
      </c>
      <c r="Q15" s="7">
        <f t="shared" si="1"/>
        <v>708</v>
      </c>
      <c r="R15" s="7">
        <f t="shared" si="2"/>
        <v>1332</v>
      </c>
      <c r="S15" s="2" t="str">
        <f t="shared" si="3"/>
        <v>im Plan</v>
      </c>
      <c r="T15" s="2"/>
      <c r="U15" s="2"/>
      <c r="V15" s="2"/>
      <c r="W15" s="2"/>
      <c r="X15" s="2"/>
      <c r="Y15" s="2"/>
      <c r="Z15" s="2"/>
    </row>
    <row r="16" spans="1:26" x14ac:dyDescent="0.25">
      <c r="A16" s="2" t="s">
        <v>32</v>
      </c>
      <c r="B16" s="2" t="s">
        <v>18</v>
      </c>
      <c r="C16" s="6">
        <v>65</v>
      </c>
      <c r="D16" s="7">
        <f t="shared" si="0"/>
        <v>780</v>
      </c>
      <c r="E16" s="7">
        <f>IF($A16="","",IF($B16="Einkommen",SUMIFS(Buchungen!$J$6:$J$330,Buchungen!$C$6:$C$330,$A16,Buchungen!$H$6:$H$330,E$4,Buchungen!$I$6:$I$330,$B$1),-SUMIFS(Buchungen!$J$6:$J$330,Buchungen!$C$6:$C$330,$A16,Buchungen!$H$6:$H$330,E$4,Buchungen!$I$6:$I$330,$B$1)))</f>
        <v>63</v>
      </c>
      <c r="F16" s="7">
        <f>IF($A16="","",IF($B16="Einkommen",SUMIFS(Buchungen!$J$6:$J$330,Buchungen!$C$6:$C$330,$A16,Buchungen!$H$6:$H$330,F$4,Buchungen!$I$6:$I$330,$B$1),-SUMIFS(Buchungen!$J$6:$J$330,Buchungen!$C$6:$C$330,$A16,Buchungen!$H$6:$H$330,F$4,Buchungen!$I$6:$I$330,$B$1)))</f>
        <v>63</v>
      </c>
      <c r="G16" s="7">
        <f>IF($A16="","",IF($B16="Einkommen",SUMIFS(Buchungen!$J$6:$J$330,Buchungen!$C$6:$C$330,$A16,Buchungen!$H$6:$H$330,G$4,Buchungen!$I$6:$I$330,$B$1),-SUMIFS(Buchungen!$J$6:$J$330,Buchungen!$C$6:$C$330,$A16,Buchungen!$H$6:$H$330,G$4,Buchungen!$I$6:$I$330,$B$1)))</f>
        <v>63</v>
      </c>
      <c r="H16" s="7">
        <f>IF($A16="","",IF($B16="Einkommen",SUMIFS(Buchungen!$J$6:$J$330,Buchungen!$C$6:$C$330,$A16,Buchungen!$H$6:$H$330,H$4,Buchungen!$I$6:$I$330,$B$1),-SUMIFS(Buchungen!$J$6:$J$330,Buchungen!$C$6:$C$330,$A16,Buchungen!$H$6:$H$330,H$4,Buchungen!$I$6:$I$330,$B$1)))</f>
        <v>63</v>
      </c>
      <c r="I16" s="7">
        <f>IF($A16="","",IF($B16="Einkommen",SUMIFS(Buchungen!$J$6:$J$330,Buchungen!$C$6:$C$330,$A16,Buchungen!$H$6:$H$330,I$4,Buchungen!$I$6:$I$330,$B$1),-SUMIFS(Buchungen!$J$6:$J$330,Buchungen!$C$6:$C$330,$A16,Buchungen!$H$6:$H$330,I$4,Buchungen!$I$6:$I$330,$B$1)))</f>
        <v>63</v>
      </c>
      <c r="J16" s="7">
        <f>IF($A16="","",IF($B16="Einkommen",SUMIFS(Buchungen!$J$6:$J$330,Buchungen!$C$6:$C$330,$A16,Buchungen!$H$6:$H$330,J$4,Buchungen!$I$6:$I$330,$B$1),-SUMIFS(Buchungen!$J$6:$J$330,Buchungen!$C$6:$C$330,$A16,Buchungen!$H$6:$H$330,J$4,Buchungen!$I$6:$I$330,$B$1)))</f>
        <v>63</v>
      </c>
      <c r="K16" s="7">
        <f>IF($A16="","",IF($B16="Einkommen",SUMIFS(Buchungen!$J$6:$J$330,Buchungen!$C$6:$C$330,$A16,Buchungen!$H$6:$H$330,K$4,Buchungen!$I$6:$I$330,$B$1),-SUMIFS(Buchungen!$J$6:$J$330,Buchungen!$C$6:$C$330,$A16,Buchungen!$H$6:$H$330,K$4,Buchungen!$I$6:$I$330,$B$1)))</f>
        <v>63</v>
      </c>
      <c r="L16" s="7">
        <f>IF($A16="","",IF($B16="Einkommen",SUMIFS(Buchungen!$J$6:$J$330,Buchungen!$C$6:$C$330,$A16,Buchungen!$H$6:$H$330,L$4,Buchungen!$I$6:$I$330,$B$1),-SUMIFS(Buchungen!$J$6:$J$330,Buchungen!$C$6:$C$330,$A16,Buchungen!$H$6:$H$330,L$4,Buchungen!$I$6:$I$330,$B$1)))</f>
        <v>63</v>
      </c>
      <c r="M16" s="7">
        <f>IF($A16="","",IF($B16="Einkommen",SUMIFS(Buchungen!$J$6:$J$330,Buchungen!$C$6:$C$330,$A16,Buchungen!$H$6:$H$330,M$4,Buchungen!$I$6:$I$330,$B$1),-SUMIFS(Buchungen!$J$6:$J$330,Buchungen!$C$6:$C$330,$A16,Buchungen!$H$6:$H$330,M$4,Buchungen!$I$6:$I$330,$B$1)))</f>
        <v>63</v>
      </c>
      <c r="N16" s="7">
        <f>IF($A16="","",IF($B16="Einkommen",SUMIFS(Buchungen!$J$6:$J$330,Buchungen!$C$6:$C$330,$A16,Buchungen!$H$6:$H$330,N$4,Buchungen!$I$6:$I$330,$B$1),-SUMIFS(Buchungen!$J$6:$J$330,Buchungen!$C$6:$C$330,$A16,Buchungen!$H$6:$H$330,N$4,Buchungen!$I$6:$I$330,$B$1)))</f>
        <v>63</v>
      </c>
      <c r="O16" s="7">
        <f>IF($A16="","",IF($B16="Einkommen",SUMIFS(Buchungen!$J$6:$J$330,Buchungen!$C$6:$C$330,$A16,Buchungen!$H$6:$H$330,O$4,Buchungen!$I$6:$I$330,$B$1),-SUMIFS(Buchungen!$J$6:$J$330,Buchungen!$C$6:$C$330,$A16,Buchungen!$H$6:$H$330,O$4,Buchungen!$I$6:$I$330,$B$1)))</f>
        <v>63</v>
      </c>
      <c r="P16" s="7">
        <f>IF($A16="","",IF($B16="Einkommen",SUMIFS(Buchungen!$J$6:$J$330,Buchungen!$C$6:$C$330,$A16,Buchungen!$H$6:$H$330,P$4,Buchungen!$I$6:$I$330,$B$1),-SUMIFS(Buchungen!$J$6:$J$330,Buchungen!$C$6:$C$330,$A16,Buchungen!$H$6:$H$330,P$4,Buchungen!$I$6:$I$330,$B$1)))</f>
        <v>63</v>
      </c>
      <c r="Q16" s="7">
        <f t="shared" si="1"/>
        <v>756</v>
      </c>
      <c r="R16" s="7">
        <f t="shared" si="2"/>
        <v>24</v>
      </c>
      <c r="S16" s="2" t="str">
        <f t="shared" si="3"/>
        <v>im Plan</v>
      </c>
      <c r="T16" s="2"/>
      <c r="U16" s="2"/>
      <c r="V16" s="2"/>
      <c r="W16" s="2"/>
      <c r="X16" s="2"/>
      <c r="Y16" s="2"/>
      <c r="Z16" s="2"/>
    </row>
    <row r="17" spans="1:26" x14ac:dyDescent="0.25">
      <c r="A17" s="2" t="s">
        <v>34</v>
      </c>
      <c r="B17" s="2" t="s">
        <v>21</v>
      </c>
      <c r="C17" s="6">
        <v>130</v>
      </c>
      <c r="D17" s="7">
        <f t="shared" si="0"/>
        <v>1560</v>
      </c>
      <c r="E17" s="7">
        <f>IF($A17="","",IF($B17="Einkommen",SUMIFS(Buchungen!$J$6:$J$330,Buchungen!$C$6:$C$330,$A17,Buchungen!$H$6:$H$330,E$4,Buchungen!$I$6:$I$330,$B$1),-SUMIFS(Buchungen!$J$6:$J$330,Buchungen!$C$6:$C$330,$A17,Buchungen!$H$6:$H$330,E$4,Buchungen!$I$6:$I$330,$B$1)))</f>
        <v>88</v>
      </c>
      <c r="F17" s="7">
        <f>IF($A17="","",IF($B17="Einkommen",SUMIFS(Buchungen!$J$6:$J$330,Buchungen!$C$6:$C$330,$A17,Buchungen!$H$6:$H$330,F$4,Buchungen!$I$6:$I$330,$B$1),-SUMIFS(Buchungen!$J$6:$J$330,Buchungen!$C$6:$C$330,$A17,Buchungen!$H$6:$H$330,F$4,Buchungen!$I$6:$I$330,$B$1)))</f>
        <v>96</v>
      </c>
      <c r="G17" s="7">
        <f>IF($A17="","",IF($B17="Einkommen",SUMIFS(Buchungen!$J$6:$J$330,Buchungen!$C$6:$C$330,$A17,Buchungen!$H$6:$H$330,G$4,Buchungen!$I$6:$I$330,$B$1),-SUMIFS(Buchungen!$J$6:$J$330,Buchungen!$C$6:$C$330,$A17,Buchungen!$H$6:$H$330,G$4,Buchungen!$I$6:$I$330,$B$1)))</f>
        <v>120</v>
      </c>
      <c r="H17" s="7">
        <f>IF($A17="","",IF($B17="Einkommen",SUMIFS(Buchungen!$J$6:$J$330,Buchungen!$C$6:$C$330,$A17,Buchungen!$H$6:$H$330,H$4,Buchungen!$I$6:$I$330,$B$1),-SUMIFS(Buchungen!$J$6:$J$330,Buchungen!$C$6:$C$330,$A17,Buchungen!$H$6:$H$330,H$4,Buchungen!$I$6:$I$330,$B$1)))</f>
        <v>140</v>
      </c>
      <c r="I17" s="7">
        <f>IF($A17="","",IF($B17="Einkommen",SUMIFS(Buchungen!$J$6:$J$330,Buchungen!$C$6:$C$330,$A17,Buchungen!$H$6:$H$330,I$4,Buchungen!$I$6:$I$330,$B$1),-SUMIFS(Buchungen!$J$6:$J$330,Buchungen!$C$6:$C$330,$A17,Buchungen!$H$6:$H$330,I$4,Buchungen!$I$6:$I$330,$B$1)))</f>
        <v>115</v>
      </c>
      <c r="J17" s="7">
        <f>IF($A17="","",IF($B17="Einkommen",SUMIFS(Buchungen!$J$6:$J$330,Buchungen!$C$6:$C$330,$A17,Buchungen!$H$6:$H$330,J$4,Buchungen!$I$6:$I$330,$B$1),-SUMIFS(Buchungen!$J$6:$J$330,Buchungen!$C$6:$C$330,$A17,Buchungen!$H$6:$H$330,J$4,Buchungen!$I$6:$I$330,$B$1)))</f>
        <v>135</v>
      </c>
      <c r="K17" s="7">
        <f>IF($A17="","",IF($B17="Einkommen",SUMIFS(Buchungen!$J$6:$J$330,Buchungen!$C$6:$C$330,$A17,Buchungen!$H$6:$H$330,K$4,Buchungen!$I$6:$I$330,$B$1),-SUMIFS(Buchungen!$J$6:$J$330,Buchungen!$C$6:$C$330,$A17,Buchungen!$H$6:$H$330,K$4,Buchungen!$I$6:$I$330,$B$1)))</f>
        <v>155</v>
      </c>
      <c r="L17" s="7">
        <f>IF($A17="","",IF($B17="Einkommen",SUMIFS(Buchungen!$J$6:$J$330,Buchungen!$C$6:$C$330,$A17,Buchungen!$H$6:$H$330,L$4,Buchungen!$I$6:$I$330,$B$1),-SUMIFS(Buchungen!$J$6:$J$330,Buchungen!$C$6:$C$330,$A17,Buchungen!$H$6:$H$330,L$4,Buchungen!$I$6:$I$330,$B$1)))</f>
        <v>130</v>
      </c>
      <c r="M17" s="7">
        <f>IF($A17="","",IF($B17="Einkommen",SUMIFS(Buchungen!$J$6:$J$330,Buchungen!$C$6:$C$330,$A17,Buchungen!$H$6:$H$330,M$4,Buchungen!$I$6:$I$330,$B$1),-SUMIFS(Buchungen!$J$6:$J$330,Buchungen!$C$6:$C$330,$A17,Buchungen!$H$6:$H$330,M$4,Buchungen!$I$6:$I$330,$B$1)))</f>
        <v>100</v>
      </c>
      <c r="N17" s="7">
        <f>IF($A17="","",IF($B17="Einkommen",SUMIFS(Buchungen!$J$6:$J$330,Buchungen!$C$6:$C$330,$A17,Buchungen!$H$6:$H$330,N$4,Buchungen!$I$6:$I$330,$B$1),-SUMIFS(Buchungen!$J$6:$J$330,Buchungen!$C$6:$C$330,$A17,Buchungen!$H$6:$H$330,N$4,Buchungen!$I$6:$I$330,$B$1)))</f>
        <v>125</v>
      </c>
      <c r="O17" s="7">
        <f>IF($A17="","",IF($B17="Einkommen",SUMIFS(Buchungen!$J$6:$J$330,Buchungen!$C$6:$C$330,$A17,Buchungen!$H$6:$H$330,O$4,Buchungen!$I$6:$I$330,$B$1),-SUMIFS(Buchungen!$J$6:$J$330,Buchungen!$C$6:$C$330,$A17,Buchungen!$H$6:$H$330,O$4,Buchungen!$I$6:$I$330,$B$1)))</f>
        <v>160</v>
      </c>
      <c r="P17" s="7">
        <f>IF($A17="","",IF($B17="Einkommen",SUMIFS(Buchungen!$J$6:$J$330,Buchungen!$C$6:$C$330,$A17,Buchungen!$H$6:$H$330,P$4,Buchungen!$I$6:$I$330,$B$1),-SUMIFS(Buchungen!$J$6:$J$330,Buchungen!$C$6:$C$330,$A17,Buchungen!$H$6:$H$330,P$4,Buchungen!$I$6:$I$330,$B$1)))</f>
        <v>180</v>
      </c>
      <c r="Q17" s="7">
        <f t="shared" si="1"/>
        <v>1544</v>
      </c>
      <c r="R17" s="7">
        <f t="shared" si="2"/>
        <v>16</v>
      </c>
      <c r="S17" s="2" t="str">
        <f t="shared" si="3"/>
        <v>im Plan</v>
      </c>
      <c r="T17" s="2"/>
      <c r="U17" s="2"/>
      <c r="V17" s="2"/>
      <c r="W17" s="2"/>
      <c r="X17" s="2"/>
      <c r="Y17" s="2"/>
      <c r="Z17" s="2"/>
    </row>
    <row r="18" spans="1:26" x14ac:dyDescent="0.25">
      <c r="A18" s="2" t="s">
        <v>36</v>
      </c>
      <c r="B18" s="2" t="s">
        <v>21</v>
      </c>
      <c r="C18" s="6">
        <v>170</v>
      </c>
      <c r="D18" s="7">
        <f t="shared" si="0"/>
        <v>2040</v>
      </c>
      <c r="E18" s="7">
        <f>IF($A18="","",IF($B18="Einkommen",SUMIFS(Buchungen!$J$6:$J$330,Buchungen!$C$6:$C$330,$A18,Buchungen!$H$6:$H$330,E$4,Buchungen!$I$6:$I$330,$B$1),-SUMIFS(Buchungen!$J$6:$J$330,Buchungen!$C$6:$C$330,$A18,Buchungen!$H$6:$H$330,E$4,Buchungen!$I$6:$I$330,$B$1)))</f>
        <v>145</v>
      </c>
      <c r="F18" s="7">
        <f>IF($A18="","",IF($B18="Einkommen",SUMIFS(Buchungen!$J$6:$J$330,Buchungen!$C$6:$C$330,$A18,Buchungen!$H$6:$H$330,F$4,Buchungen!$I$6:$I$330,$B$1),-SUMIFS(Buchungen!$J$6:$J$330,Buchungen!$C$6:$C$330,$A18,Buchungen!$H$6:$H$330,F$4,Buchungen!$I$6:$I$330,$B$1)))</f>
        <v>132</v>
      </c>
      <c r="G18" s="7">
        <f>IF($A18="","",IF($B18="Einkommen",SUMIFS(Buchungen!$J$6:$J$330,Buchungen!$C$6:$C$330,$A18,Buchungen!$H$6:$H$330,G$4,Buchungen!$I$6:$I$330,$B$1),-SUMIFS(Buchungen!$J$6:$J$330,Buchungen!$C$6:$C$330,$A18,Buchungen!$H$6:$H$330,G$4,Buchungen!$I$6:$I$330,$B$1)))</f>
        <v>178</v>
      </c>
      <c r="H18" s="7">
        <f>IF($A18="","",IF($B18="Einkommen",SUMIFS(Buchungen!$J$6:$J$330,Buchungen!$C$6:$C$330,$A18,Buchungen!$H$6:$H$330,H$4,Buchungen!$I$6:$I$330,$B$1),-SUMIFS(Buchungen!$J$6:$J$330,Buchungen!$C$6:$C$330,$A18,Buchungen!$H$6:$H$330,H$4,Buchungen!$I$6:$I$330,$B$1)))</f>
        <v>160</v>
      </c>
      <c r="I18" s="7">
        <f>IF($A18="","",IF($B18="Einkommen",SUMIFS(Buchungen!$J$6:$J$330,Buchungen!$C$6:$C$330,$A18,Buchungen!$H$6:$H$330,I$4,Buchungen!$I$6:$I$330,$B$1),-SUMIFS(Buchungen!$J$6:$J$330,Buchungen!$C$6:$C$330,$A18,Buchungen!$H$6:$H$330,I$4,Buchungen!$I$6:$I$330,$B$1)))</f>
        <v>150</v>
      </c>
      <c r="J18" s="7">
        <f>IF($A18="","",IF($B18="Einkommen",SUMIFS(Buchungen!$J$6:$J$330,Buchungen!$C$6:$C$330,$A18,Buchungen!$H$6:$H$330,J$4,Buchungen!$I$6:$I$330,$B$1),-SUMIFS(Buchungen!$J$6:$J$330,Buchungen!$C$6:$C$330,$A18,Buchungen!$H$6:$H$330,J$4,Buchungen!$I$6:$I$330,$B$1)))</f>
        <v>210</v>
      </c>
      <c r="K18" s="7">
        <f>IF($A18="","",IF($B18="Einkommen",SUMIFS(Buchungen!$J$6:$J$330,Buchungen!$C$6:$C$330,$A18,Buchungen!$H$6:$H$330,K$4,Buchungen!$I$6:$I$330,$B$1),-SUMIFS(Buchungen!$J$6:$J$330,Buchungen!$C$6:$C$330,$A18,Buchungen!$H$6:$H$330,K$4,Buchungen!$I$6:$I$330,$B$1)))</f>
        <v>190</v>
      </c>
      <c r="L18" s="7">
        <f>IF($A18="","",IF($B18="Einkommen",SUMIFS(Buchungen!$J$6:$J$330,Buchungen!$C$6:$C$330,$A18,Buchungen!$H$6:$H$330,L$4,Buchungen!$I$6:$I$330,$B$1),-SUMIFS(Buchungen!$J$6:$J$330,Buchungen!$C$6:$C$330,$A18,Buchungen!$H$6:$H$330,L$4,Buchungen!$I$6:$I$330,$B$1)))</f>
        <v>175</v>
      </c>
      <c r="M18" s="7">
        <f>IF($A18="","",IF($B18="Einkommen",SUMIFS(Buchungen!$J$6:$J$330,Buchungen!$C$6:$C$330,$A18,Buchungen!$H$6:$H$330,M$4,Buchungen!$I$6:$I$330,$B$1),-SUMIFS(Buchungen!$J$6:$J$330,Buchungen!$C$6:$C$330,$A18,Buchungen!$H$6:$H$330,M$4,Buchungen!$I$6:$I$330,$B$1)))</f>
        <v>142</v>
      </c>
      <c r="N18" s="7">
        <f>IF($A18="","",IF($B18="Einkommen",SUMIFS(Buchungen!$J$6:$J$330,Buchungen!$C$6:$C$330,$A18,Buchungen!$H$6:$H$330,N$4,Buchungen!$I$6:$I$330,$B$1),-SUMIFS(Buchungen!$J$6:$J$330,Buchungen!$C$6:$C$330,$A18,Buchungen!$H$6:$H$330,N$4,Buchungen!$I$6:$I$330,$B$1)))</f>
        <v>155</v>
      </c>
      <c r="O18" s="7">
        <f>IF($A18="","",IF($B18="Einkommen",SUMIFS(Buchungen!$J$6:$J$330,Buchungen!$C$6:$C$330,$A18,Buchungen!$H$6:$H$330,O$4,Buchungen!$I$6:$I$330,$B$1),-SUMIFS(Buchungen!$J$6:$J$330,Buchungen!$C$6:$C$330,$A18,Buchungen!$H$6:$H$330,O$4,Buchungen!$I$6:$I$330,$B$1)))</f>
        <v>168</v>
      </c>
      <c r="P18" s="7">
        <f>IF($A18="","",IF($B18="Einkommen",SUMIFS(Buchungen!$J$6:$J$330,Buchungen!$C$6:$C$330,$A18,Buchungen!$H$6:$H$330,P$4,Buchungen!$I$6:$I$330,$B$1),-SUMIFS(Buchungen!$J$6:$J$330,Buchungen!$C$6:$C$330,$A18,Buchungen!$H$6:$H$330,P$4,Buchungen!$I$6:$I$330,$B$1)))</f>
        <v>220</v>
      </c>
      <c r="Q18" s="7">
        <f t="shared" si="1"/>
        <v>2025</v>
      </c>
      <c r="R18" s="7">
        <f t="shared" si="2"/>
        <v>15</v>
      </c>
      <c r="S18" s="2" t="str">
        <f t="shared" si="3"/>
        <v>im Plan</v>
      </c>
      <c r="T18" s="2"/>
      <c r="U18" s="2"/>
      <c r="V18" s="2"/>
      <c r="W18" s="2"/>
      <c r="X18" s="2"/>
      <c r="Y18" s="2"/>
      <c r="Z18" s="2"/>
    </row>
    <row r="19" spans="1:26" x14ac:dyDescent="0.25">
      <c r="A19" s="2" t="s">
        <v>38</v>
      </c>
      <c r="B19" s="2" t="s">
        <v>21</v>
      </c>
      <c r="C19" s="6">
        <v>90</v>
      </c>
      <c r="D19" s="7">
        <f t="shared" si="0"/>
        <v>1080</v>
      </c>
      <c r="E19" s="7">
        <f>IF($A19="","",IF($B19="Einkommen",SUMIFS(Buchungen!$J$6:$J$330,Buchungen!$C$6:$C$330,$A19,Buchungen!$H$6:$H$330,E$4,Buchungen!$I$6:$I$330,$B$1),-SUMIFS(Buchungen!$J$6:$J$330,Buchungen!$C$6:$C$330,$A19,Buchungen!$H$6:$H$330,E$4,Buchungen!$I$6:$I$330,$B$1)))</f>
        <v>85</v>
      </c>
      <c r="F19" s="7">
        <f>IF($A19="","",IF($B19="Einkommen",SUMIFS(Buchungen!$J$6:$J$330,Buchungen!$C$6:$C$330,$A19,Buchungen!$H$6:$H$330,F$4,Buchungen!$I$6:$I$330,$B$1),-SUMIFS(Buchungen!$J$6:$J$330,Buchungen!$C$6:$C$330,$A19,Buchungen!$H$6:$H$330,F$4,Buchungen!$I$6:$I$330,$B$1)))</f>
        <v>0</v>
      </c>
      <c r="G19" s="7">
        <f>IF($A19="","",IF($B19="Einkommen",SUMIFS(Buchungen!$J$6:$J$330,Buchungen!$C$6:$C$330,$A19,Buchungen!$H$6:$H$330,G$4,Buchungen!$I$6:$I$330,$B$1),-SUMIFS(Buchungen!$J$6:$J$330,Buchungen!$C$6:$C$330,$A19,Buchungen!$H$6:$H$330,G$4,Buchungen!$I$6:$I$330,$B$1)))</f>
        <v>0</v>
      </c>
      <c r="H19" s="7">
        <f>IF($A19="","",IF($B19="Einkommen",SUMIFS(Buchungen!$J$6:$J$330,Buchungen!$C$6:$C$330,$A19,Buchungen!$H$6:$H$330,H$4,Buchungen!$I$6:$I$330,$B$1),-SUMIFS(Buchungen!$J$6:$J$330,Buchungen!$C$6:$C$330,$A19,Buchungen!$H$6:$H$330,H$4,Buchungen!$I$6:$I$330,$B$1)))</f>
        <v>110</v>
      </c>
      <c r="I19" s="7">
        <f>IF($A19="","",IF($B19="Einkommen",SUMIFS(Buchungen!$J$6:$J$330,Buchungen!$C$6:$C$330,$A19,Buchungen!$H$6:$H$330,I$4,Buchungen!$I$6:$I$330,$B$1),-SUMIFS(Buchungen!$J$6:$J$330,Buchungen!$C$6:$C$330,$A19,Buchungen!$H$6:$H$330,I$4,Buchungen!$I$6:$I$330,$B$1)))</f>
        <v>0</v>
      </c>
      <c r="J19" s="7">
        <f>IF($A19="","",IF($B19="Einkommen",SUMIFS(Buchungen!$J$6:$J$330,Buchungen!$C$6:$C$330,$A19,Buchungen!$H$6:$H$330,J$4,Buchungen!$I$6:$I$330,$B$1),-SUMIFS(Buchungen!$J$6:$J$330,Buchungen!$C$6:$C$330,$A19,Buchungen!$H$6:$H$330,J$4,Buchungen!$I$6:$I$330,$B$1)))</f>
        <v>0</v>
      </c>
      <c r="K19" s="7">
        <f>IF($A19="","",IF($B19="Einkommen",SUMIFS(Buchungen!$J$6:$J$330,Buchungen!$C$6:$C$330,$A19,Buchungen!$H$6:$H$330,K$4,Buchungen!$I$6:$I$330,$B$1),-SUMIFS(Buchungen!$J$6:$J$330,Buchungen!$C$6:$C$330,$A19,Buchungen!$H$6:$H$330,K$4,Buchungen!$I$6:$I$330,$B$1)))</f>
        <v>0</v>
      </c>
      <c r="L19" s="7">
        <f>IF($A19="","",IF($B19="Einkommen",SUMIFS(Buchungen!$J$6:$J$330,Buchungen!$C$6:$C$330,$A19,Buchungen!$H$6:$H$330,L$4,Buchungen!$I$6:$I$330,$B$1),-SUMIFS(Buchungen!$J$6:$J$330,Buchungen!$C$6:$C$330,$A19,Buchungen!$H$6:$H$330,L$4,Buchungen!$I$6:$I$330,$B$1)))</f>
        <v>95</v>
      </c>
      <c r="M19" s="7">
        <f>IF($A19="","",IF($B19="Einkommen",SUMIFS(Buchungen!$J$6:$J$330,Buchungen!$C$6:$C$330,$A19,Buchungen!$H$6:$H$330,M$4,Buchungen!$I$6:$I$330,$B$1),-SUMIFS(Buchungen!$J$6:$J$330,Buchungen!$C$6:$C$330,$A19,Buchungen!$H$6:$H$330,M$4,Buchungen!$I$6:$I$330,$B$1)))</f>
        <v>0</v>
      </c>
      <c r="N19" s="7">
        <f>IF($A19="","",IF($B19="Einkommen",SUMIFS(Buchungen!$J$6:$J$330,Buchungen!$C$6:$C$330,$A19,Buchungen!$H$6:$H$330,N$4,Buchungen!$I$6:$I$330,$B$1),-SUMIFS(Buchungen!$J$6:$J$330,Buchungen!$C$6:$C$330,$A19,Buchungen!$H$6:$H$330,N$4,Buchungen!$I$6:$I$330,$B$1)))</f>
        <v>0</v>
      </c>
      <c r="O19" s="7">
        <f>IF($A19="","",IF($B19="Einkommen",SUMIFS(Buchungen!$J$6:$J$330,Buchungen!$C$6:$C$330,$A19,Buchungen!$H$6:$H$330,O$4,Buchungen!$I$6:$I$330,$B$1),-SUMIFS(Buchungen!$J$6:$J$330,Buchungen!$C$6:$C$330,$A19,Buchungen!$H$6:$H$330,O$4,Buchungen!$I$6:$I$330,$B$1)))</f>
        <v>140</v>
      </c>
      <c r="P19" s="7">
        <f>IF($A19="","",IF($B19="Einkommen",SUMIFS(Buchungen!$J$6:$J$330,Buchungen!$C$6:$C$330,$A19,Buchungen!$H$6:$H$330,P$4,Buchungen!$I$6:$I$330,$B$1),-SUMIFS(Buchungen!$J$6:$J$330,Buchungen!$C$6:$C$330,$A19,Buchungen!$H$6:$H$330,P$4,Buchungen!$I$6:$I$330,$B$1)))</f>
        <v>0</v>
      </c>
      <c r="Q19" s="7">
        <f t="shared" si="1"/>
        <v>430</v>
      </c>
      <c r="R19" s="7">
        <f t="shared" si="2"/>
        <v>650</v>
      </c>
      <c r="S19" s="2" t="str">
        <f t="shared" si="3"/>
        <v>im Plan</v>
      </c>
      <c r="T19" s="2"/>
      <c r="U19" s="2"/>
      <c r="V19" s="2"/>
      <c r="W19" s="2"/>
      <c r="X19" s="2"/>
      <c r="Y19" s="2"/>
      <c r="Z19" s="2"/>
    </row>
    <row r="20" spans="1:26" x14ac:dyDescent="0.25">
      <c r="A20" s="2" t="s">
        <v>39</v>
      </c>
      <c r="B20" s="2" t="s">
        <v>21</v>
      </c>
      <c r="C20" s="6">
        <v>190</v>
      </c>
      <c r="D20" s="7">
        <f t="shared" si="0"/>
        <v>2280</v>
      </c>
      <c r="E20" s="7">
        <f>IF($A20="","",IF($B20="Einkommen",SUMIFS(Buchungen!$J$6:$J$330,Buchungen!$C$6:$C$330,$A20,Buchungen!$H$6:$H$330,E$4,Buchungen!$I$6:$I$330,$B$1),-SUMIFS(Buchungen!$J$6:$J$330,Buchungen!$C$6:$C$330,$A20,Buchungen!$H$6:$H$330,E$4,Buchungen!$I$6:$I$330,$B$1)))</f>
        <v>0</v>
      </c>
      <c r="F20" s="7">
        <f>IF($A20="","",IF($B20="Einkommen",SUMIFS(Buchungen!$J$6:$J$330,Buchungen!$C$6:$C$330,$A20,Buchungen!$H$6:$H$330,F$4,Buchungen!$I$6:$I$330,$B$1),-SUMIFS(Buchungen!$J$6:$J$330,Buchungen!$C$6:$C$330,$A20,Buchungen!$H$6:$H$330,F$4,Buchungen!$I$6:$I$330,$B$1)))</f>
        <v>0</v>
      </c>
      <c r="G20" s="7">
        <f>IF($A20="","",IF($B20="Einkommen",SUMIFS(Buchungen!$J$6:$J$330,Buchungen!$C$6:$C$330,$A20,Buchungen!$H$6:$H$330,G$4,Buchungen!$I$6:$I$330,$B$1),-SUMIFS(Buchungen!$J$6:$J$330,Buchungen!$C$6:$C$330,$A20,Buchungen!$H$6:$H$330,G$4,Buchungen!$I$6:$I$330,$B$1)))</f>
        <v>0</v>
      </c>
      <c r="H20" s="7">
        <f>IF($A20="","",IF($B20="Einkommen",SUMIFS(Buchungen!$J$6:$J$330,Buchungen!$C$6:$C$330,$A20,Buchungen!$H$6:$H$330,H$4,Buchungen!$I$6:$I$330,$B$1),-SUMIFS(Buchungen!$J$6:$J$330,Buchungen!$C$6:$C$330,$A20,Buchungen!$H$6:$H$330,H$4,Buchungen!$I$6:$I$330,$B$1)))</f>
        <v>0</v>
      </c>
      <c r="I20" s="7">
        <f>IF($A20="","",IF($B20="Einkommen",SUMIFS(Buchungen!$J$6:$J$330,Buchungen!$C$6:$C$330,$A20,Buchungen!$H$6:$H$330,I$4,Buchungen!$I$6:$I$330,$B$1),-SUMIFS(Buchungen!$J$6:$J$330,Buchungen!$C$6:$C$330,$A20,Buchungen!$H$6:$H$330,I$4,Buchungen!$I$6:$I$330,$B$1)))</f>
        <v>0</v>
      </c>
      <c r="J20" s="7">
        <f>IF($A20="","",IF($B20="Einkommen",SUMIFS(Buchungen!$J$6:$J$330,Buchungen!$C$6:$C$330,$A20,Buchungen!$H$6:$H$330,J$4,Buchungen!$I$6:$I$330,$B$1),-SUMIFS(Buchungen!$J$6:$J$330,Buchungen!$C$6:$C$330,$A20,Buchungen!$H$6:$H$330,J$4,Buchungen!$I$6:$I$330,$B$1)))</f>
        <v>450</v>
      </c>
      <c r="K20" s="7">
        <f>IF($A20="","",IF($B20="Einkommen",SUMIFS(Buchungen!$J$6:$J$330,Buchungen!$C$6:$C$330,$A20,Buchungen!$H$6:$H$330,K$4,Buchungen!$I$6:$I$330,$B$1),-SUMIFS(Buchungen!$J$6:$J$330,Buchungen!$C$6:$C$330,$A20,Buchungen!$H$6:$H$330,K$4,Buchungen!$I$6:$I$330,$B$1)))</f>
        <v>0</v>
      </c>
      <c r="L20" s="7">
        <f>IF($A20="","",IF($B20="Einkommen",SUMIFS(Buchungen!$J$6:$J$330,Buchungen!$C$6:$C$330,$A20,Buchungen!$H$6:$H$330,L$4,Buchungen!$I$6:$I$330,$B$1),-SUMIFS(Buchungen!$J$6:$J$330,Buchungen!$C$6:$C$330,$A20,Buchungen!$H$6:$H$330,L$4,Buchungen!$I$6:$I$330,$B$1)))</f>
        <v>620</v>
      </c>
      <c r="M20" s="7">
        <f>IF($A20="","",IF($B20="Einkommen",SUMIFS(Buchungen!$J$6:$J$330,Buchungen!$C$6:$C$330,$A20,Buchungen!$H$6:$H$330,M$4,Buchungen!$I$6:$I$330,$B$1),-SUMIFS(Buchungen!$J$6:$J$330,Buchungen!$C$6:$C$330,$A20,Buchungen!$H$6:$H$330,M$4,Buchungen!$I$6:$I$330,$B$1)))</f>
        <v>0</v>
      </c>
      <c r="N20" s="7">
        <f>IF($A20="","",IF($B20="Einkommen",SUMIFS(Buchungen!$J$6:$J$330,Buchungen!$C$6:$C$330,$A20,Buchungen!$H$6:$H$330,N$4,Buchungen!$I$6:$I$330,$B$1),-SUMIFS(Buchungen!$J$6:$J$330,Buchungen!$C$6:$C$330,$A20,Buchungen!$H$6:$H$330,N$4,Buchungen!$I$6:$I$330,$B$1)))</f>
        <v>0</v>
      </c>
      <c r="O20" s="7">
        <f>IF($A20="","",IF($B20="Einkommen",SUMIFS(Buchungen!$J$6:$J$330,Buchungen!$C$6:$C$330,$A20,Buchungen!$H$6:$H$330,O$4,Buchungen!$I$6:$I$330,$B$1),-SUMIFS(Buchungen!$J$6:$J$330,Buchungen!$C$6:$C$330,$A20,Buchungen!$H$6:$H$330,O$4,Buchungen!$I$6:$I$330,$B$1)))</f>
        <v>0</v>
      </c>
      <c r="P20" s="7">
        <f>IF($A20="","",IF($B20="Einkommen",SUMIFS(Buchungen!$J$6:$J$330,Buchungen!$C$6:$C$330,$A20,Buchungen!$H$6:$H$330,P$4,Buchungen!$I$6:$I$330,$B$1),-SUMIFS(Buchungen!$J$6:$J$330,Buchungen!$C$6:$C$330,$A20,Buchungen!$H$6:$H$330,P$4,Buchungen!$I$6:$I$330,$B$1)))</f>
        <v>0</v>
      </c>
      <c r="Q20" s="7">
        <f t="shared" si="1"/>
        <v>1070</v>
      </c>
      <c r="R20" s="7">
        <f t="shared" si="2"/>
        <v>1210</v>
      </c>
      <c r="S20" s="2" t="str">
        <f t="shared" si="3"/>
        <v>im Plan</v>
      </c>
      <c r="T20" s="2"/>
      <c r="U20" s="2"/>
      <c r="V20" s="2"/>
      <c r="W20" s="2"/>
      <c r="X20" s="2"/>
      <c r="Y20" s="2"/>
      <c r="Z20" s="2"/>
    </row>
    <row r="21" spans="1:26" x14ac:dyDescent="0.25">
      <c r="A21" s="2" t="s">
        <v>40</v>
      </c>
      <c r="B21" s="2" t="s">
        <v>21</v>
      </c>
      <c r="C21" s="6">
        <v>65</v>
      </c>
      <c r="D21" s="7">
        <f t="shared" si="0"/>
        <v>780</v>
      </c>
      <c r="E21" s="7">
        <f>IF($A21="","",IF($B21="Einkommen",SUMIFS(Buchungen!$J$6:$J$330,Buchungen!$C$6:$C$330,$A21,Buchungen!$H$6:$H$330,E$4,Buchungen!$I$6:$I$330,$B$1),-SUMIFS(Buchungen!$J$6:$J$330,Buchungen!$C$6:$C$330,$A21,Buchungen!$H$6:$H$330,E$4,Buchungen!$I$6:$I$330,$B$1)))</f>
        <v>0</v>
      </c>
      <c r="F21" s="7">
        <f>IF($A21="","",IF($B21="Einkommen",SUMIFS(Buchungen!$J$6:$J$330,Buchungen!$C$6:$C$330,$A21,Buchungen!$H$6:$H$330,F$4,Buchungen!$I$6:$I$330,$B$1),-SUMIFS(Buchungen!$J$6:$J$330,Buchungen!$C$6:$C$330,$A21,Buchungen!$H$6:$H$330,F$4,Buchungen!$I$6:$I$330,$B$1)))</f>
        <v>55</v>
      </c>
      <c r="G21" s="7">
        <f>IF($A21="","",IF($B21="Einkommen",SUMIFS(Buchungen!$J$6:$J$330,Buchungen!$C$6:$C$330,$A21,Buchungen!$H$6:$H$330,G$4,Buchungen!$I$6:$I$330,$B$1),-SUMIFS(Buchungen!$J$6:$J$330,Buchungen!$C$6:$C$330,$A21,Buchungen!$H$6:$H$330,G$4,Buchungen!$I$6:$I$330,$B$1)))</f>
        <v>0</v>
      </c>
      <c r="H21" s="7">
        <f>IF($A21="","",IF($B21="Einkommen",SUMIFS(Buchungen!$J$6:$J$330,Buchungen!$C$6:$C$330,$A21,Buchungen!$H$6:$H$330,H$4,Buchungen!$I$6:$I$330,$B$1),-SUMIFS(Buchungen!$J$6:$J$330,Buchungen!$C$6:$C$330,$A21,Buchungen!$H$6:$H$330,H$4,Buchungen!$I$6:$I$330,$B$1)))</f>
        <v>0</v>
      </c>
      <c r="I21" s="7">
        <f>IF($A21="","",IF($B21="Einkommen",SUMIFS(Buchungen!$J$6:$J$330,Buchungen!$C$6:$C$330,$A21,Buchungen!$H$6:$H$330,I$4,Buchungen!$I$6:$I$330,$B$1),-SUMIFS(Buchungen!$J$6:$J$330,Buchungen!$C$6:$C$330,$A21,Buchungen!$H$6:$H$330,I$4,Buchungen!$I$6:$I$330,$B$1)))</f>
        <v>72</v>
      </c>
      <c r="J21" s="7">
        <f>IF($A21="","",IF($B21="Einkommen",SUMIFS(Buchungen!$J$6:$J$330,Buchungen!$C$6:$C$330,$A21,Buchungen!$H$6:$H$330,J$4,Buchungen!$I$6:$I$330,$B$1),-SUMIFS(Buchungen!$J$6:$J$330,Buchungen!$C$6:$C$330,$A21,Buchungen!$H$6:$H$330,J$4,Buchungen!$I$6:$I$330,$B$1)))</f>
        <v>0</v>
      </c>
      <c r="K21" s="7">
        <f>IF($A21="","",IF($B21="Einkommen",SUMIFS(Buchungen!$J$6:$J$330,Buchungen!$C$6:$C$330,$A21,Buchungen!$H$6:$H$330,K$4,Buchungen!$I$6:$I$330,$B$1),-SUMIFS(Buchungen!$J$6:$J$330,Buchungen!$C$6:$C$330,$A21,Buchungen!$H$6:$H$330,K$4,Buchungen!$I$6:$I$330,$B$1)))</f>
        <v>0</v>
      </c>
      <c r="L21" s="7">
        <f>IF($A21="","",IF($B21="Einkommen",SUMIFS(Buchungen!$J$6:$J$330,Buchungen!$C$6:$C$330,$A21,Buchungen!$H$6:$H$330,L$4,Buchungen!$I$6:$I$330,$B$1),-SUMIFS(Buchungen!$J$6:$J$330,Buchungen!$C$6:$C$330,$A21,Buchungen!$H$6:$H$330,L$4,Buchungen!$I$6:$I$330,$B$1)))</f>
        <v>0</v>
      </c>
      <c r="M21" s="7">
        <f>IF($A21="","",IF($B21="Einkommen",SUMIFS(Buchungen!$J$6:$J$330,Buchungen!$C$6:$C$330,$A21,Buchungen!$H$6:$H$330,M$4,Buchungen!$I$6:$I$330,$B$1),-SUMIFS(Buchungen!$J$6:$J$330,Buchungen!$C$6:$C$330,$A21,Buchungen!$H$6:$H$330,M$4,Buchungen!$I$6:$I$330,$B$1)))</f>
        <v>65</v>
      </c>
      <c r="N21" s="7">
        <f>IF($A21="","",IF($B21="Einkommen",SUMIFS(Buchungen!$J$6:$J$330,Buchungen!$C$6:$C$330,$A21,Buchungen!$H$6:$H$330,N$4,Buchungen!$I$6:$I$330,$B$1),-SUMIFS(Buchungen!$J$6:$J$330,Buchungen!$C$6:$C$330,$A21,Buchungen!$H$6:$H$330,N$4,Buchungen!$I$6:$I$330,$B$1)))</f>
        <v>0</v>
      </c>
      <c r="O21" s="7">
        <f>IF($A21="","",IF($B21="Einkommen",SUMIFS(Buchungen!$J$6:$J$330,Buchungen!$C$6:$C$330,$A21,Buchungen!$H$6:$H$330,O$4,Buchungen!$I$6:$I$330,$B$1),-SUMIFS(Buchungen!$J$6:$J$330,Buchungen!$C$6:$C$330,$A21,Buchungen!$H$6:$H$330,O$4,Buchungen!$I$6:$I$330,$B$1)))</f>
        <v>0</v>
      </c>
      <c r="P21" s="7">
        <f>IF($A21="","",IF($B21="Einkommen",SUMIFS(Buchungen!$J$6:$J$330,Buchungen!$C$6:$C$330,$A21,Buchungen!$H$6:$H$330,P$4,Buchungen!$I$6:$I$330,$B$1),-SUMIFS(Buchungen!$J$6:$J$330,Buchungen!$C$6:$C$330,$A21,Buchungen!$H$6:$H$330,P$4,Buchungen!$I$6:$I$330,$B$1)))</f>
        <v>88</v>
      </c>
      <c r="Q21" s="7">
        <f t="shared" si="1"/>
        <v>280</v>
      </c>
      <c r="R21" s="7">
        <f t="shared" si="2"/>
        <v>500</v>
      </c>
      <c r="S21" s="2" t="str">
        <f t="shared" si="3"/>
        <v>im Plan</v>
      </c>
      <c r="T21" s="2"/>
      <c r="U21" s="2"/>
      <c r="V21" s="2"/>
      <c r="W21" s="2"/>
      <c r="X21" s="2"/>
      <c r="Y21" s="2"/>
      <c r="Z21" s="2"/>
    </row>
    <row r="22" spans="1:26" x14ac:dyDescent="0.25">
      <c r="A22" s="2" t="s">
        <v>42</v>
      </c>
      <c r="B22" s="2" t="s">
        <v>21</v>
      </c>
      <c r="C22" s="6">
        <v>55</v>
      </c>
      <c r="D22" s="7">
        <f t="shared" si="0"/>
        <v>660</v>
      </c>
      <c r="E22" s="7">
        <f>IF($A22="","",IF($B22="Einkommen",SUMIFS(Buchungen!$J$6:$J$330,Buchungen!$C$6:$C$330,$A22,Buchungen!$H$6:$H$330,E$4,Buchungen!$I$6:$I$330,$B$1),-SUMIFS(Buchungen!$J$6:$J$330,Buchungen!$C$6:$C$330,$A22,Buchungen!$H$6:$H$330,E$4,Buchungen!$I$6:$I$330,$B$1)))</f>
        <v>0</v>
      </c>
      <c r="F22" s="7">
        <f>IF($A22="","",IF($B22="Einkommen",SUMIFS(Buchungen!$J$6:$J$330,Buchungen!$C$6:$C$330,$A22,Buchungen!$H$6:$H$330,F$4,Buchungen!$I$6:$I$330,$B$1),-SUMIFS(Buchungen!$J$6:$J$330,Buchungen!$C$6:$C$330,$A22,Buchungen!$H$6:$H$330,F$4,Buchungen!$I$6:$I$330,$B$1)))</f>
        <v>0</v>
      </c>
      <c r="G22" s="7">
        <f>IF($A22="","",IF($B22="Einkommen",SUMIFS(Buchungen!$J$6:$J$330,Buchungen!$C$6:$C$330,$A22,Buchungen!$H$6:$H$330,G$4,Buchungen!$I$6:$I$330,$B$1),-SUMIFS(Buchungen!$J$6:$J$330,Buchungen!$C$6:$C$330,$A22,Buchungen!$H$6:$H$330,G$4,Buchungen!$I$6:$I$330,$B$1)))</f>
        <v>60</v>
      </c>
      <c r="H22" s="7">
        <f>IF($A22="","",IF($B22="Einkommen",SUMIFS(Buchungen!$J$6:$J$330,Buchungen!$C$6:$C$330,$A22,Buchungen!$H$6:$H$330,H$4,Buchungen!$I$6:$I$330,$B$1),-SUMIFS(Buchungen!$J$6:$J$330,Buchungen!$C$6:$C$330,$A22,Buchungen!$H$6:$H$330,H$4,Buchungen!$I$6:$I$330,$B$1)))</f>
        <v>0</v>
      </c>
      <c r="I22" s="7">
        <f>IF($A22="","",IF($B22="Einkommen",SUMIFS(Buchungen!$J$6:$J$330,Buchungen!$C$6:$C$330,$A22,Buchungen!$H$6:$H$330,I$4,Buchungen!$I$6:$I$330,$B$1),-SUMIFS(Buchungen!$J$6:$J$330,Buchungen!$C$6:$C$330,$A22,Buchungen!$H$6:$H$330,I$4,Buchungen!$I$6:$I$330,$B$1)))</f>
        <v>0</v>
      </c>
      <c r="J22" s="7">
        <f>IF($A22="","",IF($B22="Einkommen",SUMIFS(Buchungen!$J$6:$J$330,Buchungen!$C$6:$C$330,$A22,Buchungen!$H$6:$H$330,J$4,Buchungen!$I$6:$I$330,$B$1),-SUMIFS(Buchungen!$J$6:$J$330,Buchungen!$C$6:$C$330,$A22,Buchungen!$H$6:$H$330,J$4,Buchungen!$I$6:$I$330,$B$1)))</f>
        <v>0</v>
      </c>
      <c r="K22" s="7">
        <f>IF($A22="","",IF($B22="Einkommen",SUMIFS(Buchungen!$J$6:$J$330,Buchungen!$C$6:$C$330,$A22,Buchungen!$H$6:$H$330,K$4,Buchungen!$I$6:$I$330,$B$1),-SUMIFS(Buchungen!$J$6:$J$330,Buchungen!$C$6:$C$330,$A22,Buchungen!$H$6:$H$330,K$4,Buchungen!$I$6:$I$330,$B$1)))</f>
        <v>90</v>
      </c>
      <c r="L22" s="7">
        <f>IF($A22="","",IF($B22="Einkommen",SUMIFS(Buchungen!$J$6:$J$330,Buchungen!$C$6:$C$330,$A22,Buchungen!$H$6:$H$330,L$4,Buchungen!$I$6:$I$330,$B$1),-SUMIFS(Buchungen!$J$6:$J$330,Buchungen!$C$6:$C$330,$A22,Buchungen!$H$6:$H$330,L$4,Buchungen!$I$6:$I$330,$B$1)))</f>
        <v>0</v>
      </c>
      <c r="M22" s="7">
        <f>IF($A22="","",IF($B22="Einkommen",SUMIFS(Buchungen!$J$6:$J$330,Buchungen!$C$6:$C$330,$A22,Buchungen!$H$6:$H$330,M$4,Buchungen!$I$6:$I$330,$B$1),-SUMIFS(Buchungen!$J$6:$J$330,Buchungen!$C$6:$C$330,$A22,Buchungen!$H$6:$H$330,M$4,Buchungen!$I$6:$I$330,$B$1)))</f>
        <v>0</v>
      </c>
      <c r="N22" s="7">
        <f>IF($A22="","",IF($B22="Einkommen",SUMIFS(Buchungen!$J$6:$J$330,Buchungen!$C$6:$C$330,$A22,Buchungen!$H$6:$H$330,N$4,Buchungen!$I$6:$I$330,$B$1),-SUMIFS(Buchungen!$J$6:$J$330,Buchungen!$C$6:$C$330,$A22,Buchungen!$H$6:$H$330,N$4,Buchungen!$I$6:$I$330,$B$1)))</f>
        <v>0</v>
      </c>
      <c r="O22" s="7">
        <f>IF($A22="","",IF($B22="Einkommen",SUMIFS(Buchungen!$J$6:$J$330,Buchungen!$C$6:$C$330,$A22,Buchungen!$H$6:$H$330,O$4,Buchungen!$I$6:$I$330,$B$1),-SUMIFS(Buchungen!$J$6:$J$330,Buchungen!$C$6:$C$330,$A22,Buchungen!$H$6:$H$330,O$4,Buchungen!$I$6:$I$330,$B$1)))</f>
        <v>0</v>
      </c>
      <c r="P22" s="7">
        <f>IF($A22="","",IF($B22="Einkommen",SUMIFS(Buchungen!$J$6:$J$330,Buchungen!$C$6:$C$330,$A22,Buchungen!$H$6:$H$330,P$4,Buchungen!$I$6:$I$330,$B$1),-SUMIFS(Buchungen!$J$6:$J$330,Buchungen!$C$6:$C$330,$A22,Buchungen!$H$6:$H$330,P$4,Buchungen!$I$6:$I$330,$B$1)))</f>
        <v>150</v>
      </c>
      <c r="Q22" s="7">
        <f t="shared" si="1"/>
        <v>300</v>
      </c>
      <c r="R22" s="7">
        <f t="shared" si="2"/>
        <v>360</v>
      </c>
      <c r="S22" s="2" t="str">
        <f t="shared" si="3"/>
        <v>im Plan</v>
      </c>
      <c r="T22" s="2"/>
      <c r="U22" s="2"/>
      <c r="V22" s="2"/>
      <c r="W22" s="2"/>
      <c r="X22" s="2"/>
      <c r="Y22" s="2"/>
      <c r="Z22" s="2"/>
    </row>
    <row r="23" spans="1:26" x14ac:dyDescent="0.25">
      <c r="A23" s="2" t="s">
        <v>45</v>
      </c>
      <c r="B23" s="2" t="s">
        <v>24</v>
      </c>
      <c r="C23" s="6">
        <v>250</v>
      </c>
      <c r="D23" s="7">
        <f t="shared" si="0"/>
        <v>3000</v>
      </c>
      <c r="E23" s="7">
        <f>IF($A23="","",IF($B23="Einkommen",SUMIFS(Buchungen!$J$6:$J$330,Buchungen!$C$6:$C$330,$A23,Buchungen!$H$6:$H$330,E$4,Buchungen!$I$6:$I$330,$B$1),-SUMIFS(Buchungen!$J$6:$J$330,Buchungen!$C$6:$C$330,$A23,Buchungen!$H$6:$H$330,E$4,Buchungen!$I$6:$I$330,$B$1)))</f>
        <v>250</v>
      </c>
      <c r="F23" s="7">
        <f>IF($A23="","",IF($B23="Einkommen",SUMIFS(Buchungen!$J$6:$J$330,Buchungen!$C$6:$C$330,$A23,Buchungen!$H$6:$H$330,F$4,Buchungen!$I$6:$I$330,$B$1),-SUMIFS(Buchungen!$J$6:$J$330,Buchungen!$C$6:$C$330,$A23,Buchungen!$H$6:$H$330,F$4,Buchungen!$I$6:$I$330,$B$1)))</f>
        <v>250</v>
      </c>
      <c r="G23" s="7">
        <f>IF($A23="","",IF($B23="Einkommen",SUMIFS(Buchungen!$J$6:$J$330,Buchungen!$C$6:$C$330,$A23,Buchungen!$H$6:$H$330,G$4,Buchungen!$I$6:$I$330,$B$1),-SUMIFS(Buchungen!$J$6:$J$330,Buchungen!$C$6:$C$330,$A23,Buchungen!$H$6:$H$330,G$4,Buchungen!$I$6:$I$330,$B$1)))</f>
        <v>250</v>
      </c>
      <c r="H23" s="7">
        <f>IF($A23="","",IF($B23="Einkommen",SUMIFS(Buchungen!$J$6:$J$330,Buchungen!$C$6:$C$330,$A23,Buchungen!$H$6:$H$330,H$4,Buchungen!$I$6:$I$330,$B$1),-SUMIFS(Buchungen!$J$6:$J$330,Buchungen!$C$6:$C$330,$A23,Buchungen!$H$6:$H$330,H$4,Buchungen!$I$6:$I$330,$B$1)))</f>
        <v>250</v>
      </c>
      <c r="I23" s="7">
        <f>IF($A23="","",IF($B23="Einkommen",SUMIFS(Buchungen!$J$6:$J$330,Buchungen!$C$6:$C$330,$A23,Buchungen!$H$6:$H$330,I$4,Buchungen!$I$6:$I$330,$B$1),-SUMIFS(Buchungen!$J$6:$J$330,Buchungen!$C$6:$C$330,$A23,Buchungen!$H$6:$H$330,I$4,Buchungen!$I$6:$I$330,$B$1)))</f>
        <v>250</v>
      </c>
      <c r="J23" s="7">
        <f>IF($A23="","",IF($B23="Einkommen",SUMIFS(Buchungen!$J$6:$J$330,Buchungen!$C$6:$C$330,$A23,Buchungen!$H$6:$H$330,J$4,Buchungen!$I$6:$I$330,$B$1),-SUMIFS(Buchungen!$J$6:$J$330,Buchungen!$C$6:$C$330,$A23,Buchungen!$H$6:$H$330,J$4,Buchungen!$I$6:$I$330,$B$1)))</f>
        <v>250</v>
      </c>
      <c r="K23" s="7">
        <f>IF($A23="","",IF($B23="Einkommen",SUMIFS(Buchungen!$J$6:$J$330,Buchungen!$C$6:$C$330,$A23,Buchungen!$H$6:$H$330,K$4,Buchungen!$I$6:$I$330,$B$1),-SUMIFS(Buchungen!$J$6:$J$330,Buchungen!$C$6:$C$330,$A23,Buchungen!$H$6:$H$330,K$4,Buchungen!$I$6:$I$330,$B$1)))</f>
        <v>250</v>
      </c>
      <c r="L23" s="7">
        <f>IF($A23="","",IF($B23="Einkommen",SUMIFS(Buchungen!$J$6:$J$330,Buchungen!$C$6:$C$330,$A23,Buchungen!$H$6:$H$330,L$4,Buchungen!$I$6:$I$330,$B$1),-SUMIFS(Buchungen!$J$6:$J$330,Buchungen!$C$6:$C$330,$A23,Buchungen!$H$6:$H$330,L$4,Buchungen!$I$6:$I$330,$B$1)))</f>
        <v>250</v>
      </c>
      <c r="M23" s="7">
        <f>IF($A23="","",IF($B23="Einkommen",SUMIFS(Buchungen!$J$6:$J$330,Buchungen!$C$6:$C$330,$A23,Buchungen!$H$6:$H$330,M$4,Buchungen!$I$6:$I$330,$B$1),-SUMIFS(Buchungen!$J$6:$J$330,Buchungen!$C$6:$C$330,$A23,Buchungen!$H$6:$H$330,M$4,Buchungen!$I$6:$I$330,$B$1)))</f>
        <v>250</v>
      </c>
      <c r="N23" s="7">
        <f>IF($A23="","",IF($B23="Einkommen",SUMIFS(Buchungen!$J$6:$J$330,Buchungen!$C$6:$C$330,$A23,Buchungen!$H$6:$H$330,N$4,Buchungen!$I$6:$I$330,$B$1),-SUMIFS(Buchungen!$J$6:$J$330,Buchungen!$C$6:$C$330,$A23,Buchungen!$H$6:$H$330,N$4,Buchungen!$I$6:$I$330,$B$1)))</f>
        <v>150</v>
      </c>
      <c r="O23" s="7">
        <f>IF($A23="","",IF($B23="Einkommen",SUMIFS(Buchungen!$J$6:$J$330,Buchungen!$C$6:$C$330,$A23,Buchungen!$H$6:$H$330,O$4,Buchungen!$I$6:$I$330,$B$1),-SUMIFS(Buchungen!$J$6:$J$330,Buchungen!$C$6:$C$330,$A23,Buchungen!$H$6:$H$330,O$4,Buchungen!$I$6:$I$330,$B$1)))</f>
        <v>150</v>
      </c>
      <c r="P23" s="7">
        <f>IF($A23="","",IF($B23="Einkommen",SUMIFS(Buchungen!$J$6:$J$330,Buchungen!$C$6:$C$330,$A23,Buchungen!$H$6:$H$330,P$4,Buchungen!$I$6:$I$330,$B$1),-SUMIFS(Buchungen!$J$6:$J$330,Buchungen!$C$6:$C$330,$A23,Buchungen!$H$6:$H$330,P$4,Buchungen!$I$6:$I$330,$B$1)))</f>
        <v>150</v>
      </c>
      <c r="Q23" s="7">
        <f t="shared" si="1"/>
        <v>2700</v>
      </c>
      <c r="R23" s="7">
        <f t="shared" si="2"/>
        <v>-300</v>
      </c>
      <c r="S23" s="2" t="str">
        <f t="shared" si="3"/>
        <v>prüfen</v>
      </c>
      <c r="T23" s="2"/>
      <c r="U23" s="2"/>
      <c r="V23" s="2"/>
      <c r="W23" s="2"/>
      <c r="X23" s="2"/>
      <c r="Y23" s="2"/>
      <c r="Z23" s="2"/>
    </row>
    <row r="24" spans="1:26" x14ac:dyDescent="0.25">
      <c r="A24" s="2" t="s">
        <v>47</v>
      </c>
      <c r="B24" s="2" t="s">
        <v>24</v>
      </c>
      <c r="C24" s="6">
        <v>350</v>
      </c>
      <c r="D24" s="7">
        <f t="shared" si="0"/>
        <v>4200</v>
      </c>
      <c r="E24" s="7">
        <f>IF($A24="","",IF($B24="Einkommen",SUMIFS(Buchungen!$J$6:$J$330,Buchungen!$C$6:$C$330,$A24,Buchungen!$H$6:$H$330,E$4,Buchungen!$I$6:$I$330,$B$1),-SUMIFS(Buchungen!$J$6:$J$330,Buchungen!$C$6:$C$330,$A24,Buchungen!$H$6:$H$330,E$4,Buchungen!$I$6:$I$330,$B$1)))</f>
        <v>350</v>
      </c>
      <c r="F24" s="7">
        <f>IF($A24="","",IF($B24="Einkommen",SUMIFS(Buchungen!$J$6:$J$330,Buchungen!$C$6:$C$330,$A24,Buchungen!$H$6:$H$330,F$4,Buchungen!$I$6:$I$330,$B$1),-SUMIFS(Buchungen!$J$6:$J$330,Buchungen!$C$6:$C$330,$A24,Buchungen!$H$6:$H$330,F$4,Buchungen!$I$6:$I$330,$B$1)))</f>
        <v>350</v>
      </c>
      <c r="G24" s="7">
        <f>IF($A24="","",IF($B24="Einkommen",SUMIFS(Buchungen!$J$6:$J$330,Buchungen!$C$6:$C$330,$A24,Buchungen!$H$6:$H$330,G$4,Buchungen!$I$6:$I$330,$B$1),-SUMIFS(Buchungen!$J$6:$J$330,Buchungen!$C$6:$C$330,$A24,Buchungen!$H$6:$H$330,G$4,Buchungen!$I$6:$I$330,$B$1)))</f>
        <v>350</v>
      </c>
      <c r="H24" s="7">
        <f>IF($A24="","",IF($B24="Einkommen",SUMIFS(Buchungen!$J$6:$J$330,Buchungen!$C$6:$C$330,$A24,Buchungen!$H$6:$H$330,H$4,Buchungen!$I$6:$I$330,$B$1),-SUMIFS(Buchungen!$J$6:$J$330,Buchungen!$C$6:$C$330,$A24,Buchungen!$H$6:$H$330,H$4,Buchungen!$I$6:$I$330,$B$1)))</f>
        <v>350</v>
      </c>
      <c r="I24" s="7">
        <f>IF($A24="","",IF($B24="Einkommen",SUMIFS(Buchungen!$J$6:$J$330,Buchungen!$C$6:$C$330,$A24,Buchungen!$H$6:$H$330,I$4,Buchungen!$I$6:$I$330,$B$1),-SUMIFS(Buchungen!$J$6:$J$330,Buchungen!$C$6:$C$330,$A24,Buchungen!$H$6:$H$330,I$4,Buchungen!$I$6:$I$330,$B$1)))</f>
        <v>350</v>
      </c>
      <c r="J24" s="7">
        <f>IF($A24="","",IF($B24="Einkommen",SUMIFS(Buchungen!$J$6:$J$330,Buchungen!$C$6:$C$330,$A24,Buchungen!$H$6:$H$330,J$4,Buchungen!$I$6:$I$330,$B$1),-SUMIFS(Buchungen!$J$6:$J$330,Buchungen!$C$6:$C$330,$A24,Buchungen!$H$6:$H$330,J$4,Buchungen!$I$6:$I$330,$B$1)))</f>
        <v>350</v>
      </c>
      <c r="K24" s="7">
        <f>IF($A24="","",IF($B24="Einkommen",SUMIFS(Buchungen!$J$6:$J$330,Buchungen!$C$6:$C$330,$A24,Buchungen!$H$6:$H$330,K$4,Buchungen!$I$6:$I$330,$B$1),-SUMIFS(Buchungen!$J$6:$J$330,Buchungen!$C$6:$C$330,$A24,Buchungen!$H$6:$H$330,K$4,Buchungen!$I$6:$I$330,$B$1)))</f>
        <v>350</v>
      </c>
      <c r="L24" s="7">
        <f>IF($A24="","",IF($B24="Einkommen",SUMIFS(Buchungen!$J$6:$J$330,Buchungen!$C$6:$C$330,$A24,Buchungen!$H$6:$H$330,L$4,Buchungen!$I$6:$I$330,$B$1),-SUMIFS(Buchungen!$J$6:$J$330,Buchungen!$C$6:$C$330,$A24,Buchungen!$H$6:$H$330,L$4,Buchungen!$I$6:$I$330,$B$1)))</f>
        <v>350</v>
      </c>
      <c r="M24" s="7">
        <f>IF($A24="","",IF($B24="Einkommen",SUMIFS(Buchungen!$J$6:$J$330,Buchungen!$C$6:$C$330,$A24,Buchungen!$H$6:$H$330,M$4,Buchungen!$I$6:$I$330,$B$1),-SUMIFS(Buchungen!$J$6:$J$330,Buchungen!$C$6:$C$330,$A24,Buchungen!$H$6:$H$330,M$4,Buchungen!$I$6:$I$330,$B$1)))</f>
        <v>350</v>
      </c>
      <c r="N24" s="7">
        <f>IF($A24="","",IF($B24="Einkommen",SUMIFS(Buchungen!$J$6:$J$330,Buchungen!$C$6:$C$330,$A24,Buchungen!$H$6:$H$330,N$4,Buchungen!$I$6:$I$330,$B$1),-SUMIFS(Buchungen!$J$6:$J$330,Buchungen!$C$6:$C$330,$A24,Buchungen!$H$6:$H$330,N$4,Buchungen!$I$6:$I$330,$B$1)))</f>
        <v>350</v>
      </c>
      <c r="O24" s="7">
        <f>IF($A24="","",IF($B24="Einkommen",SUMIFS(Buchungen!$J$6:$J$330,Buchungen!$C$6:$C$330,$A24,Buchungen!$H$6:$H$330,O$4,Buchungen!$I$6:$I$330,$B$1),-SUMIFS(Buchungen!$J$6:$J$330,Buchungen!$C$6:$C$330,$A24,Buchungen!$H$6:$H$330,O$4,Buchungen!$I$6:$I$330,$B$1)))</f>
        <v>350</v>
      </c>
      <c r="P24" s="7">
        <f>IF($A24="","",IF($B24="Einkommen",SUMIFS(Buchungen!$J$6:$J$330,Buchungen!$C$6:$C$330,$A24,Buchungen!$H$6:$H$330,P$4,Buchungen!$I$6:$I$330,$B$1),-SUMIFS(Buchungen!$J$6:$J$330,Buchungen!$C$6:$C$330,$A24,Buchungen!$H$6:$H$330,P$4,Buchungen!$I$6:$I$330,$B$1)))</f>
        <v>350</v>
      </c>
      <c r="Q24" s="7">
        <f t="shared" si="1"/>
        <v>4200</v>
      </c>
      <c r="R24" s="7">
        <f t="shared" si="2"/>
        <v>0</v>
      </c>
      <c r="S24" s="2" t="str">
        <f t="shared" si="3"/>
        <v>im Plan</v>
      </c>
      <c r="T24" s="2"/>
      <c r="U24" s="2"/>
      <c r="V24" s="2"/>
      <c r="W24" s="2"/>
      <c r="X24" s="2"/>
      <c r="Y24" s="2"/>
      <c r="Z24" s="2"/>
    </row>
    <row r="25" spans="1:26" x14ac:dyDescent="0.25">
      <c r="A25" s="2" t="s">
        <v>49</v>
      </c>
      <c r="B25" s="2" t="s">
        <v>24</v>
      </c>
      <c r="C25" s="6">
        <v>150</v>
      </c>
      <c r="D25" s="7">
        <f t="shared" si="0"/>
        <v>1800</v>
      </c>
      <c r="E25" s="7">
        <f>IF($A25="","",IF($B25="Einkommen",SUMIFS(Buchungen!$J$6:$J$330,Buchungen!$C$6:$C$330,$A25,Buchungen!$H$6:$H$330,E$4,Buchungen!$I$6:$I$330,$B$1),-SUMIFS(Buchungen!$J$6:$J$330,Buchungen!$C$6:$C$330,$A25,Buchungen!$H$6:$H$330,E$4,Buchungen!$I$6:$I$330,$B$1)))</f>
        <v>150</v>
      </c>
      <c r="F25" s="7">
        <f>IF($A25="","",IF($B25="Einkommen",SUMIFS(Buchungen!$J$6:$J$330,Buchungen!$C$6:$C$330,$A25,Buchungen!$H$6:$H$330,F$4,Buchungen!$I$6:$I$330,$B$1),-SUMIFS(Buchungen!$J$6:$J$330,Buchungen!$C$6:$C$330,$A25,Buchungen!$H$6:$H$330,F$4,Buchungen!$I$6:$I$330,$B$1)))</f>
        <v>150</v>
      </c>
      <c r="G25" s="7">
        <f>IF($A25="","",IF($B25="Einkommen",SUMIFS(Buchungen!$J$6:$J$330,Buchungen!$C$6:$C$330,$A25,Buchungen!$H$6:$H$330,G$4,Buchungen!$I$6:$I$330,$B$1),-SUMIFS(Buchungen!$J$6:$J$330,Buchungen!$C$6:$C$330,$A25,Buchungen!$H$6:$H$330,G$4,Buchungen!$I$6:$I$330,$B$1)))</f>
        <v>150</v>
      </c>
      <c r="H25" s="7">
        <f>IF($A25="","",IF($B25="Einkommen",SUMIFS(Buchungen!$J$6:$J$330,Buchungen!$C$6:$C$330,$A25,Buchungen!$H$6:$H$330,H$4,Buchungen!$I$6:$I$330,$B$1),-SUMIFS(Buchungen!$J$6:$J$330,Buchungen!$C$6:$C$330,$A25,Buchungen!$H$6:$H$330,H$4,Buchungen!$I$6:$I$330,$B$1)))</f>
        <v>150</v>
      </c>
      <c r="I25" s="7">
        <f>IF($A25="","",IF($B25="Einkommen",SUMIFS(Buchungen!$J$6:$J$330,Buchungen!$C$6:$C$330,$A25,Buchungen!$H$6:$H$330,I$4,Buchungen!$I$6:$I$330,$B$1),-SUMIFS(Buchungen!$J$6:$J$330,Buchungen!$C$6:$C$330,$A25,Buchungen!$H$6:$H$330,I$4,Buchungen!$I$6:$I$330,$B$1)))</f>
        <v>150</v>
      </c>
      <c r="J25" s="7">
        <f>IF($A25="","",IF($B25="Einkommen",SUMIFS(Buchungen!$J$6:$J$330,Buchungen!$C$6:$C$330,$A25,Buchungen!$H$6:$H$330,J$4,Buchungen!$I$6:$I$330,$B$1),-SUMIFS(Buchungen!$J$6:$J$330,Buchungen!$C$6:$C$330,$A25,Buchungen!$H$6:$H$330,J$4,Buchungen!$I$6:$I$330,$B$1)))</f>
        <v>150</v>
      </c>
      <c r="K25" s="7">
        <f>IF($A25="","",IF($B25="Einkommen",SUMIFS(Buchungen!$J$6:$J$330,Buchungen!$C$6:$C$330,$A25,Buchungen!$H$6:$H$330,K$4,Buchungen!$I$6:$I$330,$B$1),-SUMIFS(Buchungen!$J$6:$J$330,Buchungen!$C$6:$C$330,$A25,Buchungen!$H$6:$H$330,K$4,Buchungen!$I$6:$I$330,$B$1)))</f>
        <v>150</v>
      </c>
      <c r="L25" s="7">
        <f>IF($A25="","",IF($B25="Einkommen",SUMIFS(Buchungen!$J$6:$J$330,Buchungen!$C$6:$C$330,$A25,Buchungen!$H$6:$H$330,L$4,Buchungen!$I$6:$I$330,$B$1),-SUMIFS(Buchungen!$J$6:$J$330,Buchungen!$C$6:$C$330,$A25,Buchungen!$H$6:$H$330,L$4,Buchungen!$I$6:$I$330,$B$1)))</f>
        <v>150</v>
      </c>
      <c r="M25" s="7">
        <f>IF($A25="","",IF($B25="Einkommen",SUMIFS(Buchungen!$J$6:$J$330,Buchungen!$C$6:$C$330,$A25,Buchungen!$H$6:$H$330,M$4,Buchungen!$I$6:$I$330,$B$1),-SUMIFS(Buchungen!$J$6:$J$330,Buchungen!$C$6:$C$330,$A25,Buchungen!$H$6:$H$330,M$4,Buchungen!$I$6:$I$330,$B$1)))</f>
        <v>150</v>
      </c>
      <c r="N25" s="7">
        <f>IF($A25="","",IF($B25="Einkommen",SUMIFS(Buchungen!$J$6:$J$330,Buchungen!$C$6:$C$330,$A25,Buchungen!$H$6:$H$330,N$4,Buchungen!$I$6:$I$330,$B$1),-SUMIFS(Buchungen!$J$6:$J$330,Buchungen!$C$6:$C$330,$A25,Buchungen!$H$6:$H$330,N$4,Buchungen!$I$6:$I$330,$B$1)))</f>
        <v>150</v>
      </c>
      <c r="O25" s="7">
        <f>IF($A25="","",IF($B25="Einkommen",SUMIFS(Buchungen!$J$6:$J$330,Buchungen!$C$6:$C$330,$A25,Buchungen!$H$6:$H$330,O$4,Buchungen!$I$6:$I$330,$B$1),-SUMIFS(Buchungen!$J$6:$J$330,Buchungen!$C$6:$C$330,$A25,Buchungen!$H$6:$H$330,O$4,Buchungen!$I$6:$I$330,$B$1)))</f>
        <v>150</v>
      </c>
      <c r="P25" s="7">
        <f>IF($A25="","",IF($B25="Einkommen",SUMIFS(Buchungen!$J$6:$J$330,Buchungen!$C$6:$C$330,$A25,Buchungen!$H$6:$H$330,P$4,Buchungen!$I$6:$I$330,$B$1),-SUMIFS(Buchungen!$J$6:$J$330,Buchungen!$C$6:$C$330,$A25,Buchungen!$H$6:$H$330,P$4,Buchungen!$I$6:$I$330,$B$1)))</f>
        <v>150</v>
      </c>
      <c r="Q25" s="7">
        <f t="shared" si="1"/>
        <v>1800</v>
      </c>
      <c r="R25" s="7">
        <f t="shared" si="2"/>
        <v>0</v>
      </c>
      <c r="S25" s="2" t="str">
        <f t="shared" si="3"/>
        <v>im Plan</v>
      </c>
      <c r="T25" s="2"/>
      <c r="U25" s="2"/>
      <c r="V25" s="2"/>
      <c r="W25" s="2"/>
      <c r="X25" s="2"/>
      <c r="Y25" s="2"/>
      <c r="Z25" s="2"/>
    </row>
    <row r="26" spans="1:26" x14ac:dyDescent="0.25">
      <c r="A26" s="2" t="s">
        <v>51</v>
      </c>
      <c r="B26" s="2" t="s">
        <v>24</v>
      </c>
      <c r="C26" s="6">
        <v>120</v>
      </c>
      <c r="D26" s="7">
        <f t="shared" si="0"/>
        <v>1440</v>
      </c>
      <c r="E26" s="7">
        <f>IF($A26="","",IF($B26="Einkommen",SUMIFS(Buchungen!$J$6:$J$330,Buchungen!$C$6:$C$330,$A26,Buchungen!$H$6:$H$330,E$4,Buchungen!$I$6:$I$330,$B$1),-SUMIFS(Buchungen!$J$6:$J$330,Buchungen!$C$6:$C$330,$A26,Buchungen!$H$6:$H$330,E$4,Buchungen!$I$6:$I$330,$B$1)))</f>
        <v>120</v>
      </c>
      <c r="F26" s="7">
        <f>IF($A26="","",IF($B26="Einkommen",SUMIFS(Buchungen!$J$6:$J$330,Buchungen!$C$6:$C$330,$A26,Buchungen!$H$6:$H$330,F$4,Buchungen!$I$6:$I$330,$B$1),-SUMIFS(Buchungen!$J$6:$J$330,Buchungen!$C$6:$C$330,$A26,Buchungen!$H$6:$H$330,F$4,Buchungen!$I$6:$I$330,$B$1)))</f>
        <v>120</v>
      </c>
      <c r="G26" s="7">
        <f>IF($A26="","",IF($B26="Einkommen",SUMIFS(Buchungen!$J$6:$J$330,Buchungen!$C$6:$C$330,$A26,Buchungen!$H$6:$H$330,G$4,Buchungen!$I$6:$I$330,$B$1),-SUMIFS(Buchungen!$J$6:$J$330,Buchungen!$C$6:$C$330,$A26,Buchungen!$H$6:$H$330,G$4,Buchungen!$I$6:$I$330,$B$1)))</f>
        <v>120</v>
      </c>
      <c r="H26" s="7">
        <f>IF($A26="","",IF($B26="Einkommen",SUMIFS(Buchungen!$J$6:$J$330,Buchungen!$C$6:$C$330,$A26,Buchungen!$H$6:$H$330,H$4,Buchungen!$I$6:$I$330,$B$1),-SUMIFS(Buchungen!$J$6:$J$330,Buchungen!$C$6:$C$330,$A26,Buchungen!$H$6:$H$330,H$4,Buchungen!$I$6:$I$330,$B$1)))</f>
        <v>120</v>
      </c>
      <c r="I26" s="7">
        <f>IF($A26="","",IF($B26="Einkommen",SUMIFS(Buchungen!$J$6:$J$330,Buchungen!$C$6:$C$330,$A26,Buchungen!$H$6:$H$330,I$4,Buchungen!$I$6:$I$330,$B$1),-SUMIFS(Buchungen!$J$6:$J$330,Buchungen!$C$6:$C$330,$A26,Buchungen!$H$6:$H$330,I$4,Buchungen!$I$6:$I$330,$B$1)))</f>
        <v>120</v>
      </c>
      <c r="J26" s="7">
        <f>IF($A26="","",IF($B26="Einkommen",SUMIFS(Buchungen!$J$6:$J$330,Buchungen!$C$6:$C$330,$A26,Buchungen!$H$6:$H$330,J$4,Buchungen!$I$6:$I$330,$B$1),-SUMIFS(Buchungen!$J$6:$J$330,Buchungen!$C$6:$C$330,$A26,Buchungen!$H$6:$H$330,J$4,Buchungen!$I$6:$I$330,$B$1)))</f>
        <v>120</v>
      </c>
      <c r="K26" s="7">
        <f>IF($A26="","",IF($B26="Einkommen",SUMIFS(Buchungen!$J$6:$J$330,Buchungen!$C$6:$C$330,$A26,Buchungen!$H$6:$H$330,K$4,Buchungen!$I$6:$I$330,$B$1),-SUMIFS(Buchungen!$J$6:$J$330,Buchungen!$C$6:$C$330,$A26,Buchungen!$H$6:$H$330,K$4,Buchungen!$I$6:$I$330,$B$1)))</f>
        <v>120</v>
      </c>
      <c r="L26" s="7">
        <f>IF($A26="","",IF($B26="Einkommen",SUMIFS(Buchungen!$J$6:$J$330,Buchungen!$C$6:$C$330,$A26,Buchungen!$H$6:$H$330,L$4,Buchungen!$I$6:$I$330,$B$1),-SUMIFS(Buchungen!$J$6:$J$330,Buchungen!$C$6:$C$330,$A26,Buchungen!$H$6:$H$330,L$4,Buchungen!$I$6:$I$330,$B$1)))</f>
        <v>120</v>
      </c>
      <c r="M26" s="7">
        <f>IF($A26="","",IF($B26="Einkommen",SUMIFS(Buchungen!$J$6:$J$330,Buchungen!$C$6:$C$330,$A26,Buchungen!$H$6:$H$330,M$4,Buchungen!$I$6:$I$330,$B$1),-SUMIFS(Buchungen!$J$6:$J$330,Buchungen!$C$6:$C$330,$A26,Buchungen!$H$6:$H$330,M$4,Buchungen!$I$6:$I$330,$B$1)))</f>
        <v>120</v>
      </c>
      <c r="N26" s="7">
        <f>IF($A26="","",IF($B26="Einkommen",SUMIFS(Buchungen!$J$6:$J$330,Buchungen!$C$6:$C$330,$A26,Buchungen!$H$6:$H$330,N$4,Buchungen!$I$6:$I$330,$B$1),-SUMIFS(Buchungen!$J$6:$J$330,Buchungen!$C$6:$C$330,$A26,Buchungen!$H$6:$H$330,N$4,Buchungen!$I$6:$I$330,$B$1)))</f>
        <v>120</v>
      </c>
      <c r="O26" s="7">
        <f>IF($A26="","",IF($B26="Einkommen",SUMIFS(Buchungen!$J$6:$J$330,Buchungen!$C$6:$C$330,$A26,Buchungen!$H$6:$H$330,O$4,Buchungen!$I$6:$I$330,$B$1),-SUMIFS(Buchungen!$J$6:$J$330,Buchungen!$C$6:$C$330,$A26,Buchungen!$H$6:$H$330,O$4,Buchungen!$I$6:$I$330,$B$1)))</f>
        <v>120</v>
      </c>
      <c r="P26" s="7">
        <f>IF($A26="","",IF($B26="Einkommen",SUMIFS(Buchungen!$J$6:$J$330,Buchungen!$C$6:$C$330,$A26,Buchungen!$H$6:$H$330,P$4,Buchungen!$I$6:$I$330,$B$1),-SUMIFS(Buchungen!$J$6:$J$330,Buchungen!$C$6:$C$330,$A26,Buchungen!$H$6:$H$330,P$4,Buchungen!$I$6:$I$330,$B$1)))</f>
        <v>120</v>
      </c>
      <c r="Q26" s="7">
        <f t="shared" si="1"/>
        <v>1440</v>
      </c>
      <c r="R26" s="7">
        <f t="shared" si="2"/>
        <v>0</v>
      </c>
      <c r="S26" s="2" t="str">
        <f t="shared" si="3"/>
        <v>im Plan</v>
      </c>
      <c r="T26" s="2"/>
      <c r="U26" s="2"/>
      <c r="V26" s="2"/>
      <c r="W26" s="2"/>
      <c r="X26" s="2"/>
      <c r="Y26" s="2"/>
      <c r="Z26" s="2"/>
    </row>
    <row r="27" spans="1:26" x14ac:dyDescent="0.25">
      <c r="A27" s="2" t="s">
        <v>53</v>
      </c>
      <c r="B27" s="2" t="s">
        <v>27</v>
      </c>
      <c r="C27" s="6">
        <v>180</v>
      </c>
      <c r="D27" s="7">
        <f t="shared" si="0"/>
        <v>2160</v>
      </c>
      <c r="E27" s="7">
        <f>IF($A27="","",IF($B27="Einkommen",SUMIFS(Buchungen!$J$6:$J$330,Buchungen!$C$6:$C$330,$A27,Buchungen!$H$6:$H$330,E$4,Buchungen!$I$6:$I$330,$B$1),-SUMIFS(Buchungen!$J$6:$J$330,Buchungen!$C$6:$C$330,$A27,Buchungen!$H$6:$H$330,E$4,Buchungen!$I$6:$I$330,$B$1)))</f>
        <v>180</v>
      </c>
      <c r="F27" s="7">
        <f>IF($A27="","",IF($B27="Einkommen",SUMIFS(Buchungen!$J$6:$J$330,Buchungen!$C$6:$C$330,$A27,Buchungen!$H$6:$H$330,F$4,Buchungen!$I$6:$I$330,$B$1),-SUMIFS(Buchungen!$J$6:$J$330,Buchungen!$C$6:$C$330,$A27,Buchungen!$H$6:$H$330,F$4,Buchungen!$I$6:$I$330,$B$1)))</f>
        <v>180</v>
      </c>
      <c r="G27" s="7">
        <f>IF($A27="","",IF($B27="Einkommen",SUMIFS(Buchungen!$J$6:$J$330,Buchungen!$C$6:$C$330,$A27,Buchungen!$H$6:$H$330,G$4,Buchungen!$I$6:$I$330,$B$1),-SUMIFS(Buchungen!$J$6:$J$330,Buchungen!$C$6:$C$330,$A27,Buchungen!$H$6:$H$330,G$4,Buchungen!$I$6:$I$330,$B$1)))</f>
        <v>180</v>
      </c>
      <c r="H27" s="7">
        <f>IF($A27="","",IF($B27="Einkommen",SUMIFS(Buchungen!$J$6:$J$330,Buchungen!$C$6:$C$330,$A27,Buchungen!$H$6:$H$330,H$4,Buchungen!$I$6:$I$330,$B$1),-SUMIFS(Buchungen!$J$6:$J$330,Buchungen!$C$6:$C$330,$A27,Buchungen!$H$6:$H$330,H$4,Buchungen!$I$6:$I$330,$B$1)))</f>
        <v>180</v>
      </c>
      <c r="I27" s="7">
        <f>IF($A27="","",IF($B27="Einkommen",SUMIFS(Buchungen!$J$6:$J$330,Buchungen!$C$6:$C$330,$A27,Buchungen!$H$6:$H$330,I$4,Buchungen!$I$6:$I$330,$B$1),-SUMIFS(Buchungen!$J$6:$J$330,Buchungen!$C$6:$C$330,$A27,Buchungen!$H$6:$H$330,I$4,Buchungen!$I$6:$I$330,$B$1)))</f>
        <v>180</v>
      </c>
      <c r="J27" s="7">
        <f>IF($A27="","",IF($B27="Einkommen",SUMIFS(Buchungen!$J$6:$J$330,Buchungen!$C$6:$C$330,$A27,Buchungen!$H$6:$H$330,J$4,Buchungen!$I$6:$I$330,$B$1),-SUMIFS(Buchungen!$J$6:$J$330,Buchungen!$C$6:$C$330,$A27,Buchungen!$H$6:$H$330,J$4,Buchungen!$I$6:$I$330,$B$1)))</f>
        <v>180</v>
      </c>
      <c r="K27" s="7">
        <f>IF($A27="","",IF($B27="Einkommen",SUMIFS(Buchungen!$J$6:$J$330,Buchungen!$C$6:$C$330,$A27,Buchungen!$H$6:$H$330,K$4,Buchungen!$I$6:$I$330,$B$1),-SUMIFS(Buchungen!$J$6:$J$330,Buchungen!$C$6:$C$330,$A27,Buchungen!$H$6:$H$330,K$4,Buchungen!$I$6:$I$330,$B$1)))</f>
        <v>180</v>
      </c>
      <c r="L27" s="7">
        <f>IF($A27="","",IF($B27="Einkommen",SUMIFS(Buchungen!$J$6:$J$330,Buchungen!$C$6:$C$330,$A27,Buchungen!$H$6:$H$330,L$4,Buchungen!$I$6:$I$330,$B$1),-SUMIFS(Buchungen!$J$6:$J$330,Buchungen!$C$6:$C$330,$A27,Buchungen!$H$6:$H$330,L$4,Buchungen!$I$6:$I$330,$B$1)))</f>
        <v>180</v>
      </c>
      <c r="M27" s="7">
        <f>IF($A27="","",IF($B27="Einkommen",SUMIFS(Buchungen!$J$6:$J$330,Buchungen!$C$6:$C$330,$A27,Buchungen!$H$6:$H$330,M$4,Buchungen!$I$6:$I$330,$B$1),-SUMIFS(Buchungen!$J$6:$J$330,Buchungen!$C$6:$C$330,$A27,Buchungen!$H$6:$H$330,M$4,Buchungen!$I$6:$I$330,$B$1)))</f>
        <v>180</v>
      </c>
      <c r="N27" s="7">
        <f>IF($A27="","",IF($B27="Einkommen",SUMIFS(Buchungen!$J$6:$J$330,Buchungen!$C$6:$C$330,$A27,Buchungen!$H$6:$H$330,N$4,Buchungen!$I$6:$I$330,$B$1),-SUMIFS(Buchungen!$J$6:$J$330,Buchungen!$C$6:$C$330,$A27,Buchungen!$H$6:$H$330,N$4,Buchungen!$I$6:$I$330,$B$1)))</f>
        <v>180</v>
      </c>
      <c r="O27" s="7">
        <f>IF($A27="","",IF($B27="Einkommen",SUMIFS(Buchungen!$J$6:$J$330,Buchungen!$C$6:$C$330,$A27,Buchungen!$H$6:$H$330,O$4,Buchungen!$I$6:$I$330,$B$1),-SUMIFS(Buchungen!$J$6:$J$330,Buchungen!$C$6:$C$330,$A27,Buchungen!$H$6:$H$330,O$4,Buchungen!$I$6:$I$330,$B$1)))</f>
        <v>180</v>
      </c>
      <c r="P27" s="7">
        <f>IF($A27="","",IF($B27="Einkommen",SUMIFS(Buchungen!$J$6:$J$330,Buchungen!$C$6:$C$330,$A27,Buchungen!$H$6:$H$330,P$4,Buchungen!$I$6:$I$330,$B$1),-SUMIFS(Buchungen!$J$6:$J$330,Buchungen!$C$6:$C$330,$A27,Buchungen!$H$6:$H$330,P$4,Buchungen!$I$6:$I$330,$B$1)))</f>
        <v>180</v>
      </c>
      <c r="Q27" s="7">
        <f t="shared" si="1"/>
        <v>2160</v>
      </c>
      <c r="R27" s="7">
        <f t="shared" si="2"/>
        <v>0</v>
      </c>
      <c r="S27" s="2" t="str">
        <f t="shared" si="3"/>
        <v>im Plan</v>
      </c>
      <c r="T27" s="2"/>
      <c r="U27" s="2"/>
      <c r="V27" s="2"/>
      <c r="W27" s="2"/>
      <c r="X27" s="2"/>
      <c r="Y27" s="2"/>
      <c r="Z27" s="2"/>
    </row>
    <row r="28" spans="1:26" x14ac:dyDescent="0.25">
      <c r="A28" s="2" t="s">
        <v>54</v>
      </c>
      <c r="B28" s="2" t="s">
        <v>27</v>
      </c>
      <c r="C28" s="6">
        <v>100</v>
      </c>
      <c r="D28" s="7">
        <f t="shared" si="0"/>
        <v>1200</v>
      </c>
      <c r="E28" s="7">
        <f>IF($A28="","",IF($B28="Einkommen",SUMIFS(Buchungen!$J$6:$J$330,Buchungen!$C$6:$C$330,$A28,Buchungen!$H$6:$H$330,E$4,Buchungen!$I$6:$I$330,$B$1),-SUMIFS(Buchungen!$J$6:$J$330,Buchungen!$C$6:$C$330,$A28,Buchungen!$H$6:$H$330,E$4,Buchungen!$I$6:$I$330,$B$1)))</f>
        <v>120</v>
      </c>
      <c r="F28" s="7">
        <f>IF($A28="","",IF($B28="Einkommen",SUMIFS(Buchungen!$J$6:$J$330,Buchungen!$C$6:$C$330,$A28,Buchungen!$H$6:$H$330,F$4,Buchungen!$I$6:$I$330,$B$1),-SUMIFS(Buchungen!$J$6:$J$330,Buchungen!$C$6:$C$330,$A28,Buchungen!$H$6:$H$330,F$4,Buchungen!$I$6:$I$330,$B$1)))</f>
        <v>120</v>
      </c>
      <c r="G28" s="7">
        <f>IF($A28="","",IF($B28="Einkommen",SUMIFS(Buchungen!$J$6:$J$330,Buchungen!$C$6:$C$330,$A28,Buchungen!$H$6:$H$330,G$4,Buchungen!$I$6:$I$330,$B$1),-SUMIFS(Buchungen!$J$6:$J$330,Buchungen!$C$6:$C$330,$A28,Buchungen!$H$6:$H$330,G$4,Buchungen!$I$6:$I$330,$B$1)))</f>
        <v>120</v>
      </c>
      <c r="H28" s="7">
        <f>IF($A28="","",IF($B28="Einkommen",SUMIFS(Buchungen!$J$6:$J$330,Buchungen!$C$6:$C$330,$A28,Buchungen!$H$6:$H$330,H$4,Buchungen!$I$6:$I$330,$B$1),-SUMIFS(Buchungen!$J$6:$J$330,Buchungen!$C$6:$C$330,$A28,Buchungen!$H$6:$H$330,H$4,Buchungen!$I$6:$I$330,$B$1)))</f>
        <v>120</v>
      </c>
      <c r="I28" s="7">
        <f>IF($A28="","",IF($B28="Einkommen",SUMIFS(Buchungen!$J$6:$J$330,Buchungen!$C$6:$C$330,$A28,Buchungen!$H$6:$H$330,I$4,Buchungen!$I$6:$I$330,$B$1),-SUMIFS(Buchungen!$J$6:$J$330,Buchungen!$C$6:$C$330,$A28,Buchungen!$H$6:$H$330,I$4,Buchungen!$I$6:$I$330,$B$1)))</f>
        <v>120</v>
      </c>
      <c r="J28" s="7">
        <f>IF($A28="","",IF($B28="Einkommen",SUMIFS(Buchungen!$J$6:$J$330,Buchungen!$C$6:$C$330,$A28,Buchungen!$H$6:$H$330,J$4,Buchungen!$I$6:$I$330,$B$1),-SUMIFS(Buchungen!$J$6:$J$330,Buchungen!$C$6:$C$330,$A28,Buchungen!$H$6:$H$330,J$4,Buchungen!$I$6:$I$330,$B$1)))</f>
        <v>120</v>
      </c>
      <c r="K28" s="7">
        <f>IF($A28="","",IF($B28="Einkommen",SUMIFS(Buchungen!$J$6:$J$330,Buchungen!$C$6:$C$330,$A28,Buchungen!$H$6:$H$330,K$4,Buchungen!$I$6:$I$330,$B$1),-SUMIFS(Buchungen!$J$6:$J$330,Buchungen!$C$6:$C$330,$A28,Buchungen!$H$6:$H$330,K$4,Buchungen!$I$6:$I$330,$B$1)))</f>
        <v>0</v>
      </c>
      <c r="L28" s="7">
        <f>IF($A28="","",IF($B28="Einkommen",SUMIFS(Buchungen!$J$6:$J$330,Buchungen!$C$6:$C$330,$A28,Buchungen!$H$6:$H$330,L$4,Buchungen!$I$6:$I$330,$B$1),-SUMIFS(Buchungen!$J$6:$J$330,Buchungen!$C$6:$C$330,$A28,Buchungen!$H$6:$H$330,L$4,Buchungen!$I$6:$I$330,$B$1)))</f>
        <v>0</v>
      </c>
      <c r="M28" s="7">
        <f>IF($A28="","",IF($B28="Einkommen",SUMIFS(Buchungen!$J$6:$J$330,Buchungen!$C$6:$C$330,$A28,Buchungen!$H$6:$H$330,M$4,Buchungen!$I$6:$I$330,$B$1),-SUMIFS(Buchungen!$J$6:$J$330,Buchungen!$C$6:$C$330,$A28,Buchungen!$H$6:$H$330,M$4,Buchungen!$I$6:$I$330,$B$1)))</f>
        <v>0</v>
      </c>
      <c r="N28" s="7">
        <f>IF($A28="","",IF($B28="Einkommen",SUMIFS(Buchungen!$J$6:$J$330,Buchungen!$C$6:$C$330,$A28,Buchungen!$H$6:$H$330,N$4,Buchungen!$I$6:$I$330,$B$1),-SUMIFS(Buchungen!$J$6:$J$330,Buchungen!$C$6:$C$330,$A28,Buchungen!$H$6:$H$330,N$4,Buchungen!$I$6:$I$330,$B$1)))</f>
        <v>0</v>
      </c>
      <c r="O28" s="7">
        <f>IF($A28="","",IF($B28="Einkommen",SUMIFS(Buchungen!$J$6:$J$330,Buchungen!$C$6:$C$330,$A28,Buchungen!$H$6:$H$330,O$4,Buchungen!$I$6:$I$330,$B$1),-SUMIFS(Buchungen!$J$6:$J$330,Buchungen!$C$6:$C$330,$A28,Buchungen!$H$6:$H$330,O$4,Buchungen!$I$6:$I$330,$B$1)))</f>
        <v>0</v>
      </c>
      <c r="P28" s="7">
        <f>IF($A28="","",IF($B28="Einkommen",SUMIFS(Buchungen!$J$6:$J$330,Buchungen!$C$6:$C$330,$A28,Buchungen!$H$6:$H$330,P$4,Buchungen!$I$6:$I$330,$B$1),-SUMIFS(Buchungen!$J$6:$J$330,Buchungen!$C$6:$C$330,$A28,Buchungen!$H$6:$H$330,P$4,Buchungen!$I$6:$I$330,$B$1)))</f>
        <v>0</v>
      </c>
      <c r="Q28" s="7">
        <f t="shared" si="1"/>
        <v>720</v>
      </c>
      <c r="R28" s="7">
        <f t="shared" si="2"/>
        <v>480</v>
      </c>
      <c r="S28" s="2" t="str">
        <f t="shared" si="3"/>
        <v>im Plan</v>
      </c>
      <c r="T28" s="2"/>
      <c r="U28" s="2"/>
      <c r="V28" s="2"/>
      <c r="W28" s="2"/>
      <c r="X28" s="2"/>
      <c r="Y28" s="2"/>
      <c r="Z28" s="2"/>
    </row>
    <row r="29" spans="1:26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5">
      <c r="A31" s="22" t="s">
        <v>84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2"/>
      <c r="U31" s="2"/>
      <c r="V31" s="2"/>
      <c r="W31" s="2"/>
      <c r="X31" s="2"/>
      <c r="Y31" s="2"/>
      <c r="Z31" s="2"/>
    </row>
    <row r="32" spans="1:26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0" x14ac:dyDescent="0.25">
      <c r="A33" s="1" t="s">
        <v>85</v>
      </c>
      <c r="B33" s="1" t="s">
        <v>86</v>
      </c>
      <c r="C33" s="1" t="s">
        <v>87</v>
      </c>
      <c r="D33" s="1" t="s">
        <v>88</v>
      </c>
      <c r="E33" s="1" t="s">
        <v>89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2" t="s">
        <v>15</v>
      </c>
      <c r="B34" s="7">
        <f>SUMIFS($C$6:$C$28,$B$6:$B$28,A34)</f>
        <v>3405</v>
      </c>
      <c r="C34" s="14">
        <f t="shared" ref="C34:C39" si="4">IFERROR(B34/$B$34,0)</f>
        <v>1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2" t="s">
        <v>18</v>
      </c>
      <c r="B35" s="7">
        <f>SUMIFS($C$6:$C$28,$B$6:$B$28,A35)</f>
        <v>2080</v>
      </c>
      <c r="C35" s="14">
        <f t="shared" si="4"/>
        <v>0.6108663729809104</v>
      </c>
      <c r="D35" s="2" t="s">
        <v>90</v>
      </c>
      <c r="E35" s="2" t="str">
        <f>IF(C35&lt;=50%,"ok","zu hoch")</f>
        <v>zu hoch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2" t="s">
        <v>21</v>
      </c>
      <c r="B36" s="7">
        <f>SUMIFS($C$6:$C$28,$B$6:$B$28,A36)</f>
        <v>700</v>
      </c>
      <c r="C36" s="14">
        <f t="shared" si="4"/>
        <v>0.20558002936857561</v>
      </c>
      <c r="D36" s="2" t="s">
        <v>91</v>
      </c>
      <c r="E36" s="2" t="str">
        <f>IF(C36&lt;=30%,"ok","prüfen")</f>
        <v>ok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5">
      <c r="A37" s="2" t="s">
        <v>24</v>
      </c>
      <c r="B37" s="7">
        <f>SUMIFS($C$6:$C$28,$B$6:$B$28,A37)</f>
        <v>870</v>
      </c>
      <c r="C37" s="14">
        <f t="shared" si="4"/>
        <v>0.25550660792951541</v>
      </c>
      <c r="D37" s="2" t="s">
        <v>92</v>
      </c>
      <c r="E37" s="2" t="str">
        <f>IF(C37&gt;=20%,"ok","erhöhen")</f>
        <v>ok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2" t="s">
        <v>27</v>
      </c>
      <c r="B38" s="7">
        <f>SUMIFS($C$6:$C$28,$B$6:$B$28,A38)</f>
        <v>280</v>
      </c>
      <c r="C38" s="14">
        <f t="shared" si="4"/>
        <v>8.223201174743025E-2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5">
      <c r="A39" s="2" t="s">
        <v>93</v>
      </c>
      <c r="B39" s="7">
        <f>$B$34-$B$35-$B$36-$B$37-$B$38</f>
        <v>-525</v>
      </c>
      <c r="C39" s="14">
        <f t="shared" si="4"/>
        <v>-0.15418502202643172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</sheetData>
  <mergeCells count="1">
    <mergeCell ref="A31:S31"/>
  </mergeCells>
  <conditionalFormatting sqref="R6:R28">
    <cfRule type="cellIs" dxfId="5" priority="3" operator="lessThan">
      <formula>0</formula>
    </cfRule>
    <cfRule type="expression" dxfId="4" priority="4">
      <formula>R6&gt;=0</formula>
    </cfRule>
  </conditionalFormatting>
  <conditionalFormatting sqref="S6:S28">
    <cfRule type="expression" dxfId="3" priority="1">
      <formula>$S6="prüfen"</formula>
    </cfRule>
    <cfRule type="expression" dxfId="2" priority="2">
      <formula>$S6="im Plan"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30"/>
  <sheetViews>
    <sheetView workbookViewId="0"/>
  </sheetViews>
  <sheetFormatPr baseColWidth="10" defaultColWidth="9" defaultRowHeight="15" x14ac:dyDescent="0.25"/>
  <cols>
    <col min="1" max="1" width="12" customWidth="1"/>
    <col min="2" max="2" width="18" customWidth="1"/>
    <col min="3" max="4" width="20" customWidth="1"/>
    <col min="5" max="5" width="15" customWidth="1"/>
    <col min="6" max="6" width="30" customWidth="1"/>
    <col min="7" max="7" width="14" customWidth="1"/>
    <col min="8" max="9" width="10" customWidth="1"/>
    <col min="10" max="10" width="14" customWidth="1"/>
    <col min="11" max="11" width="16" customWidth="1"/>
  </cols>
  <sheetData>
    <row r="1" spans="1:26" ht="16.5" x14ac:dyDescent="0.35">
      <c r="A1" s="23" t="s">
        <v>94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19" t="s">
        <v>95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1" t="s">
        <v>96</v>
      </c>
      <c r="B5" s="1" t="s">
        <v>97</v>
      </c>
      <c r="C5" s="1" t="s">
        <v>12</v>
      </c>
      <c r="D5" s="1" t="s">
        <v>98</v>
      </c>
      <c r="E5" s="1" t="s">
        <v>99</v>
      </c>
      <c r="F5" s="1" t="s">
        <v>100</v>
      </c>
      <c r="G5" s="1" t="s">
        <v>101</v>
      </c>
      <c r="H5" s="1" t="s">
        <v>5</v>
      </c>
      <c r="I5" s="1" t="s">
        <v>2</v>
      </c>
      <c r="J5" s="1" t="s">
        <v>102</v>
      </c>
      <c r="K5" s="1" t="s">
        <v>64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11">
        <v>46023</v>
      </c>
      <c r="B6" s="5" t="s">
        <v>103</v>
      </c>
      <c r="C6" s="5" t="s">
        <v>80</v>
      </c>
      <c r="D6" s="5" t="s">
        <v>104</v>
      </c>
      <c r="E6" s="5" t="s">
        <v>105</v>
      </c>
      <c r="F6" s="5" t="s">
        <v>106</v>
      </c>
      <c r="G6" s="6">
        <v>3200</v>
      </c>
      <c r="H6" s="12">
        <f t="shared" ref="H6:H69" si="0">IF(A6="",0,MONTH(A6))</f>
        <v>1</v>
      </c>
      <c r="I6" s="12">
        <f t="shared" ref="I6:I69" si="1">IF(A6="",0,YEAR(A6))</f>
        <v>2026</v>
      </c>
      <c r="J6" s="13">
        <f t="shared" ref="J6:J69" si="2">IF(A6="",0,IF(B6="Einnahme",G6,IF(B6="Transfer",0,-G6)))</f>
        <v>3200</v>
      </c>
      <c r="K6" s="12" t="str">
        <f>IF(C6="","",IFERROR(INDEX(Listen!$B$2:$B$100,MATCH(C6,Listen!$A$2:$A$100,0)),""))</f>
        <v>Einkommen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11">
        <v>46024</v>
      </c>
      <c r="B7" s="5" t="s">
        <v>24</v>
      </c>
      <c r="C7" s="5" t="s">
        <v>47</v>
      </c>
      <c r="D7" s="5" t="s">
        <v>107</v>
      </c>
      <c r="E7" s="5" t="s">
        <v>108</v>
      </c>
      <c r="F7" s="5" t="s">
        <v>109</v>
      </c>
      <c r="G7" s="6">
        <v>350</v>
      </c>
      <c r="H7" s="12">
        <f t="shared" si="0"/>
        <v>1</v>
      </c>
      <c r="I7" s="12">
        <f t="shared" si="1"/>
        <v>2026</v>
      </c>
      <c r="J7" s="13">
        <f t="shared" si="2"/>
        <v>-350</v>
      </c>
      <c r="K7" s="12" t="str">
        <f>IF(C7="","",IFERROR(INDEX(Listen!$B$2:$B$100,MATCH(C7,Listen!$A$2:$A$100,0)),""))</f>
        <v>Sparen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11">
        <v>46024</v>
      </c>
      <c r="B8" s="5" t="s">
        <v>24</v>
      </c>
      <c r="C8" s="5" t="s">
        <v>45</v>
      </c>
      <c r="D8" s="5" t="s">
        <v>110</v>
      </c>
      <c r="E8" s="5" t="s">
        <v>110</v>
      </c>
      <c r="F8" s="5" t="s">
        <v>111</v>
      </c>
      <c r="G8" s="6">
        <v>250</v>
      </c>
      <c r="H8" s="12">
        <f t="shared" si="0"/>
        <v>1</v>
      </c>
      <c r="I8" s="12">
        <f t="shared" si="1"/>
        <v>2026</v>
      </c>
      <c r="J8" s="13">
        <f t="shared" si="2"/>
        <v>-250</v>
      </c>
      <c r="K8" s="12" t="str">
        <f>IF(C8="","",IFERROR(INDEX(Listen!$B$2:$B$100,MATCH(C8,Listen!$A$2:$A$100,0)),""))</f>
        <v>Sparen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11">
        <v>46025</v>
      </c>
      <c r="B9" s="5" t="s">
        <v>112</v>
      </c>
      <c r="C9" s="5" t="s">
        <v>16</v>
      </c>
      <c r="D9" s="5" t="s">
        <v>113</v>
      </c>
      <c r="E9" s="5" t="s">
        <v>105</v>
      </c>
      <c r="F9" s="5" t="s">
        <v>114</v>
      </c>
      <c r="G9" s="6">
        <v>1050</v>
      </c>
      <c r="H9" s="12">
        <f t="shared" si="0"/>
        <v>1</v>
      </c>
      <c r="I9" s="12">
        <f t="shared" si="1"/>
        <v>2026</v>
      </c>
      <c r="J9" s="13">
        <f t="shared" si="2"/>
        <v>-1050</v>
      </c>
      <c r="K9" s="12" t="str">
        <f>IF(C9="","",IFERROR(INDEX(Listen!$B$2:$B$100,MATCH(C9,Listen!$A$2:$A$100,0)),""))</f>
        <v>Bedarf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11">
        <v>46026</v>
      </c>
      <c r="B10" s="5" t="s">
        <v>112</v>
      </c>
      <c r="C10" s="5" t="s">
        <v>22</v>
      </c>
      <c r="D10" s="5" t="s">
        <v>115</v>
      </c>
      <c r="E10" s="5" t="s">
        <v>105</v>
      </c>
      <c r="F10" s="5" t="s">
        <v>116</v>
      </c>
      <c r="G10" s="6">
        <v>100</v>
      </c>
      <c r="H10" s="12">
        <f t="shared" si="0"/>
        <v>1</v>
      </c>
      <c r="I10" s="12">
        <f t="shared" si="1"/>
        <v>2026</v>
      </c>
      <c r="J10" s="13">
        <f t="shared" si="2"/>
        <v>-100</v>
      </c>
      <c r="K10" s="12" t="str">
        <f>IF(C10="","",IFERROR(INDEX(Listen!$B$2:$B$100,MATCH(C10,Listen!$A$2:$A$100,0)),""))</f>
        <v>Bedarf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11">
        <v>46026</v>
      </c>
      <c r="B11" s="5" t="s">
        <v>24</v>
      </c>
      <c r="C11" s="5" t="s">
        <v>49</v>
      </c>
      <c r="D11" s="5" t="s">
        <v>117</v>
      </c>
      <c r="E11" s="5" t="s">
        <v>105</v>
      </c>
      <c r="F11" s="5" t="s">
        <v>118</v>
      </c>
      <c r="G11" s="6">
        <v>150</v>
      </c>
      <c r="H11" s="12">
        <f t="shared" si="0"/>
        <v>1</v>
      </c>
      <c r="I11" s="12">
        <f t="shared" si="1"/>
        <v>2026</v>
      </c>
      <c r="J11" s="13">
        <f t="shared" si="2"/>
        <v>-150</v>
      </c>
      <c r="K11" s="12" t="str">
        <f>IF(C11="","",IFERROR(INDEX(Listen!$B$2:$B$100,MATCH(C11,Listen!$A$2:$A$100,0)),""))</f>
        <v>Sparen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11">
        <v>46026</v>
      </c>
      <c r="B12" s="5" t="s">
        <v>24</v>
      </c>
      <c r="C12" s="5" t="s">
        <v>51</v>
      </c>
      <c r="D12" s="5" t="s">
        <v>119</v>
      </c>
      <c r="E12" s="5" t="s">
        <v>110</v>
      </c>
      <c r="F12" s="5" t="s">
        <v>120</v>
      </c>
      <c r="G12" s="6">
        <v>120</v>
      </c>
      <c r="H12" s="12">
        <f t="shared" si="0"/>
        <v>1</v>
      </c>
      <c r="I12" s="12">
        <f t="shared" si="1"/>
        <v>2026</v>
      </c>
      <c r="J12" s="13">
        <f t="shared" si="2"/>
        <v>-120</v>
      </c>
      <c r="K12" s="12" t="str">
        <f>IF(C12="","",IFERROR(INDEX(Listen!$B$2:$B$100,MATCH(C12,Listen!$A$2:$A$100,0)),""))</f>
        <v>Sparen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11">
        <v>46027</v>
      </c>
      <c r="B13" s="5" t="s">
        <v>112</v>
      </c>
      <c r="C13" s="5" t="s">
        <v>19</v>
      </c>
      <c r="D13" s="5" t="s">
        <v>121</v>
      </c>
      <c r="E13" s="5" t="s">
        <v>105</v>
      </c>
      <c r="F13" s="5" t="s">
        <v>122</v>
      </c>
      <c r="G13" s="6">
        <v>138</v>
      </c>
      <c r="H13" s="12">
        <f t="shared" si="0"/>
        <v>1</v>
      </c>
      <c r="I13" s="12">
        <f t="shared" si="1"/>
        <v>2026</v>
      </c>
      <c r="J13" s="13">
        <f t="shared" si="2"/>
        <v>-138</v>
      </c>
      <c r="K13" s="12" t="str">
        <f>IF(C13="","",IFERROR(INDEX(Listen!$B$2:$B$100,MATCH(C13,Listen!$A$2:$A$100,0)),""))</f>
        <v>Bedarf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11">
        <v>46028</v>
      </c>
      <c r="B14" s="5" t="s">
        <v>112</v>
      </c>
      <c r="C14" s="5" t="s">
        <v>30</v>
      </c>
      <c r="D14" s="5" t="s">
        <v>123</v>
      </c>
      <c r="E14" s="5" t="s">
        <v>105</v>
      </c>
      <c r="F14" s="5" t="s">
        <v>124</v>
      </c>
      <c r="G14" s="6">
        <v>59</v>
      </c>
      <c r="H14" s="12">
        <f t="shared" si="0"/>
        <v>1</v>
      </c>
      <c r="I14" s="12">
        <f t="shared" si="1"/>
        <v>2026</v>
      </c>
      <c r="J14" s="13">
        <f t="shared" si="2"/>
        <v>-59</v>
      </c>
      <c r="K14" s="12" t="str">
        <f>IF(C14="","",IFERROR(INDEX(Listen!$B$2:$B$100,MATCH(C14,Listen!$A$2:$A$100,0)),""))</f>
        <v>Bedarf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11">
        <v>46029</v>
      </c>
      <c r="B15" s="5" t="s">
        <v>125</v>
      </c>
      <c r="C15" s="5" t="s">
        <v>53</v>
      </c>
      <c r="D15" s="5" t="s">
        <v>126</v>
      </c>
      <c r="E15" s="5" t="s">
        <v>105</v>
      </c>
      <c r="F15" s="5" t="s">
        <v>127</v>
      </c>
      <c r="G15" s="6">
        <v>180</v>
      </c>
      <c r="H15" s="12">
        <f t="shared" si="0"/>
        <v>1</v>
      </c>
      <c r="I15" s="12">
        <f t="shared" si="1"/>
        <v>2026</v>
      </c>
      <c r="J15" s="13">
        <f t="shared" si="2"/>
        <v>-180</v>
      </c>
      <c r="K15" s="12" t="str">
        <f>IF(C15="","",IFERROR(INDEX(Listen!$B$2:$B$100,MATCH(C15,Listen!$A$2:$A$100,0)),""))</f>
        <v>Schulden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11">
        <v>46030</v>
      </c>
      <c r="B16" s="5" t="s">
        <v>112</v>
      </c>
      <c r="C16" s="5" t="s">
        <v>32</v>
      </c>
      <c r="D16" s="5" t="s">
        <v>128</v>
      </c>
      <c r="E16" s="5" t="s">
        <v>105</v>
      </c>
      <c r="F16" s="5" t="s">
        <v>129</v>
      </c>
      <c r="G16" s="6">
        <v>39</v>
      </c>
      <c r="H16" s="12">
        <f t="shared" si="0"/>
        <v>1</v>
      </c>
      <c r="I16" s="12">
        <f t="shared" si="1"/>
        <v>2026</v>
      </c>
      <c r="J16" s="13">
        <f t="shared" si="2"/>
        <v>-39</v>
      </c>
      <c r="K16" s="12" t="str">
        <f>IF(C16="","",IFERROR(INDEX(Listen!$B$2:$B$100,MATCH(C16,Listen!$A$2:$A$100,0)),""))</f>
        <v>Bedarf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11">
        <v>46032</v>
      </c>
      <c r="B17" s="5" t="s">
        <v>112</v>
      </c>
      <c r="C17" s="5" t="s">
        <v>32</v>
      </c>
      <c r="D17" s="5" t="s">
        <v>130</v>
      </c>
      <c r="E17" s="5" t="s">
        <v>105</v>
      </c>
      <c r="F17" s="5" t="s">
        <v>130</v>
      </c>
      <c r="G17" s="6">
        <v>24</v>
      </c>
      <c r="H17" s="12">
        <f t="shared" si="0"/>
        <v>1</v>
      </c>
      <c r="I17" s="12">
        <f t="shared" si="1"/>
        <v>2026</v>
      </c>
      <c r="J17" s="13">
        <f t="shared" si="2"/>
        <v>-24</v>
      </c>
      <c r="K17" s="12" t="str">
        <f>IF(C17="","",IFERROR(INDEX(Listen!$B$2:$B$100,MATCH(C17,Listen!$A$2:$A$100,0)),""))</f>
        <v>Bedarf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11">
        <v>46033</v>
      </c>
      <c r="B18" s="5" t="s">
        <v>112</v>
      </c>
      <c r="C18" s="5" t="s">
        <v>25</v>
      </c>
      <c r="D18" s="5" t="s">
        <v>131</v>
      </c>
      <c r="E18" s="5" t="s">
        <v>105</v>
      </c>
      <c r="F18" s="5" t="s">
        <v>132</v>
      </c>
      <c r="G18" s="6">
        <v>92</v>
      </c>
      <c r="H18" s="12">
        <f t="shared" si="0"/>
        <v>1</v>
      </c>
      <c r="I18" s="12">
        <f t="shared" si="1"/>
        <v>2026</v>
      </c>
      <c r="J18" s="13">
        <f t="shared" si="2"/>
        <v>-92</v>
      </c>
      <c r="K18" s="12" t="str">
        <f>IF(C18="","",IFERROR(INDEX(Listen!$B$2:$B$100,MATCH(C18,Listen!$A$2:$A$100,0)),""))</f>
        <v>Bedarf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11">
        <v>46033</v>
      </c>
      <c r="B19" s="5" t="s">
        <v>112</v>
      </c>
      <c r="C19" s="5" t="s">
        <v>22</v>
      </c>
      <c r="D19" s="5" t="s">
        <v>115</v>
      </c>
      <c r="E19" s="5" t="s">
        <v>105</v>
      </c>
      <c r="F19" s="5" t="s">
        <v>116</v>
      </c>
      <c r="G19" s="6">
        <v>87</v>
      </c>
      <c r="H19" s="12">
        <f t="shared" si="0"/>
        <v>1</v>
      </c>
      <c r="I19" s="12">
        <f t="shared" si="1"/>
        <v>2026</v>
      </c>
      <c r="J19" s="13">
        <f t="shared" si="2"/>
        <v>-87</v>
      </c>
      <c r="K19" s="12" t="str">
        <f>IF(C19="","",IFERROR(INDEX(Listen!$B$2:$B$100,MATCH(C19,Listen!$A$2:$A$100,0)),""))</f>
        <v>Bedarf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11">
        <v>46036</v>
      </c>
      <c r="B20" s="5" t="s">
        <v>112</v>
      </c>
      <c r="C20" s="5" t="s">
        <v>28</v>
      </c>
      <c r="D20" s="5" t="s">
        <v>133</v>
      </c>
      <c r="E20" s="5" t="s">
        <v>105</v>
      </c>
      <c r="F20" s="5" t="s">
        <v>28</v>
      </c>
      <c r="G20" s="6">
        <v>42</v>
      </c>
      <c r="H20" s="12">
        <f t="shared" si="0"/>
        <v>1</v>
      </c>
      <c r="I20" s="12">
        <f t="shared" si="1"/>
        <v>2026</v>
      </c>
      <c r="J20" s="13">
        <f t="shared" si="2"/>
        <v>-42</v>
      </c>
      <c r="K20" s="12" t="str">
        <f>IF(C20="","",IFERROR(INDEX(Listen!$B$2:$B$100,MATCH(C20,Listen!$A$2:$A$100,0)),""))</f>
        <v>Bedarf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5">
      <c r="A21" s="11">
        <v>46037</v>
      </c>
      <c r="B21" s="5" t="s">
        <v>112</v>
      </c>
      <c r="C21" s="5" t="s">
        <v>36</v>
      </c>
      <c r="D21" s="5" t="s">
        <v>134</v>
      </c>
      <c r="E21" s="5" t="s">
        <v>54</v>
      </c>
      <c r="F21" s="5" t="s">
        <v>135</v>
      </c>
      <c r="G21" s="6">
        <v>145</v>
      </c>
      <c r="H21" s="12">
        <f t="shared" si="0"/>
        <v>1</v>
      </c>
      <c r="I21" s="12">
        <f t="shared" si="1"/>
        <v>2026</v>
      </c>
      <c r="J21" s="13">
        <f t="shared" si="2"/>
        <v>-145</v>
      </c>
      <c r="K21" s="12" t="str">
        <f>IF(C21="","",IFERROR(INDEX(Listen!$B$2:$B$100,MATCH(C21,Listen!$A$2:$A$100,0)),""))</f>
        <v>Wunsch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5">
      <c r="A22" s="11">
        <v>46040</v>
      </c>
      <c r="B22" s="5" t="s">
        <v>112</v>
      </c>
      <c r="C22" s="5" t="s">
        <v>22</v>
      </c>
      <c r="D22" s="5" t="s">
        <v>115</v>
      </c>
      <c r="E22" s="5" t="s">
        <v>105</v>
      </c>
      <c r="F22" s="5" t="s">
        <v>116</v>
      </c>
      <c r="G22" s="6">
        <v>116</v>
      </c>
      <c r="H22" s="12">
        <f t="shared" si="0"/>
        <v>1</v>
      </c>
      <c r="I22" s="12">
        <f t="shared" si="1"/>
        <v>2026</v>
      </c>
      <c r="J22" s="13">
        <f t="shared" si="2"/>
        <v>-116</v>
      </c>
      <c r="K22" s="12" t="str">
        <f>IF(C22="","",IFERROR(INDEX(Listen!$B$2:$B$100,MATCH(C22,Listen!$A$2:$A$100,0)),""))</f>
        <v>Bedarf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5">
      <c r="A23" s="11">
        <v>46040</v>
      </c>
      <c r="B23" s="5" t="s">
        <v>125</v>
      </c>
      <c r="C23" s="5" t="s">
        <v>54</v>
      </c>
      <c r="D23" s="5" t="s">
        <v>136</v>
      </c>
      <c r="E23" s="5" t="s">
        <v>105</v>
      </c>
      <c r="F23" s="5" t="s">
        <v>137</v>
      </c>
      <c r="G23" s="6">
        <v>120</v>
      </c>
      <c r="H23" s="12">
        <f t="shared" si="0"/>
        <v>1</v>
      </c>
      <c r="I23" s="12">
        <f t="shared" si="1"/>
        <v>2026</v>
      </c>
      <c r="J23" s="13">
        <f t="shared" si="2"/>
        <v>-120</v>
      </c>
      <c r="K23" s="12" t="str">
        <f>IF(C23="","",IFERROR(INDEX(Listen!$B$2:$B$100,MATCH(C23,Listen!$A$2:$A$100,0)),""))</f>
        <v>Schulden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5">
      <c r="A24" s="11">
        <v>46042</v>
      </c>
      <c r="B24" s="5" t="s">
        <v>112</v>
      </c>
      <c r="C24" s="5" t="s">
        <v>34</v>
      </c>
      <c r="D24" s="5" t="s">
        <v>138</v>
      </c>
      <c r="E24" s="5" t="s">
        <v>54</v>
      </c>
      <c r="F24" s="5" t="s">
        <v>139</v>
      </c>
      <c r="G24" s="6">
        <v>88</v>
      </c>
      <c r="H24" s="12">
        <f t="shared" si="0"/>
        <v>1</v>
      </c>
      <c r="I24" s="12">
        <f t="shared" si="1"/>
        <v>2026</v>
      </c>
      <c r="J24" s="13">
        <f t="shared" si="2"/>
        <v>-88</v>
      </c>
      <c r="K24" s="12" t="str">
        <f>IF(C24="","",IFERROR(INDEX(Listen!$B$2:$B$100,MATCH(C24,Listen!$A$2:$A$100,0)),""))</f>
        <v>Wunsch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5">
      <c r="A25" s="11">
        <v>46044</v>
      </c>
      <c r="B25" s="5" t="s">
        <v>112</v>
      </c>
      <c r="C25" s="5" t="s">
        <v>38</v>
      </c>
      <c r="D25" s="5" t="s">
        <v>38</v>
      </c>
      <c r="E25" s="5" t="s">
        <v>54</v>
      </c>
      <c r="F25" s="5" t="s">
        <v>140</v>
      </c>
      <c r="G25" s="6">
        <v>85</v>
      </c>
      <c r="H25" s="12">
        <f t="shared" si="0"/>
        <v>1</v>
      </c>
      <c r="I25" s="12">
        <f t="shared" si="1"/>
        <v>2026</v>
      </c>
      <c r="J25" s="13">
        <f t="shared" si="2"/>
        <v>-85</v>
      </c>
      <c r="K25" s="12" t="str">
        <f>IF(C25="","",IFERROR(INDEX(Listen!$B$2:$B$100,MATCH(C25,Listen!$A$2:$A$100,0)),""))</f>
        <v>Wunsch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5">
      <c r="A26" s="11">
        <v>46047</v>
      </c>
      <c r="B26" s="5" t="s">
        <v>112</v>
      </c>
      <c r="C26" s="5" t="s">
        <v>22</v>
      </c>
      <c r="D26" s="5" t="s">
        <v>115</v>
      </c>
      <c r="E26" s="5" t="s">
        <v>105</v>
      </c>
      <c r="F26" s="5" t="s">
        <v>116</v>
      </c>
      <c r="G26" s="6">
        <v>88</v>
      </c>
      <c r="H26" s="12">
        <f t="shared" si="0"/>
        <v>1</v>
      </c>
      <c r="I26" s="12">
        <f t="shared" si="1"/>
        <v>2026</v>
      </c>
      <c r="J26" s="13">
        <f t="shared" si="2"/>
        <v>-88</v>
      </c>
      <c r="K26" s="12" t="str">
        <f>IF(C26="","",IFERROR(INDEX(Listen!$B$2:$B$100,MATCH(C26,Listen!$A$2:$A$100,0)),""))</f>
        <v>Bedarf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11">
        <v>46054</v>
      </c>
      <c r="B27" s="5" t="s">
        <v>103</v>
      </c>
      <c r="C27" s="5" t="s">
        <v>80</v>
      </c>
      <c r="D27" s="5" t="s">
        <v>104</v>
      </c>
      <c r="E27" s="5" t="s">
        <v>105</v>
      </c>
      <c r="F27" s="5" t="s">
        <v>106</v>
      </c>
      <c r="G27" s="6">
        <v>3200</v>
      </c>
      <c r="H27" s="12">
        <f t="shared" si="0"/>
        <v>2</v>
      </c>
      <c r="I27" s="12">
        <f t="shared" si="1"/>
        <v>2026</v>
      </c>
      <c r="J27" s="13">
        <f t="shared" si="2"/>
        <v>3200</v>
      </c>
      <c r="K27" s="12" t="str">
        <f>IF(C27="","",IFERROR(INDEX(Listen!$B$2:$B$100,MATCH(C27,Listen!$A$2:$A$100,0)),""))</f>
        <v>Einkommen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11">
        <v>46055</v>
      </c>
      <c r="B28" s="5" t="s">
        <v>24</v>
      </c>
      <c r="C28" s="5" t="s">
        <v>47</v>
      </c>
      <c r="D28" s="5" t="s">
        <v>107</v>
      </c>
      <c r="E28" s="5" t="s">
        <v>108</v>
      </c>
      <c r="F28" s="5" t="s">
        <v>109</v>
      </c>
      <c r="G28" s="6">
        <v>350</v>
      </c>
      <c r="H28" s="12">
        <f t="shared" si="0"/>
        <v>2</v>
      </c>
      <c r="I28" s="12">
        <f t="shared" si="1"/>
        <v>2026</v>
      </c>
      <c r="J28" s="13">
        <f t="shared" si="2"/>
        <v>-350</v>
      </c>
      <c r="K28" s="12" t="str">
        <f>IF(C28="","",IFERROR(INDEX(Listen!$B$2:$B$100,MATCH(C28,Listen!$A$2:$A$100,0)),""))</f>
        <v>Sparen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11">
        <v>46055</v>
      </c>
      <c r="B29" s="5" t="s">
        <v>24</v>
      </c>
      <c r="C29" s="5" t="s">
        <v>45</v>
      </c>
      <c r="D29" s="5" t="s">
        <v>110</v>
      </c>
      <c r="E29" s="5" t="s">
        <v>110</v>
      </c>
      <c r="F29" s="5" t="s">
        <v>111</v>
      </c>
      <c r="G29" s="6">
        <v>250</v>
      </c>
      <c r="H29" s="12">
        <f t="shared" si="0"/>
        <v>2</v>
      </c>
      <c r="I29" s="12">
        <f t="shared" si="1"/>
        <v>2026</v>
      </c>
      <c r="J29" s="13">
        <f t="shared" si="2"/>
        <v>-250</v>
      </c>
      <c r="K29" s="12" t="str">
        <f>IF(C29="","",IFERROR(INDEX(Listen!$B$2:$B$100,MATCH(C29,Listen!$A$2:$A$100,0)),""))</f>
        <v>Sparen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5">
      <c r="A30" s="11">
        <v>46056</v>
      </c>
      <c r="B30" s="5" t="s">
        <v>112</v>
      </c>
      <c r="C30" s="5" t="s">
        <v>16</v>
      </c>
      <c r="D30" s="5" t="s">
        <v>113</v>
      </c>
      <c r="E30" s="5" t="s">
        <v>105</v>
      </c>
      <c r="F30" s="5" t="s">
        <v>114</v>
      </c>
      <c r="G30" s="6">
        <v>1050</v>
      </c>
      <c r="H30" s="12">
        <f t="shared" si="0"/>
        <v>2</v>
      </c>
      <c r="I30" s="12">
        <f t="shared" si="1"/>
        <v>2026</v>
      </c>
      <c r="J30" s="13">
        <f t="shared" si="2"/>
        <v>-1050</v>
      </c>
      <c r="K30" s="12" t="str">
        <f>IF(C30="","",IFERROR(INDEX(Listen!$B$2:$B$100,MATCH(C30,Listen!$A$2:$A$100,0)),""))</f>
        <v>Bedarf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5">
      <c r="A31" s="11">
        <v>46057</v>
      </c>
      <c r="B31" s="5" t="s">
        <v>112</v>
      </c>
      <c r="C31" s="5" t="s">
        <v>22</v>
      </c>
      <c r="D31" s="5" t="s">
        <v>115</v>
      </c>
      <c r="E31" s="5" t="s">
        <v>105</v>
      </c>
      <c r="F31" s="5" t="s">
        <v>116</v>
      </c>
      <c r="G31" s="6">
        <v>99</v>
      </c>
      <c r="H31" s="12">
        <f t="shared" si="0"/>
        <v>2</v>
      </c>
      <c r="I31" s="12">
        <f t="shared" si="1"/>
        <v>2026</v>
      </c>
      <c r="J31" s="13">
        <f t="shared" si="2"/>
        <v>-99</v>
      </c>
      <c r="K31" s="12" t="str">
        <f>IF(C31="","",IFERROR(INDEX(Listen!$B$2:$B$100,MATCH(C31,Listen!$A$2:$A$100,0)),""))</f>
        <v>Bedarf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5">
      <c r="A32" s="11">
        <v>46057</v>
      </c>
      <c r="B32" s="5" t="s">
        <v>24</v>
      </c>
      <c r="C32" s="5" t="s">
        <v>49</v>
      </c>
      <c r="D32" s="5" t="s">
        <v>117</v>
      </c>
      <c r="E32" s="5" t="s">
        <v>105</v>
      </c>
      <c r="F32" s="5" t="s">
        <v>118</v>
      </c>
      <c r="G32" s="6">
        <v>150</v>
      </c>
      <c r="H32" s="12">
        <f t="shared" si="0"/>
        <v>2</v>
      </c>
      <c r="I32" s="12">
        <f t="shared" si="1"/>
        <v>2026</v>
      </c>
      <c r="J32" s="13">
        <f t="shared" si="2"/>
        <v>-150</v>
      </c>
      <c r="K32" s="12" t="str">
        <f>IF(C32="","",IFERROR(INDEX(Listen!$B$2:$B$100,MATCH(C32,Listen!$A$2:$A$100,0)),""))</f>
        <v>Sparen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11">
        <v>46057</v>
      </c>
      <c r="B33" s="5" t="s">
        <v>24</v>
      </c>
      <c r="C33" s="5" t="s">
        <v>51</v>
      </c>
      <c r="D33" s="5" t="s">
        <v>119</v>
      </c>
      <c r="E33" s="5" t="s">
        <v>110</v>
      </c>
      <c r="F33" s="5" t="s">
        <v>120</v>
      </c>
      <c r="G33" s="6">
        <v>120</v>
      </c>
      <c r="H33" s="12">
        <f t="shared" si="0"/>
        <v>2</v>
      </c>
      <c r="I33" s="12">
        <f t="shared" si="1"/>
        <v>2026</v>
      </c>
      <c r="J33" s="13">
        <f t="shared" si="2"/>
        <v>-120</v>
      </c>
      <c r="K33" s="12" t="str">
        <f>IF(C33="","",IFERROR(INDEX(Listen!$B$2:$B$100,MATCH(C33,Listen!$A$2:$A$100,0)),""))</f>
        <v>Sparen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11">
        <v>46058</v>
      </c>
      <c r="B34" s="5" t="s">
        <v>112</v>
      </c>
      <c r="C34" s="5" t="s">
        <v>19</v>
      </c>
      <c r="D34" s="5" t="s">
        <v>121</v>
      </c>
      <c r="E34" s="5" t="s">
        <v>105</v>
      </c>
      <c r="F34" s="5" t="s">
        <v>122</v>
      </c>
      <c r="G34" s="6">
        <v>138</v>
      </c>
      <c r="H34" s="12">
        <f t="shared" si="0"/>
        <v>2</v>
      </c>
      <c r="I34" s="12">
        <f t="shared" si="1"/>
        <v>2026</v>
      </c>
      <c r="J34" s="13">
        <f t="shared" si="2"/>
        <v>-138</v>
      </c>
      <c r="K34" s="12" t="str">
        <f>IF(C34="","",IFERROR(INDEX(Listen!$B$2:$B$100,MATCH(C34,Listen!$A$2:$A$100,0)),""))</f>
        <v>Bedarf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11">
        <v>46059</v>
      </c>
      <c r="B35" s="5" t="s">
        <v>112</v>
      </c>
      <c r="C35" s="5" t="s">
        <v>30</v>
      </c>
      <c r="D35" s="5" t="s">
        <v>123</v>
      </c>
      <c r="E35" s="5" t="s">
        <v>105</v>
      </c>
      <c r="F35" s="5" t="s">
        <v>124</v>
      </c>
      <c r="G35" s="6">
        <v>59</v>
      </c>
      <c r="H35" s="12">
        <f t="shared" si="0"/>
        <v>2</v>
      </c>
      <c r="I35" s="12">
        <f t="shared" si="1"/>
        <v>2026</v>
      </c>
      <c r="J35" s="13">
        <f t="shared" si="2"/>
        <v>-59</v>
      </c>
      <c r="K35" s="12" t="str">
        <f>IF(C35="","",IFERROR(INDEX(Listen!$B$2:$B$100,MATCH(C35,Listen!$A$2:$A$100,0)),""))</f>
        <v>Bedarf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11">
        <v>46060</v>
      </c>
      <c r="B36" s="5" t="s">
        <v>125</v>
      </c>
      <c r="C36" s="5" t="s">
        <v>53</v>
      </c>
      <c r="D36" s="5" t="s">
        <v>126</v>
      </c>
      <c r="E36" s="5" t="s">
        <v>105</v>
      </c>
      <c r="F36" s="5" t="s">
        <v>127</v>
      </c>
      <c r="G36" s="6">
        <v>180</v>
      </c>
      <c r="H36" s="12">
        <f t="shared" si="0"/>
        <v>2</v>
      </c>
      <c r="I36" s="12">
        <f t="shared" si="1"/>
        <v>2026</v>
      </c>
      <c r="J36" s="13">
        <f t="shared" si="2"/>
        <v>-180</v>
      </c>
      <c r="K36" s="12" t="str">
        <f>IF(C36="","",IFERROR(INDEX(Listen!$B$2:$B$100,MATCH(C36,Listen!$A$2:$A$100,0)),""))</f>
        <v>Schulden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5">
      <c r="A37" s="11">
        <v>46061</v>
      </c>
      <c r="B37" s="5" t="s">
        <v>112</v>
      </c>
      <c r="C37" s="5" t="s">
        <v>32</v>
      </c>
      <c r="D37" s="5" t="s">
        <v>128</v>
      </c>
      <c r="E37" s="5" t="s">
        <v>105</v>
      </c>
      <c r="F37" s="5" t="s">
        <v>129</v>
      </c>
      <c r="G37" s="6">
        <v>39</v>
      </c>
      <c r="H37" s="12">
        <f t="shared" si="0"/>
        <v>2</v>
      </c>
      <c r="I37" s="12">
        <f t="shared" si="1"/>
        <v>2026</v>
      </c>
      <c r="J37" s="13">
        <f t="shared" si="2"/>
        <v>-39</v>
      </c>
      <c r="K37" s="12" t="str">
        <f>IF(C37="","",IFERROR(INDEX(Listen!$B$2:$B$100,MATCH(C37,Listen!$A$2:$A$100,0)),""))</f>
        <v>Bedarf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11">
        <v>46063</v>
      </c>
      <c r="B38" s="5" t="s">
        <v>112</v>
      </c>
      <c r="C38" s="5" t="s">
        <v>32</v>
      </c>
      <c r="D38" s="5" t="s">
        <v>130</v>
      </c>
      <c r="E38" s="5" t="s">
        <v>105</v>
      </c>
      <c r="F38" s="5" t="s">
        <v>130</v>
      </c>
      <c r="G38" s="6">
        <v>24</v>
      </c>
      <c r="H38" s="12">
        <f t="shared" si="0"/>
        <v>2</v>
      </c>
      <c r="I38" s="12">
        <f t="shared" si="1"/>
        <v>2026</v>
      </c>
      <c r="J38" s="13">
        <f t="shared" si="2"/>
        <v>-24</v>
      </c>
      <c r="K38" s="12" t="str">
        <f>IF(C38="","",IFERROR(INDEX(Listen!$B$2:$B$100,MATCH(C38,Listen!$A$2:$A$100,0)),""))</f>
        <v>Bedarf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5">
      <c r="A39" s="11">
        <v>46064</v>
      </c>
      <c r="B39" s="5" t="s">
        <v>112</v>
      </c>
      <c r="C39" s="5" t="s">
        <v>25</v>
      </c>
      <c r="D39" s="5" t="s">
        <v>131</v>
      </c>
      <c r="E39" s="5" t="s">
        <v>105</v>
      </c>
      <c r="F39" s="5" t="s">
        <v>132</v>
      </c>
      <c r="G39" s="6">
        <v>92</v>
      </c>
      <c r="H39" s="12">
        <f t="shared" si="0"/>
        <v>2</v>
      </c>
      <c r="I39" s="12">
        <f t="shared" si="1"/>
        <v>2026</v>
      </c>
      <c r="J39" s="13">
        <f t="shared" si="2"/>
        <v>-92</v>
      </c>
      <c r="K39" s="12" t="str">
        <f>IF(C39="","",IFERROR(INDEX(Listen!$B$2:$B$100,MATCH(C39,Listen!$A$2:$A$100,0)),""))</f>
        <v>Bedarf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5">
      <c r="A40" s="11">
        <v>46064</v>
      </c>
      <c r="B40" s="5" t="s">
        <v>112</v>
      </c>
      <c r="C40" s="5" t="s">
        <v>22</v>
      </c>
      <c r="D40" s="5" t="s">
        <v>115</v>
      </c>
      <c r="E40" s="5" t="s">
        <v>105</v>
      </c>
      <c r="F40" s="5" t="s">
        <v>116</v>
      </c>
      <c r="G40" s="6">
        <v>98</v>
      </c>
      <c r="H40" s="12">
        <f t="shared" si="0"/>
        <v>2</v>
      </c>
      <c r="I40" s="12">
        <f t="shared" si="1"/>
        <v>2026</v>
      </c>
      <c r="J40" s="13">
        <f t="shared" si="2"/>
        <v>-98</v>
      </c>
      <c r="K40" s="12" t="str">
        <f>IF(C40="","",IFERROR(INDEX(Listen!$B$2:$B$100,MATCH(C40,Listen!$A$2:$A$100,0)),""))</f>
        <v>Bedarf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A41" s="11">
        <v>46065</v>
      </c>
      <c r="B41" s="5" t="s">
        <v>103</v>
      </c>
      <c r="C41" s="5" t="s">
        <v>81</v>
      </c>
      <c r="D41" s="5" t="s">
        <v>141</v>
      </c>
      <c r="E41" s="5" t="s">
        <v>105</v>
      </c>
      <c r="F41" s="5" t="s">
        <v>142</v>
      </c>
      <c r="G41" s="6">
        <v>120</v>
      </c>
      <c r="H41" s="12">
        <f t="shared" si="0"/>
        <v>2</v>
      </c>
      <c r="I41" s="12">
        <f t="shared" si="1"/>
        <v>2026</v>
      </c>
      <c r="J41" s="13">
        <f t="shared" si="2"/>
        <v>120</v>
      </c>
      <c r="K41" s="12" t="str">
        <f>IF(C41="","",IFERROR(INDEX(Listen!$B$2:$B$100,MATCH(C41,Listen!$A$2:$A$100,0)),""))</f>
        <v>Einkommen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5">
      <c r="A42" s="11">
        <v>46067</v>
      </c>
      <c r="B42" s="5" t="s">
        <v>112</v>
      </c>
      <c r="C42" s="5" t="s">
        <v>28</v>
      </c>
      <c r="D42" s="5" t="s">
        <v>133</v>
      </c>
      <c r="E42" s="5" t="s">
        <v>105</v>
      </c>
      <c r="F42" s="5" t="s">
        <v>28</v>
      </c>
      <c r="G42" s="6">
        <v>58</v>
      </c>
      <c r="H42" s="12">
        <f t="shared" si="0"/>
        <v>2</v>
      </c>
      <c r="I42" s="12">
        <f t="shared" si="1"/>
        <v>2026</v>
      </c>
      <c r="J42" s="13">
        <f t="shared" si="2"/>
        <v>-58</v>
      </c>
      <c r="K42" s="12" t="str">
        <f>IF(C42="","",IFERROR(INDEX(Listen!$B$2:$B$100,MATCH(C42,Listen!$A$2:$A$100,0)),""))</f>
        <v>Bedarf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11">
        <v>46068</v>
      </c>
      <c r="B43" s="5" t="s">
        <v>112</v>
      </c>
      <c r="C43" s="5" t="s">
        <v>36</v>
      </c>
      <c r="D43" s="5" t="s">
        <v>134</v>
      </c>
      <c r="E43" s="5" t="s">
        <v>54</v>
      </c>
      <c r="F43" s="5" t="s">
        <v>135</v>
      </c>
      <c r="G43" s="6">
        <v>132</v>
      </c>
      <c r="H43" s="12">
        <f t="shared" si="0"/>
        <v>2</v>
      </c>
      <c r="I43" s="12">
        <f t="shared" si="1"/>
        <v>2026</v>
      </c>
      <c r="J43" s="13">
        <f t="shared" si="2"/>
        <v>-132</v>
      </c>
      <c r="K43" s="12" t="str">
        <f>IF(C43="","",IFERROR(INDEX(Listen!$B$2:$B$100,MATCH(C43,Listen!$A$2:$A$100,0)),""))</f>
        <v>Wunsch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11">
        <v>46071</v>
      </c>
      <c r="B44" s="5" t="s">
        <v>112</v>
      </c>
      <c r="C44" s="5" t="s">
        <v>22</v>
      </c>
      <c r="D44" s="5" t="s">
        <v>115</v>
      </c>
      <c r="E44" s="5" t="s">
        <v>105</v>
      </c>
      <c r="F44" s="5" t="s">
        <v>116</v>
      </c>
      <c r="G44" s="6">
        <v>105</v>
      </c>
      <c r="H44" s="12">
        <f t="shared" si="0"/>
        <v>2</v>
      </c>
      <c r="I44" s="12">
        <f t="shared" si="1"/>
        <v>2026</v>
      </c>
      <c r="J44" s="13">
        <f t="shared" si="2"/>
        <v>-105</v>
      </c>
      <c r="K44" s="12" t="str">
        <f>IF(C44="","",IFERROR(INDEX(Listen!$B$2:$B$100,MATCH(C44,Listen!$A$2:$A$100,0)),""))</f>
        <v>Bedarf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5">
      <c r="A45" s="11">
        <v>46071</v>
      </c>
      <c r="B45" s="5" t="s">
        <v>125</v>
      </c>
      <c r="C45" s="5" t="s">
        <v>54</v>
      </c>
      <c r="D45" s="5" t="s">
        <v>136</v>
      </c>
      <c r="E45" s="5" t="s">
        <v>105</v>
      </c>
      <c r="F45" s="5" t="s">
        <v>137</v>
      </c>
      <c r="G45" s="6">
        <v>120</v>
      </c>
      <c r="H45" s="12">
        <f t="shared" si="0"/>
        <v>2</v>
      </c>
      <c r="I45" s="12">
        <f t="shared" si="1"/>
        <v>2026</v>
      </c>
      <c r="J45" s="13">
        <f t="shared" si="2"/>
        <v>-120</v>
      </c>
      <c r="K45" s="12" t="str">
        <f>IF(C45="","",IFERROR(INDEX(Listen!$B$2:$B$100,MATCH(C45,Listen!$A$2:$A$100,0)),""))</f>
        <v>Schulden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5">
      <c r="A46" s="11">
        <v>46072</v>
      </c>
      <c r="B46" s="5" t="s">
        <v>112</v>
      </c>
      <c r="C46" s="5" t="s">
        <v>40</v>
      </c>
      <c r="D46" s="5" t="s">
        <v>143</v>
      </c>
      <c r="E46" s="5" t="s">
        <v>105</v>
      </c>
      <c r="F46" s="5" t="s">
        <v>144</v>
      </c>
      <c r="G46" s="6">
        <v>55</v>
      </c>
      <c r="H46" s="12">
        <f t="shared" si="0"/>
        <v>2</v>
      </c>
      <c r="I46" s="12">
        <f t="shared" si="1"/>
        <v>2026</v>
      </c>
      <c r="J46" s="13">
        <f t="shared" si="2"/>
        <v>-55</v>
      </c>
      <c r="K46" s="12" t="str">
        <f>IF(C46="","",IFERROR(INDEX(Listen!$B$2:$B$100,MATCH(C46,Listen!$A$2:$A$100,0)),""))</f>
        <v>Wunsch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5">
      <c r="A47" s="11">
        <v>46073</v>
      </c>
      <c r="B47" s="5" t="s">
        <v>112</v>
      </c>
      <c r="C47" s="5" t="s">
        <v>34</v>
      </c>
      <c r="D47" s="5" t="s">
        <v>138</v>
      </c>
      <c r="E47" s="5" t="s">
        <v>54</v>
      </c>
      <c r="F47" s="5" t="s">
        <v>139</v>
      </c>
      <c r="G47" s="6">
        <v>96</v>
      </c>
      <c r="H47" s="12">
        <f t="shared" si="0"/>
        <v>2</v>
      </c>
      <c r="I47" s="12">
        <f t="shared" si="1"/>
        <v>2026</v>
      </c>
      <c r="J47" s="13">
        <f t="shared" si="2"/>
        <v>-96</v>
      </c>
      <c r="K47" s="12" t="str">
        <f>IF(C47="","",IFERROR(INDEX(Listen!$B$2:$B$100,MATCH(C47,Listen!$A$2:$A$100,0)),""))</f>
        <v>Wunsch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5">
      <c r="A48" s="11">
        <v>46078</v>
      </c>
      <c r="B48" s="5" t="s">
        <v>112</v>
      </c>
      <c r="C48" s="5" t="s">
        <v>22</v>
      </c>
      <c r="D48" s="5" t="s">
        <v>115</v>
      </c>
      <c r="E48" s="5" t="s">
        <v>105</v>
      </c>
      <c r="F48" s="5" t="s">
        <v>116</v>
      </c>
      <c r="G48" s="6">
        <v>86</v>
      </c>
      <c r="H48" s="12">
        <f t="shared" si="0"/>
        <v>2</v>
      </c>
      <c r="I48" s="12">
        <f t="shared" si="1"/>
        <v>2026</v>
      </c>
      <c r="J48" s="13">
        <f t="shared" si="2"/>
        <v>-86</v>
      </c>
      <c r="K48" s="12" t="str">
        <f>IF(C48="","",IFERROR(INDEX(Listen!$B$2:$B$100,MATCH(C48,Listen!$A$2:$A$100,0)),""))</f>
        <v>Bedarf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5">
      <c r="A49" s="11">
        <v>46082</v>
      </c>
      <c r="B49" s="5" t="s">
        <v>103</v>
      </c>
      <c r="C49" s="5" t="s">
        <v>80</v>
      </c>
      <c r="D49" s="5" t="s">
        <v>104</v>
      </c>
      <c r="E49" s="5" t="s">
        <v>105</v>
      </c>
      <c r="F49" s="5" t="s">
        <v>106</v>
      </c>
      <c r="G49" s="6">
        <v>3200</v>
      </c>
      <c r="H49" s="12">
        <f t="shared" si="0"/>
        <v>3</v>
      </c>
      <c r="I49" s="12">
        <f t="shared" si="1"/>
        <v>2026</v>
      </c>
      <c r="J49" s="13">
        <f t="shared" si="2"/>
        <v>3200</v>
      </c>
      <c r="K49" s="12" t="str">
        <f>IF(C49="","",IFERROR(INDEX(Listen!$B$2:$B$100,MATCH(C49,Listen!$A$2:$A$100,0)),""))</f>
        <v>Einkommen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5">
      <c r="A50" s="11">
        <v>46083</v>
      </c>
      <c r="B50" s="5" t="s">
        <v>24</v>
      </c>
      <c r="C50" s="5" t="s">
        <v>47</v>
      </c>
      <c r="D50" s="5" t="s">
        <v>107</v>
      </c>
      <c r="E50" s="5" t="s">
        <v>108</v>
      </c>
      <c r="F50" s="5" t="s">
        <v>109</v>
      </c>
      <c r="G50" s="6">
        <v>350</v>
      </c>
      <c r="H50" s="12">
        <f t="shared" si="0"/>
        <v>3</v>
      </c>
      <c r="I50" s="12">
        <f t="shared" si="1"/>
        <v>2026</v>
      </c>
      <c r="J50" s="13">
        <f t="shared" si="2"/>
        <v>-350</v>
      </c>
      <c r="K50" s="12" t="str">
        <f>IF(C50="","",IFERROR(INDEX(Listen!$B$2:$B$100,MATCH(C50,Listen!$A$2:$A$100,0)),""))</f>
        <v>Sparen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11">
        <v>46083</v>
      </c>
      <c r="B51" s="5" t="s">
        <v>24</v>
      </c>
      <c r="C51" s="5" t="s">
        <v>45</v>
      </c>
      <c r="D51" s="5" t="s">
        <v>110</v>
      </c>
      <c r="E51" s="5" t="s">
        <v>110</v>
      </c>
      <c r="F51" s="5" t="s">
        <v>111</v>
      </c>
      <c r="G51" s="6">
        <v>250</v>
      </c>
      <c r="H51" s="12">
        <f t="shared" si="0"/>
        <v>3</v>
      </c>
      <c r="I51" s="12">
        <f t="shared" si="1"/>
        <v>2026</v>
      </c>
      <c r="J51" s="13">
        <f t="shared" si="2"/>
        <v>-250</v>
      </c>
      <c r="K51" s="12" t="str">
        <f>IF(C51="","",IFERROR(INDEX(Listen!$B$2:$B$100,MATCH(C51,Listen!$A$2:$A$100,0)),""))</f>
        <v>Sparen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5">
      <c r="A52" s="11">
        <v>46084</v>
      </c>
      <c r="B52" s="5" t="s">
        <v>112</v>
      </c>
      <c r="C52" s="5" t="s">
        <v>16</v>
      </c>
      <c r="D52" s="5" t="s">
        <v>113</v>
      </c>
      <c r="E52" s="5" t="s">
        <v>105</v>
      </c>
      <c r="F52" s="5" t="s">
        <v>114</v>
      </c>
      <c r="G52" s="6">
        <v>1050</v>
      </c>
      <c r="H52" s="12">
        <f t="shared" si="0"/>
        <v>3</v>
      </c>
      <c r="I52" s="12">
        <f t="shared" si="1"/>
        <v>2026</v>
      </c>
      <c r="J52" s="13">
        <f t="shared" si="2"/>
        <v>-1050</v>
      </c>
      <c r="K52" s="12" t="str">
        <f>IF(C52="","",IFERROR(INDEX(Listen!$B$2:$B$100,MATCH(C52,Listen!$A$2:$A$100,0)),""))</f>
        <v>Bedarf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11">
        <v>46085</v>
      </c>
      <c r="B53" s="5" t="s">
        <v>112</v>
      </c>
      <c r="C53" s="5" t="s">
        <v>22</v>
      </c>
      <c r="D53" s="5" t="s">
        <v>115</v>
      </c>
      <c r="E53" s="5" t="s">
        <v>105</v>
      </c>
      <c r="F53" s="5" t="s">
        <v>116</v>
      </c>
      <c r="G53" s="6">
        <v>97</v>
      </c>
      <c r="H53" s="12">
        <f t="shared" si="0"/>
        <v>3</v>
      </c>
      <c r="I53" s="12">
        <f t="shared" si="1"/>
        <v>2026</v>
      </c>
      <c r="J53" s="13">
        <f t="shared" si="2"/>
        <v>-97</v>
      </c>
      <c r="K53" s="12" t="str">
        <f>IF(C53="","",IFERROR(INDEX(Listen!$B$2:$B$100,MATCH(C53,Listen!$A$2:$A$100,0)),""))</f>
        <v>Bedarf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11">
        <v>46085</v>
      </c>
      <c r="B54" s="5" t="s">
        <v>24</v>
      </c>
      <c r="C54" s="5" t="s">
        <v>49</v>
      </c>
      <c r="D54" s="5" t="s">
        <v>117</v>
      </c>
      <c r="E54" s="5" t="s">
        <v>105</v>
      </c>
      <c r="F54" s="5" t="s">
        <v>118</v>
      </c>
      <c r="G54" s="6">
        <v>150</v>
      </c>
      <c r="H54" s="12">
        <f t="shared" si="0"/>
        <v>3</v>
      </c>
      <c r="I54" s="12">
        <f t="shared" si="1"/>
        <v>2026</v>
      </c>
      <c r="J54" s="13">
        <f t="shared" si="2"/>
        <v>-150</v>
      </c>
      <c r="K54" s="12" t="str">
        <f>IF(C54="","",IFERROR(INDEX(Listen!$B$2:$B$100,MATCH(C54,Listen!$A$2:$A$100,0)),""))</f>
        <v>Sparen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11">
        <v>46085</v>
      </c>
      <c r="B55" s="5" t="s">
        <v>24</v>
      </c>
      <c r="C55" s="5" t="s">
        <v>51</v>
      </c>
      <c r="D55" s="5" t="s">
        <v>119</v>
      </c>
      <c r="E55" s="5" t="s">
        <v>110</v>
      </c>
      <c r="F55" s="5" t="s">
        <v>120</v>
      </c>
      <c r="G55" s="6">
        <v>120</v>
      </c>
      <c r="H55" s="12">
        <f t="shared" si="0"/>
        <v>3</v>
      </c>
      <c r="I55" s="12">
        <f t="shared" si="1"/>
        <v>2026</v>
      </c>
      <c r="J55" s="13">
        <f t="shared" si="2"/>
        <v>-120</v>
      </c>
      <c r="K55" s="12" t="str">
        <f>IF(C55="","",IFERROR(INDEX(Listen!$B$2:$B$100,MATCH(C55,Listen!$A$2:$A$100,0)),""))</f>
        <v>Sparen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A56" s="11">
        <v>46086</v>
      </c>
      <c r="B56" s="5" t="s">
        <v>112</v>
      </c>
      <c r="C56" s="5" t="s">
        <v>19</v>
      </c>
      <c r="D56" s="5" t="s">
        <v>121</v>
      </c>
      <c r="E56" s="5" t="s">
        <v>105</v>
      </c>
      <c r="F56" s="5" t="s">
        <v>122</v>
      </c>
      <c r="G56" s="6">
        <v>138</v>
      </c>
      <c r="H56" s="12">
        <f t="shared" si="0"/>
        <v>3</v>
      </c>
      <c r="I56" s="12">
        <f t="shared" si="1"/>
        <v>2026</v>
      </c>
      <c r="J56" s="13">
        <f t="shared" si="2"/>
        <v>-138</v>
      </c>
      <c r="K56" s="12" t="str">
        <f>IF(C56="","",IFERROR(INDEX(Listen!$B$2:$B$100,MATCH(C56,Listen!$A$2:$A$100,0)),""))</f>
        <v>Bedarf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5">
      <c r="A57" s="11">
        <v>46087</v>
      </c>
      <c r="B57" s="5" t="s">
        <v>112</v>
      </c>
      <c r="C57" s="5" t="s">
        <v>30</v>
      </c>
      <c r="D57" s="5" t="s">
        <v>123</v>
      </c>
      <c r="E57" s="5" t="s">
        <v>105</v>
      </c>
      <c r="F57" s="5" t="s">
        <v>124</v>
      </c>
      <c r="G57" s="6">
        <v>59</v>
      </c>
      <c r="H57" s="12">
        <f t="shared" si="0"/>
        <v>3</v>
      </c>
      <c r="I57" s="12">
        <f t="shared" si="1"/>
        <v>2026</v>
      </c>
      <c r="J57" s="13">
        <f t="shared" si="2"/>
        <v>-59</v>
      </c>
      <c r="K57" s="12" t="str">
        <f>IF(C57="","",IFERROR(INDEX(Listen!$B$2:$B$100,MATCH(C57,Listen!$A$2:$A$100,0)),""))</f>
        <v>Bedarf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5">
      <c r="A58" s="11">
        <v>46088</v>
      </c>
      <c r="B58" s="5" t="s">
        <v>125</v>
      </c>
      <c r="C58" s="5" t="s">
        <v>53</v>
      </c>
      <c r="D58" s="5" t="s">
        <v>126</v>
      </c>
      <c r="E58" s="5" t="s">
        <v>105</v>
      </c>
      <c r="F58" s="5" t="s">
        <v>127</v>
      </c>
      <c r="G58" s="6">
        <v>180</v>
      </c>
      <c r="H58" s="12">
        <f t="shared" si="0"/>
        <v>3</v>
      </c>
      <c r="I58" s="12">
        <f t="shared" si="1"/>
        <v>2026</v>
      </c>
      <c r="J58" s="13">
        <f t="shared" si="2"/>
        <v>-180</v>
      </c>
      <c r="K58" s="12" t="str">
        <f>IF(C58="","",IFERROR(INDEX(Listen!$B$2:$B$100,MATCH(C58,Listen!$A$2:$A$100,0)),""))</f>
        <v>Schulden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5">
      <c r="A59" s="11">
        <v>46089</v>
      </c>
      <c r="B59" s="5" t="s">
        <v>112</v>
      </c>
      <c r="C59" s="5" t="s">
        <v>32</v>
      </c>
      <c r="D59" s="5" t="s">
        <v>128</v>
      </c>
      <c r="E59" s="5" t="s">
        <v>105</v>
      </c>
      <c r="F59" s="5" t="s">
        <v>129</v>
      </c>
      <c r="G59" s="6">
        <v>39</v>
      </c>
      <c r="H59" s="12">
        <f t="shared" si="0"/>
        <v>3</v>
      </c>
      <c r="I59" s="12">
        <f t="shared" si="1"/>
        <v>2026</v>
      </c>
      <c r="J59" s="13">
        <f t="shared" si="2"/>
        <v>-39</v>
      </c>
      <c r="K59" s="12" t="str">
        <f>IF(C59="","",IFERROR(INDEX(Listen!$B$2:$B$100,MATCH(C59,Listen!$A$2:$A$100,0)),""))</f>
        <v>Bedarf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5">
      <c r="A60" s="11">
        <v>46091</v>
      </c>
      <c r="B60" s="5" t="s">
        <v>112</v>
      </c>
      <c r="C60" s="5" t="s">
        <v>32</v>
      </c>
      <c r="D60" s="5" t="s">
        <v>130</v>
      </c>
      <c r="E60" s="5" t="s">
        <v>105</v>
      </c>
      <c r="F60" s="5" t="s">
        <v>130</v>
      </c>
      <c r="G60" s="6">
        <v>24</v>
      </c>
      <c r="H60" s="12">
        <f t="shared" si="0"/>
        <v>3</v>
      </c>
      <c r="I60" s="12">
        <f t="shared" si="1"/>
        <v>2026</v>
      </c>
      <c r="J60" s="13">
        <f t="shared" si="2"/>
        <v>-24</v>
      </c>
      <c r="K60" s="12" t="str">
        <f>IF(C60="","",IFERROR(INDEX(Listen!$B$2:$B$100,MATCH(C60,Listen!$A$2:$A$100,0)),""))</f>
        <v>Bedarf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5">
      <c r="A61" s="11">
        <v>46092</v>
      </c>
      <c r="B61" s="5" t="s">
        <v>112</v>
      </c>
      <c r="C61" s="5" t="s">
        <v>25</v>
      </c>
      <c r="D61" s="5" t="s">
        <v>131</v>
      </c>
      <c r="E61" s="5" t="s">
        <v>105</v>
      </c>
      <c r="F61" s="5" t="s">
        <v>132</v>
      </c>
      <c r="G61" s="6">
        <v>117</v>
      </c>
      <c r="H61" s="12">
        <f t="shared" si="0"/>
        <v>3</v>
      </c>
      <c r="I61" s="12">
        <f t="shared" si="1"/>
        <v>2026</v>
      </c>
      <c r="J61" s="13">
        <f t="shared" si="2"/>
        <v>-117</v>
      </c>
      <c r="K61" s="12" t="str">
        <f>IF(C61="","",IFERROR(INDEX(Listen!$B$2:$B$100,MATCH(C61,Listen!$A$2:$A$100,0)),""))</f>
        <v>Bedarf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5">
      <c r="A62" s="11">
        <v>46092</v>
      </c>
      <c r="B62" s="5" t="s">
        <v>112</v>
      </c>
      <c r="C62" s="5" t="s">
        <v>22</v>
      </c>
      <c r="D62" s="5" t="s">
        <v>115</v>
      </c>
      <c r="E62" s="5" t="s">
        <v>105</v>
      </c>
      <c r="F62" s="5" t="s">
        <v>116</v>
      </c>
      <c r="G62" s="6">
        <v>83</v>
      </c>
      <c r="H62" s="12">
        <f t="shared" si="0"/>
        <v>3</v>
      </c>
      <c r="I62" s="12">
        <f t="shared" si="1"/>
        <v>2026</v>
      </c>
      <c r="J62" s="13">
        <f t="shared" si="2"/>
        <v>-83</v>
      </c>
      <c r="K62" s="12" t="str">
        <f>IF(C62="","",IFERROR(INDEX(Listen!$B$2:$B$100,MATCH(C62,Listen!$A$2:$A$100,0)),""))</f>
        <v>Bedarf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5">
      <c r="A63" s="11">
        <v>46095</v>
      </c>
      <c r="B63" s="5" t="s">
        <v>112</v>
      </c>
      <c r="C63" s="5" t="s">
        <v>28</v>
      </c>
      <c r="D63" s="5" t="s">
        <v>133</v>
      </c>
      <c r="E63" s="5" t="s">
        <v>105</v>
      </c>
      <c r="F63" s="5" t="s">
        <v>28</v>
      </c>
      <c r="G63" s="6">
        <v>35</v>
      </c>
      <c r="H63" s="12">
        <f t="shared" si="0"/>
        <v>3</v>
      </c>
      <c r="I63" s="12">
        <f t="shared" si="1"/>
        <v>2026</v>
      </c>
      <c r="J63" s="13">
        <f t="shared" si="2"/>
        <v>-35</v>
      </c>
      <c r="K63" s="12" t="str">
        <f>IF(C63="","",IFERROR(INDEX(Listen!$B$2:$B$100,MATCH(C63,Listen!$A$2:$A$100,0)),""))</f>
        <v>Bedarf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5">
      <c r="A64" s="11">
        <v>46096</v>
      </c>
      <c r="B64" s="5" t="s">
        <v>112</v>
      </c>
      <c r="C64" s="5" t="s">
        <v>36</v>
      </c>
      <c r="D64" s="5" t="s">
        <v>134</v>
      </c>
      <c r="E64" s="5" t="s">
        <v>54</v>
      </c>
      <c r="F64" s="5" t="s">
        <v>135</v>
      </c>
      <c r="G64" s="6">
        <v>178</v>
      </c>
      <c r="H64" s="12">
        <f t="shared" si="0"/>
        <v>3</v>
      </c>
      <c r="I64" s="12">
        <f t="shared" si="1"/>
        <v>2026</v>
      </c>
      <c r="J64" s="13">
        <f t="shared" si="2"/>
        <v>-178</v>
      </c>
      <c r="K64" s="12" t="str">
        <f>IF(C64="","",IFERROR(INDEX(Listen!$B$2:$B$100,MATCH(C64,Listen!$A$2:$A$100,0)),""))</f>
        <v>Wunsch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5">
      <c r="A65" s="11">
        <v>46099</v>
      </c>
      <c r="B65" s="5" t="s">
        <v>112</v>
      </c>
      <c r="C65" s="5" t="s">
        <v>22</v>
      </c>
      <c r="D65" s="5" t="s">
        <v>115</v>
      </c>
      <c r="E65" s="5" t="s">
        <v>105</v>
      </c>
      <c r="F65" s="5" t="s">
        <v>116</v>
      </c>
      <c r="G65" s="6">
        <v>129</v>
      </c>
      <c r="H65" s="12">
        <f t="shared" si="0"/>
        <v>3</v>
      </c>
      <c r="I65" s="12">
        <f t="shared" si="1"/>
        <v>2026</v>
      </c>
      <c r="J65" s="13">
        <f t="shared" si="2"/>
        <v>-129</v>
      </c>
      <c r="K65" s="12" t="str">
        <f>IF(C65="","",IFERROR(INDEX(Listen!$B$2:$B$100,MATCH(C65,Listen!$A$2:$A$100,0)),""))</f>
        <v>Bedarf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5">
      <c r="A66" s="11">
        <v>46099</v>
      </c>
      <c r="B66" s="5" t="s">
        <v>125</v>
      </c>
      <c r="C66" s="5" t="s">
        <v>54</v>
      </c>
      <c r="D66" s="5" t="s">
        <v>136</v>
      </c>
      <c r="E66" s="5" t="s">
        <v>105</v>
      </c>
      <c r="F66" s="5" t="s">
        <v>137</v>
      </c>
      <c r="G66" s="6">
        <v>120</v>
      </c>
      <c r="H66" s="12">
        <f t="shared" si="0"/>
        <v>3</v>
      </c>
      <c r="I66" s="12">
        <f t="shared" si="1"/>
        <v>2026</v>
      </c>
      <c r="J66" s="13">
        <f t="shared" si="2"/>
        <v>-120</v>
      </c>
      <c r="K66" s="12" t="str">
        <f>IF(C66="","",IFERROR(INDEX(Listen!$B$2:$B$100,MATCH(C66,Listen!$A$2:$A$100,0)),""))</f>
        <v>Schulden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5">
      <c r="A67" s="11">
        <v>46101</v>
      </c>
      <c r="B67" s="5" t="s">
        <v>112</v>
      </c>
      <c r="C67" s="5" t="s">
        <v>34</v>
      </c>
      <c r="D67" s="5" t="s">
        <v>138</v>
      </c>
      <c r="E67" s="5" t="s">
        <v>54</v>
      </c>
      <c r="F67" s="5" t="s">
        <v>139</v>
      </c>
      <c r="G67" s="6">
        <v>120</v>
      </c>
      <c r="H67" s="12">
        <f t="shared" si="0"/>
        <v>3</v>
      </c>
      <c r="I67" s="12">
        <f t="shared" si="1"/>
        <v>2026</v>
      </c>
      <c r="J67" s="13">
        <f t="shared" si="2"/>
        <v>-120</v>
      </c>
      <c r="K67" s="12" t="str">
        <f>IF(C67="","",IFERROR(INDEX(Listen!$B$2:$B$100,MATCH(C67,Listen!$A$2:$A$100,0)),""))</f>
        <v>Wunsch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5">
      <c r="A68" s="11">
        <v>46105</v>
      </c>
      <c r="B68" s="5" t="s">
        <v>112</v>
      </c>
      <c r="C68" s="5" t="s">
        <v>42</v>
      </c>
      <c r="D68" s="5" t="s">
        <v>145</v>
      </c>
      <c r="E68" s="5" t="s">
        <v>105</v>
      </c>
      <c r="F68" s="5" t="s">
        <v>42</v>
      </c>
      <c r="G68" s="6">
        <v>60</v>
      </c>
      <c r="H68" s="12">
        <f t="shared" si="0"/>
        <v>3</v>
      </c>
      <c r="I68" s="12">
        <f t="shared" si="1"/>
        <v>2026</v>
      </c>
      <c r="J68" s="13">
        <f t="shared" si="2"/>
        <v>-60</v>
      </c>
      <c r="K68" s="12" t="str">
        <f>IF(C68="","",IFERROR(INDEX(Listen!$B$2:$B$100,MATCH(C68,Listen!$A$2:$A$100,0)),""))</f>
        <v>Wunsch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5">
      <c r="A69" s="11">
        <v>46106</v>
      </c>
      <c r="B69" s="5" t="s">
        <v>112</v>
      </c>
      <c r="C69" s="5" t="s">
        <v>22</v>
      </c>
      <c r="D69" s="5" t="s">
        <v>115</v>
      </c>
      <c r="E69" s="5" t="s">
        <v>105</v>
      </c>
      <c r="F69" s="5" t="s">
        <v>116</v>
      </c>
      <c r="G69" s="6">
        <v>100</v>
      </c>
      <c r="H69" s="12">
        <f t="shared" si="0"/>
        <v>3</v>
      </c>
      <c r="I69" s="12">
        <f t="shared" si="1"/>
        <v>2026</v>
      </c>
      <c r="J69" s="13">
        <f t="shared" si="2"/>
        <v>-100</v>
      </c>
      <c r="K69" s="12" t="str">
        <f>IF(C69="","",IFERROR(INDEX(Listen!$B$2:$B$100,MATCH(C69,Listen!$A$2:$A$100,0)),""))</f>
        <v>Bedarf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5">
      <c r="A70" s="11">
        <v>46109</v>
      </c>
      <c r="B70" s="5" t="s">
        <v>103</v>
      </c>
      <c r="C70" s="5" t="s">
        <v>82</v>
      </c>
      <c r="D70" s="5" t="s">
        <v>108</v>
      </c>
      <c r="E70" s="5" t="s">
        <v>108</v>
      </c>
      <c r="F70" s="5" t="s">
        <v>146</v>
      </c>
      <c r="G70" s="6">
        <v>18</v>
      </c>
      <c r="H70" s="12">
        <f t="shared" ref="H70:H133" si="3">IF(A70="",0,MONTH(A70))</f>
        <v>3</v>
      </c>
      <c r="I70" s="12">
        <f t="shared" ref="I70:I133" si="4">IF(A70="",0,YEAR(A70))</f>
        <v>2026</v>
      </c>
      <c r="J70" s="13">
        <f t="shared" ref="J70:J133" si="5">IF(A70="",0,IF(B70="Einnahme",G70,IF(B70="Transfer",0,-G70)))</f>
        <v>18</v>
      </c>
      <c r="K70" s="12" t="str">
        <f>IF(C70="","",IFERROR(INDEX(Listen!$B$2:$B$100,MATCH(C70,Listen!$A$2:$A$100,0)),""))</f>
        <v>Einkommen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5">
      <c r="A71" s="11">
        <v>46113</v>
      </c>
      <c r="B71" s="5" t="s">
        <v>103</v>
      </c>
      <c r="C71" s="5" t="s">
        <v>80</v>
      </c>
      <c r="D71" s="5" t="s">
        <v>104</v>
      </c>
      <c r="E71" s="5" t="s">
        <v>105</v>
      </c>
      <c r="F71" s="5" t="s">
        <v>106</v>
      </c>
      <c r="G71" s="6">
        <v>3200</v>
      </c>
      <c r="H71" s="12">
        <f t="shared" si="3"/>
        <v>4</v>
      </c>
      <c r="I71" s="12">
        <f t="shared" si="4"/>
        <v>2026</v>
      </c>
      <c r="J71" s="13">
        <f t="shared" si="5"/>
        <v>3200</v>
      </c>
      <c r="K71" s="12" t="str">
        <f>IF(C71="","",IFERROR(INDEX(Listen!$B$2:$B$100,MATCH(C71,Listen!$A$2:$A$100,0)),""))</f>
        <v>Einkommen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5">
      <c r="A72" s="11">
        <v>46114</v>
      </c>
      <c r="B72" s="5" t="s">
        <v>24</v>
      </c>
      <c r="C72" s="5" t="s">
        <v>47</v>
      </c>
      <c r="D72" s="5" t="s">
        <v>107</v>
      </c>
      <c r="E72" s="5" t="s">
        <v>108</v>
      </c>
      <c r="F72" s="5" t="s">
        <v>109</v>
      </c>
      <c r="G72" s="6">
        <v>350</v>
      </c>
      <c r="H72" s="12">
        <f t="shared" si="3"/>
        <v>4</v>
      </c>
      <c r="I72" s="12">
        <f t="shared" si="4"/>
        <v>2026</v>
      </c>
      <c r="J72" s="13">
        <f t="shared" si="5"/>
        <v>-350</v>
      </c>
      <c r="K72" s="12" t="str">
        <f>IF(C72="","",IFERROR(INDEX(Listen!$B$2:$B$100,MATCH(C72,Listen!$A$2:$A$100,0)),""))</f>
        <v>Sparen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5">
      <c r="A73" s="11">
        <v>46114</v>
      </c>
      <c r="B73" s="5" t="s">
        <v>24</v>
      </c>
      <c r="C73" s="5" t="s">
        <v>45</v>
      </c>
      <c r="D73" s="5" t="s">
        <v>110</v>
      </c>
      <c r="E73" s="5" t="s">
        <v>110</v>
      </c>
      <c r="F73" s="5" t="s">
        <v>111</v>
      </c>
      <c r="G73" s="6">
        <v>250</v>
      </c>
      <c r="H73" s="12">
        <f t="shared" si="3"/>
        <v>4</v>
      </c>
      <c r="I73" s="12">
        <f t="shared" si="4"/>
        <v>2026</v>
      </c>
      <c r="J73" s="13">
        <f t="shared" si="5"/>
        <v>-250</v>
      </c>
      <c r="K73" s="12" t="str">
        <f>IF(C73="","",IFERROR(INDEX(Listen!$B$2:$B$100,MATCH(C73,Listen!$A$2:$A$100,0)),""))</f>
        <v>Sparen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5">
      <c r="A74" s="11">
        <v>46115</v>
      </c>
      <c r="B74" s="5" t="s">
        <v>112</v>
      </c>
      <c r="C74" s="5" t="s">
        <v>16</v>
      </c>
      <c r="D74" s="5" t="s">
        <v>113</v>
      </c>
      <c r="E74" s="5" t="s">
        <v>105</v>
      </c>
      <c r="F74" s="5" t="s">
        <v>114</v>
      </c>
      <c r="G74" s="6">
        <v>1050</v>
      </c>
      <c r="H74" s="12">
        <f t="shared" si="3"/>
        <v>4</v>
      </c>
      <c r="I74" s="12">
        <f t="shared" si="4"/>
        <v>2026</v>
      </c>
      <c r="J74" s="13">
        <f t="shared" si="5"/>
        <v>-1050</v>
      </c>
      <c r="K74" s="12" t="str">
        <f>IF(C74="","",IFERROR(INDEX(Listen!$B$2:$B$100,MATCH(C74,Listen!$A$2:$A$100,0)),""))</f>
        <v>Bedarf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5">
      <c r="A75" s="11">
        <v>46116</v>
      </c>
      <c r="B75" s="5" t="s">
        <v>112</v>
      </c>
      <c r="C75" s="5" t="s">
        <v>22</v>
      </c>
      <c r="D75" s="5" t="s">
        <v>115</v>
      </c>
      <c r="E75" s="5" t="s">
        <v>105</v>
      </c>
      <c r="F75" s="5" t="s">
        <v>116</v>
      </c>
      <c r="G75" s="6">
        <v>99</v>
      </c>
      <c r="H75" s="12">
        <f t="shared" si="3"/>
        <v>4</v>
      </c>
      <c r="I75" s="12">
        <f t="shared" si="4"/>
        <v>2026</v>
      </c>
      <c r="J75" s="13">
        <f t="shared" si="5"/>
        <v>-99</v>
      </c>
      <c r="K75" s="12" t="str">
        <f>IF(C75="","",IFERROR(INDEX(Listen!$B$2:$B$100,MATCH(C75,Listen!$A$2:$A$100,0)),""))</f>
        <v>Bedarf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5">
      <c r="A76" s="11">
        <v>46116</v>
      </c>
      <c r="B76" s="5" t="s">
        <v>24</v>
      </c>
      <c r="C76" s="5" t="s">
        <v>49</v>
      </c>
      <c r="D76" s="5" t="s">
        <v>117</v>
      </c>
      <c r="E76" s="5" t="s">
        <v>105</v>
      </c>
      <c r="F76" s="5" t="s">
        <v>118</v>
      </c>
      <c r="G76" s="6">
        <v>150</v>
      </c>
      <c r="H76" s="12">
        <f t="shared" si="3"/>
        <v>4</v>
      </c>
      <c r="I76" s="12">
        <f t="shared" si="4"/>
        <v>2026</v>
      </c>
      <c r="J76" s="13">
        <f t="shared" si="5"/>
        <v>-150</v>
      </c>
      <c r="K76" s="12" t="str">
        <f>IF(C76="","",IFERROR(INDEX(Listen!$B$2:$B$100,MATCH(C76,Listen!$A$2:$A$100,0)),""))</f>
        <v>Sparen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5">
      <c r="A77" s="11">
        <v>46116</v>
      </c>
      <c r="B77" s="5" t="s">
        <v>24</v>
      </c>
      <c r="C77" s="5" t="s">
        <v>51</v>
      </c>
      <c r="D77" s="5" t="s">
        <v>119</v>
      </c>
      <c r="E77" s="5" t="s">
        <v>110</v>
      </c>
      <c r="F77" s="5" t="s">
        <v>120</v>
      </c>
      <c r="G77" s="6">
        <v>120</v>
      </c>
      <c r="H77" s="12">
        <f t="shared" si="3"/>
        <v>4</v>
      </c>
      <c r="I77" s="12">
        <f t="shared" si="4"/>
        <v>2026</v>
      </c>
      <c r="J77" s="13">
        <f t="shared" si="5"/>
        <v>-120</v>
      </c>
      <c r="K77" s="12" t="str">
        <f>IF(C77="","",IFERROR(INDEX(Listen!$B$2:$B$100,MATCH(C77,Listen!$A$2:$A$100,0)),""))</f>
        <v>Sparen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5">
      <c r="A78" s="11">
        <v>46117</v>
      </c>
      <c r="B78" s="5" t="s">
        <v>112</v>
      </c>
      <c r="C78" s="5" t="s">
        <v>19</v>
      </c>
      <c r="D78" s="5" t="s">
        <v>121</v>
      </c>
      <c r="E78" s="5" t="s">
        <v>105</v>
      </c>
      <c r="F78" s="5" t="s">
        <v>122</v>
      </c>
      <c r="G78" s="6">
        <v>138</v>
      </c>
      <c r="H78" s="12">
        <f t="shared" si="3"/>
        <v>4</v>
      </c>
      <c r="I78" s="12">
        <f t="shared" si="4"/>
        <v>2026</v>
      </c>
      <c r="J78" s="13">
        <f t="shared" si="5"/>
        <v>-138</v>
      </c>
      <c r="K78" s="12" t="str">
        <f>IF(C78="","",IFERROR(INDEX(Listen!$B$2:$B$100,MATCH(C78,Listen!$A$2:$A$100,0)),""))</f>
        <v>Bedarf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25">
      <c r="A79" s="11">
        <v>46118</v>
      </c>
      <c r="B79" s="5" t="s">
        <v>112</v>
      </c>
      <c r="C79" s="5" t="s">
        <v>30</v>
      </c>
      <c r="D79" s="5" t="s">
        <v>123</v>
      </c>
      <c r="E79" s="5" t="s">
        <v>105</v>
      </c>
      <c r="F79" s="5" t="s">
        <v>124</v>
      </c>
      <c r="G79" s="6">
        <v>59</v>
      </c>
      <c r="H79" s="12">
        <f t="shared" si="3"/>
        <v>4</v>
      </c>
      <c r="I79" s="12">
        <f t="shared" si="4"/>
        <v>2026</v>
      </c>
      <c r="J79" s="13">
        <f t="shared" si="5"/>
        <v>-59</v>
      </c>
      <c r="K79" s="12" t="str">
        <f>IF(C79="","",IFERROR(INDEX(Listen!$B$2:$B$100,MATCH(C79,Listen!$A$2:$A$100,0)),""))</f>
        <v>Bedarf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5">
      <c r="A80" s="11">
        <v>46119</v>
      </c>
      <c r="B80" s="5" t="s">
        <v>125</v>
      </c>
      <c r="C80" s="5" t="s">
        <v>53</v>
      </c>
      <c r="D80" s="5" t="s">
        <v>126</v>
      </c>
      <c r="E80" s="5" t="s">
        <v>105</v>
      </c>
      <c r="F80" s="5" t="s">
        <v>127</v>
      </c>
      <c r="G80" s="6">
        <v>180</v>
      </c>
      <c r="H80" s="12">
        <f t="shared" si="3"/>
        <v>4</v>
      </c>
      <c r="I80" s="12">
        <f t="shared" si="4"/>
        <v>2026</v>
      </c>
      <c r="J80" s="13">
        <f t="shared" si="5"/>
        <v>-180</v>
      </c>
      <c r="K80" s="12" t="str">
        <f>IF(C80="","",IFERROR(INDEX(Listen!$B$2:$B$100,MATCH(C80,Listen!$A$2:$A$100,0)),""))</f>
        <v>Schulden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5">
      <c r="A81" s="11">
        <v>46120</v>
      </c>
      <c r="B81" s="5" t="s">
        <v>112</v>
      </c>
      <c r="C81" s="5" t="s">
        <v>32</v>
      </c>
      <c r="D81" s="5" t="s">
        <v>128</v>
      </c>
      <c r="E81" s="5" t="s">
        <v>105</v>
      </c>
      <c r="F81" s="5" t="s">
        <v>129</v>
      </c>
      <c r="G81" s="6">
        <v>39</v>
      </c>
      <c r="H81" s="12">
        <f t="shared" si="3"/>
        <v>4</v>
      </c>
      <c r="I81" s="12">
        <f t="shared" si="4"/>
        <v>2026</v>
      </c>
      <c r="J81" s="13">
        <f t="shared" si="5"/>
        <v>-39</v>
      </c>
      <c r="K81" s="12" t="str">
        <f>IF(C81="","",IFERROR(INDEX(Listen!$B$2:$B$100,MATCH(C81,Listen!$A$2:$A$100,0)),""))</f>
        <v>Bedarf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5">
      <c r="A82" s="11">
        <v>46122</v>
      </c>
      <c r="B82" s="5" t="s">
        <v>112</v>
      </c>
      <c r="C82" s="5" t="s">
        <v>32</v>
      </c>
      <c r="D82" s="5" t="s">
        <v>130</v>
      </c>
      <c r="E82" s="5" t="s">
        <v>105</v>
      </c>
      <c r="F82" s="5" t="s">
        <v>130</v>
      </c>
      <c r="G82" s="6">
        <v>24</v>
      </c>
      <c r="H82" s="12">
        <f t="shared" si="3"/>
        <v>4</v>
      </c>
      <c r="I82" s="12">
        <f t="shared" si="4"/>
        <v>2026</v>
      </c>
      <c r="J82" s="13">
        <f t="shared" si="5"/>
        <v>-24</v>
      </c>
      <c r="K82" s="12" t="str">
        <f>IF(C82="","",IFERROR(INDEX(Listen!$B$2:$B$100,MATCH(C82,Listen!$A$2:$A$100,0)),""))</f>
        <v>Bedarf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25">
      <c r="A83" s="11">
        <v>46123</v>
      </c>
      <c r="B83" s="5" t="s">
        <v>112</v>
      </c>
      <c r="C83" s="5" t="s">
        <v>25</v>
      </c>
      <c r="D83" s="5" t="s">
        <v>131</v>
      </c>
      <c r="E83" s="5" t="s">
        <v>105</v>
      </c>
      <c r="F83" s="5" t="s">
        <v>132</v>
      </c>
      <c r="G83" s="6">
        <v>92</v>
      </c>
      <c r="H83" s="12">
        <f t="shared" si="3"/>
        <v>4</v>
      </c>
      <c r="I83" s="12">
        <f t="shared" si="4"/>
        <v>2026</v>
      </c>
      <c r="J83" s="13">
        <f t="shared" si="5"/>
        <v>-92</v>
      </c>
      <c r="K83" s="12" t="str">
        <f>IF(C83="","",IFERROR(INDEX(Listen!$B$2:$B$100,MATCH(C83,Listen!$A$2:$A$100,0)),""))</f>
        <v>Bedarf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5">
      <c r="A84" s="11">
        <v>46123</v>
      </c>
      <c r="B84" s="5" t="s">
        <v>112</v>
      </c>
      <c r="C84" s="5" t="s">
        <v>22</v>
      </c>
      <c r="D84" s="5" t="s">
        <v>115</v>
      </c>
      <c r="E84" s="5" t="s">
        <v>105</v>
      </c>
      <c r="F84" s="5" t="s">
        <v>116</v>
      </c>
      <c r="G84" s="6">
        <v>88</v>
      </c>
      <c r="H84" s="12">
        <f t="shared" si="3"/>
        <v>4</v>
      </c>
      <c r="I84" s="12">
        <f t="shared" si="4"/>
        <v>2026</v>
      </c>
      <c r="J84" s="13">
        <f t="shared" si="5"/>
        <v>-88</v>
      </c>
      <c r="K84" s="12" t="str">
        <f>IF(C84="","",IFERROR(INDEX(Listen!$B$2:$B$100,MATCH(C84,Listen!$A$2:$A$100,0)),""))</f>
        <v>Bedarf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5">
      <c r="A85" s="11">
        <v>46124</v>
      </c>
      <c r="B85" s="5" t="s">
        <v>103</v>
      </c>
      <c r="C85" s="5" t="s">
        <v>81</v>
      </c>
      <c r="D85" s="5" t="s">
        <v>141</v>
      </c>
      <c r="E85" s="5" t="s">
        <v>105</v>
      </c>
      <c r="F85" s="5" t="s">
        <v>142</v>
      </c>
      <c r="G85" s="6">
        <v>180</v>
      </c>
      <c r="H85" s="12">
        <f t="shared" si="3"/>
        <v>4</v>
      </c>
      <c r="I85" s="12">
        <f t="shared" si="4"/>
        <v>2026</v>
      </c>
      <c r="J85" s="13">
        <f t="shared" si="5"/>
        <v>180</v>
      </c>
      <c r="K85" s="12" t="str">
        <f>IF(C85="","",IFERROR(INDEX(Listen!$B$2:$B$100,MATCH(C85,Listen!$A$2:$A$100,0)),""))</f>
        <v>Einkommen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25">
      <c r="A86" s="11">
        <v>46126</v>
      </c>
      <c r="B86" s="5" t="s">
        <v>112</v>
      </c>
      <c r="C86" s="5" t="s">
        <v>28</v>
      </c>
      <c r="D86" s="5" t="s">
        <v>133</v>
      </c>
      <c r="E86" s="5" t="s">
        <v>105</v>
      </c>
      <c r="F86" s="5" t="s">
        <v>28</v>
      </c>
      <c r="G86" s="6">
        <v>80</v>
      </c>
      <c r="H86" s="12">
        <f t="shared" si="3"/>
        <v>4</v>
      </c>
      <c r="I86" s="12">
        <f t="shared" si="4"/>
        <v>2026</v>
      </c>
      <c r="J86" s="13">
        <f t="shared" si="5"/>
        <v>-80</v>
      </c>
      <c r="K86" s="12" t="str">
        <f>IF(C86="","",IFERROR(INDEX(Listen!$B$2:$B$100,MATCH(C86,Listen!$A$2:$A$100,0)),""))</f>
        <v>Bedarf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25">
      <c r="A87" s="11">
        <v>46127</v>
      </c>
      <c r="B87" s="5" t="s">
        <v>112</v>
      </c>
      <c r="C87" s="5" t="s">
        <v>36</v>
      </c>
      <c r="D87" s="5" t="s">
        <v>134</v>
      </c>
      <c r="E87" s="5" t="s">
        <v>54</v>
      </c>
      <c r="F87" s="5" t="s">
        <v>135</v>
      </c>
      <c r="G87" s="6">
        <v>160</v>
      </c>
      <c r="H87" s="12">
        <f t="shared" si="3"/>
        <v>4</v>
      </c>
      <c r="I87" s="12">
        <f t="shared" si="4"/>
        <v>2026</v>
      </c>
      <c r="J87" s="13">
        <f t="shared" si="5"/>
        <v>-160</v>
      </c>
      <c r="K87" s="12" t="str">
        <f>IF(C87="","",IFERROR(INDEX(Listen!$B$2:$B$100,MATCH(C87,Listen!$A$2:$A$100,0)),""))</f>
        <v>Wunsch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25">
      <c r="A88" s="11">
        <v>46130</v>
      </c>
      <c r="B88" s="5" t="s">
        <v>112</v>
      </c>
      <c r="C88" s="5" t="s">
        <v>22</v>
      </c>
      <c r="D88" s="5" t="s">
        <v>115</v>
      </c>
      <c r="E88" s="5" t="s">
        <v>105</v>
      </c>
      <c r="F88" s="5" t="s">
        <v>116</v>
      </c>
      <c r="G88" s="6">
        <v>124</v>
      </c>
      <c r="H88" s="12">
        <f t="shared" si="3"/>
        <v>4</v>
      </c>
      <c r="I88" s="12">
        <f t="shared" si="4"/>
        <v>2026</v>
      </c>
      <c r="J88" s="13">
        <f t="shared" si="5"/>
        <v>-124</v>
      </c>
      <c r="K88" s="12" t="str">
        <f>IF(C88="","",IFERROR(INDEX(Listen!$B$2:$B$100,MATCH(C88,Listen!$A$2:$A$100,0)),""))</f>
        <v>Bedarf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25">
      <c r="A89" s="11">
        <v>46130</v>
      </c>
      <c r="B89" s="5" t="s">
        <v>125</v>
      </c>
      <c r="C89" s="5" t="s">
        <v>54</v>
      </c>
      <c r="D89" s="5" t="s">
        <v>136</v>
      </c>
      <c r="E89" s="5" t="s">
        <v>105</v>
      </c>
      <c r="F89" s="5" t="s">
        <v>137</v>
      </c>
      <c r="G89" s="6">
        <v>120</v>
      </c>
      <c r="H89" s="12">
        <f t="shared" si="3"/>
        <v>4</v>
      </c>
      <c r="I89" s="12">
        <f t="shared" si="4"/>
        <v>2026</v>
      </c>
      <c r="J89" s="13">
        <f t="shared" si="5"/>
        <v>-120</v>
      </c>
      <c r="K89" s="12" t="str">
        <f>IF(C89="","",IFERROR(INDEX(Listen!$B$2:$B$100,MATCH(C89,Listen!$A$2:$A$100,0)),""))</f>
        <v>Schulden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5">
      <c r="A90" s="11">
        <v>46132</v>
      </c>
      <c r="B90" s="5" t="s">
        <v>112</v>
      </c>
      <c r="C90" s="5" t="s">
        <v>34</v>
      </c>
      <c r="D90" s="5" t="s">
        <v>138</v>
      </c>
      <c r="E90" s="5" t="s">
        <v>54</v>
      </c>
      <c r="F90" s="5" t="s">
        <v>139</v>
      </c>
      <c r="G90" s="6">
        <v>140</v>
      </c>
      <c r="H90" s="12">
        <f t="shared" si="3"/>
        <v>4</v>
      </c>
      <c r="I90" s="12">
        <f t="shared" si="4"/>
        <v>2026</v>
      </c>
      <c r="J90" s="13">
        <f t="shared" si="5"/>
        <v>-140</v>
      </c>
      <c r="K90" s="12" t="str">
        <f>IF(C90="","",IFERROR(INDEX(Listen!$B$2:$B$100,MATCH(C90,Listen!$A$2:$A$100,0)),""))</f>
        <v>Wunsch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5">
      <c r="A91" s="11">
        <v>46134</v>
      </c>
      <c r="B91" s="5" t="s">
        <v>112</v>
      </c>
      <c r="C91" s="5" t="s">
        <v>38</v>
      </c>
      <c r="D91" s="5" t="s">
        <v>38</v>
      </c>
      <c r="E91" s="5" t="s">
        <v>54</v>
      </c>
      <c r="F91" s="5" t="s">
        <v>140</v>
      </c>
      <c r="G91" s="6">
        <v>110</v>
      </c>
      <c r="H91" s="12">
        <f t="shared" si="3"/>
        <v>4</v>
      </c>
      <c r="I91" s="12">
        <f t="shared" si="4"/>
        <v>2026</v>
      </c>
      <c r="J91" s="13">
        <f t="shared" si="5"/>
        <v>-110</v>
      </c>
      <c r="K91" s="12" t="str">
        <f>IF(C91="","",IFERROR(INDEX(Listen!$B$2:$B$100,MATCH(C91,Listen!$A$2:$A$100,0)),""))</f>
        <v>Wunsch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5">
      <c r="A92" s="11">
        <v>46137</v>
      </c>
      <c r="B92" s="5" t="s">
        <v>112</v>
      </c>
      <c r="C92" s="5" t="s">
        <v>22</v>
      </c>
      <c r="D92" s="5" t="s">
        <v>115</v>
      </c>
      <c r="E92" s="5" t="s">
        <v>105</v>
      </c>
      <c r="F92" s="5" t="s">
        <v>116</v>
      </c>
      <c r="G92" s="6">
        <v>84</v>
      </c>
      <c r="H92" s="12">
        <f t="shared" si="3"/>
        <v>4</v>
      </c>
      <c r="I92" s="12">
        <f t="shared" si="4"/>
        <v>2026</v>
      </c>
      <c r="J92" s="13">
        <f t="shared" si="5"/>
        <v>-84</v>
      </c>
      <c r="K92" s="12" t="str">
        <f>IF(C92="","",IFERROR(INDEX(Listen!$B$2:$B$100,MATCH(C92,Listen!$A$2:$A$100,0)),""))</f>
        <v>Bedarf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25">
      <c r="A93" s="11">
        <v>46143</v>
      </c>
      <c r="B93" s="5" t="s">
        <v>103</v>
      </c>
      <c r="C93" s="5" t="s">
        <v>80</v>
      </c>
      <c r="D93" s="5" t="s">
        <v>104</v>
      </c>
      <c r="E93" s="5" t="s">
        <v>105</v>
      </c>
      <c r="F93" s="5" t="s">
        <v>106</v>
      </c>
      <c r="G93" s="6">
        <v>3200</v>
      </c>
      <c r="H93" s="12">
        <f t="shared" si="3"/>
        <v>5</v>
      </c>
      <c r="I93" s="12">
        <f t="shared" si="4"/>
        <v>2026</v>
      </c>
      <c r="J93" s="13">
        <f t="shared" si="5"/>
        <v>3200</v>
      </c>
      <c r="K93" s="12" t="str">
        <f>IF(C93="","",IFERROR(INDEX(Listen!$B$2:$B$100,MATCH(C93,Listen!$A$2:$A$100,0)),""))</f>
        <v>Einkommen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25">
      <c r="A94" s="11">
        <v>46144</v>
      </c>
      <c r="B94" s="5" t="s">
        <v>24</v>
      </c>
      <c r="C94" s="5" t="s">
        <v>47</v>
      </c>
      <c r="D94" s="5" t="s">
        <v>107</v>
      </c>
      <c r="E94" s="5" t="s">
        <v>108</v>
      </c>
      <c r="F94" s="5" t="s">
        <v>109</v>
      </c>
      <c r="G94" s="6">
        <v>350</v>
      </c>
      <c r="H94" s="12">
        <f t="shared" si="3"/>
        <v>5</v>
      </c>
      <c r="I94" s="12">
        <f t="shared" si="4"/>
        <v>2026</v>
      </c>
      <c r="J94" s="13">
        <f t="shared" si="5"/>
        <v>-350</v>
      </c>
      <c r="K94" s="12" t="str">
        <f>IF(C94="","",IFERROR(INDEX(Listen!$B$2:$B$100,MATCH(C94,Listen!$A$2:$A$100,0)),""))</f>
        <v>Sparen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5">
      <c r="A95" s="11">
        <v>46144</v>
      </c>
      <c r="B95" s="5" t="s">
        <v>24</v>
      </c>
      <c r="C95" s="5" t="s">
        <v>45</v>
      </c>
      <c r="D95" s="5" t="s">
        <v>110</v>
      </c>
      <c r="E95" s="5" t="s">
        <v>110</v>
      </c>
      <c r="F95" s="5" t="s">
        <v>111</v>
      </c>
      <c r="G95" s="6">
        <v>250</v>
      </c>
      <c r="H95" s="12">
        <f t="shared" si="3"/>
        <v>5</v>
      </c>
      <c r="I95" s="12">
        <f t="shared" si="4"/>
        <v>2026</v>
      </c>
      <c r="J95" s="13">
        <f t="shared" si="5"/>
        <v>-250</v>
      </c>
      <c r="K95" s="12" t="str">
        <f>IF(C95="","",IFERROR(INDEX(Listen!$B$2:$B$100,MATCH(C95,Listen!$A$2:$A$100,0)),""))</f>
        <v>Sparen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25">
      <c r="A96" s="11">
        <v>46145</v>
      </c>
      <c r="B96" s="5" t="s">
        <v>112</v>
      </c>
      <c r="C96" s="5" t="s">
        <v>16</v>
      </c>
      <c r="D96" s="5" t="s">
        <v>113</v>
      </c>
      <c r="E96" s="5" t="s">
        <v>105</v>
      </c>
      <c r="F96" s="5" t="s">
        <v>114</v>
      </c>
      <c r="G96" s="6">
        <v>1050</v>
      </c>
      <c r="H96" s="12">
        <f t="shared" si="3"/>
        <v>5</v>
      </c>
      <c r="I96" s="12">
        <f t="shared" si="4"/>
        <v>2026</v>
      </c>
      <c r="J96" s="13">
        <f t="shared" si="5"/>
        <v>-1050</v>
      </c>
      <c r="K96" s="12" t="str">
        <f>IF(C96="","",IFERROR(INDEX(Listen!$B$2:$B$100,MATCH(C96,Listen!$A$2:$A$100,0)),""))</f>
        <v>Bedarf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5">
      <c r="A97" s="11">
        <v>46146</v>
      </c>
      <c r="B97" s="5" t="s">
        <v>112</v>
      </c>
      <c r="C97" s="5" t="s">
        <v>22</v>
      </c>
      <c r="D97" s="5" t="s">
        <v>115</v>
      </c>
      <c r="E97" s="5" t="s">
        <v>105</v>
      </c>
      <c r="F97" s="5" t="s">
        <v>116</v>
      </c>
      <c r="G97" s="6">
        <v>107</v>
      </c>
      <c r="H97" s="12">
        <f t="shared" si="3"/>
        <v>5</v>
      </c>
      <c r="I97" s="12">
        <f t="shared" si="4"/>
        <v>2026</v>
      </c>
      <c r="J97" s="13">
        <f t="shared" si="5"/>
        <v>-107</v>
      </c>
      <c r="K97" s="12" t="str">
        <f>IF(C97="","",IFERROR(INDEX(Listen!$B$2:$B$100,MATCH(C97,Listen!$A$2:$A$100,0)),""))</f>
        <v>Bedarf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25">
      <c r="A98" s="11">
        <v>46146</v>
      </c>
      <c r="B98" s="5" t="s">
        <v>24</v>
      </c>
      <c r="C98" s="5" t="s">
        <v>49</v>
      </c>
      <c r="D98" s="5" t="s">
        <v>117</v>
      </c>
      <c r="E98" s="5" t="s">
        <v>105</v>
      </c>
      <c r="F98" s="5" t="s">
        <v>118</v>
      </c>
      <c r="G98" s="6">
        <v>150</v>
      </c>
      <c r="H98" s="12">
        <f t="shared" si="3"/>
        <v>5</v>
      </c>
      <c r="I98" s="12">
        <f t="shared" si="4"/>
        <v>2026</v>
      </c>
      <c r="J98" s="13">
        <f t="shared" si="5"/>
        <v>-150</v>
      </c>
      <c r="K98" s="12" t="str">
        <f>IF(C98="","",IFERROR(INDEX(Listen!$B$2:$B$100,MATCH(C98,Listen!$A$2:$A$100,0)),""))</f>
        <v>Sparen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5">
      <c r="A99" s="11">
        <v>46146</v>
      </c>
      <c r="B99" s="5" t="s">
        <v>24</v>
      </c>
      <c r="C99" s="5" t="s">
        <v>51</v>
      </c>
      <c r="D99" s="5" t="s">
        <v>119</v>
      </c>
      <c r="E99" s="5" t="s">
        <v>110</v>
      </c>
      <c r="F99" s="5" t="s">
        <v>120</v>
      </c>
      <c r="G99" s="6">
        <v>120</v>
      </c>
      <c r="H99" s="12">
        <f t="shared" si="3"/>
        <v>5</v>
      </c>
      <c r="I99" s="12">
        <f t="shared" si="4"/>
        <v>2026</v>
      </c>
      <c r="J99" s="13">
        <f t="shared" si="5"/>
        <v>-120</v>
      </c>
      <c r="K99" s="12" t="str">
        <f>IF(C99="","",IFERROR(INDEX(Listen!$B$2:$B$100,MATCH(C99,Listen!$A$2:$A$100,0)),""))</f>
        <v>Sparen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25">
      <c r="A100" s="11">
        <v>46147</v>
      </c>
      <c r="B100" s="5" t="s">
        <v>112</v>
      </c>
      <c r="C100" s="5" t="s">
        <v>19</v>
      </c>
      <c r="D100" s="5" t="s">
        <v>121</v>
      </c>
      <c r="E100" s="5" t="s">
        <v>105</v>
      </c>
      <c r="F100" s="5" t="s">
        <v>122</v>
      </c>
      <c r="G100" s="6">
        <v>138</v>
      </c>
      <c r="H100" s="12">
        <f t="shared" si="3"/>
        <v>5</v>
      </c>
      <c r="I100" s="12">
        <f t="shared" si="4"/>
        <v>2026</v>
      </c>
      <c r="J100" s="13">
        <f t="shared" si="5"/>
        <v>-138</v>
      </c>
      <c r="K100" s="12" t="str">
        <f>IF(C100="","",IFERROR(INDEX(Listen!$B$2:$B$100,MATCH(C100,Listen!$A$2:$A$100,0)),""))</f>
        <v>Bedarf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25">
      <c r="A101" s="11">
        <v>46148</v>
      </c>
      <c r="B101" s="5" t="s">
        <v>112</v>
      </c>
      <c r="C101" s="5" t="s">
        <v>30</v>
      </c>
      <c r="D101" s="5" t="s">
        <v>123</v>
      </c>
      <c r="E101" s="5" t="s">
        <v>105</v>
      </c>
      <c r="F101" s="5" t="s">
        <v>124</v>
      </c>
      <c r="G101" s="6">
        <v>59</v>
      </c>
      <c r="H101" s="12">
        <f t="shared" si="3"/>
        <v>5</v>
      </c>
      <c r="I101" s="12">
        <f t="shared" si="4"/>
        <v>2026</v>
      </c>
      <c r="J101" s="13">
        <f t="shared" si="5"/>
        <v>-59</v>
      </c>
      <c r="K101" s="12" t="str">
        <f>IF(C101="","",IFERROR(INDEX(Listen!$B$2:$B$100,MATCH(C101,Listen!$A$2:$A$100,0)),""))</f>
        <v>Bedarf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25">
      <c r="A102" s="11">
        <v>46149</v>
      </c>
      <c r="B102" s="5" t="s">
        <v>125</v>
      </c>
      <c r="C102" s="5" t="s">
        <v>53</v>
      </c>
      <c r="D102" s="5" t="s">
        <v>126</v>
      </c>
      <c r="E102" s="5" t="s">
        <v>105</v>
      </c>
      <c r="F102" s="5" t="s">
        <v>127</v>
      </c>
      <c r="G102" s="6">
        <v>180</v>
      </c>
      <c r="H102" s="12">
        <f t="shared" si="3"/>
        <v>5</v>
      </c>
      <c r="I102" s="12">
        <f t="shared" si="4"/>
        <v>2026</v>
      </c>
      <c r="J102" s="13">
        <f t="shared" si="5"/>
        <v>-180</v>
      </c>
      <c r="K102" s="12" t="str">
        <f>IF(C102="","",IFERROR(INDEX(Listen!$B$2:$B$100,MATCH(C102,Listen!$A$2:$A$100,0)),""))</f>
        <v>Schulden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25">
      <c r="A103" s="11">
        <v>46150</v>
      </c>
      <c r="B103" s="5" t="s">
        <v>112</v>
      </c>
      <c r="C103" s="5" t="s">
        <v>32</v>
      </c>
      <c r="D103" s="5" t="s">
        <v>128</v>
      </c>
      <c r="E103" s="5" t="s">
        <v>105</v>
      </c>
      <c r="F103" s="5" t="s">
        <v>129</v>
      </c>
      <c r="G103" s="6">
        <v>39</v>
      </c>
      <c r="H103" s="12">
        <f t="shared" si="3"/>
        <v>5</v>
      </c>
      <c r="I103" s="12">
        <f t="shared" si="4"/>
        <v>2026</v>
      </c>
      <c r="J103" s="13">
        <f t="shared" si="5"/>
        <v>-39</v>
      </c>
      <c r="K103" s="12" t="str">
        <f>IF(C103="","",IFERROR(INDEX(Listen!$B$2:$B$100,MATCH(C103,Listen!$A$2:$A$100,0)),""))</f>
        <v>Bedarf</v>
      </c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25">
      <c r="A104" s="11">
        <v>46152</v>
      </c>
      <c r="B104" s="5" t="s">
        <v>112</v>
      </c>
      <c r="C104" s="5" t="s">
        <v>32</v>
      </c>
      <c r="D104" s="5" t="s">
        <v>130</v>
      </c>
      <c r="E104" s="5" t="s">
        <v>105</v>
      </c>
      <c r="F104" s="5" t="s">
        <v>130</v>
      </c>
      <c r="G104" s="6">
        <v>24</v>
      </c>
      <c r="H104" s="12">
        <f t="shared" si="3"/>
        <v>5</v>
      </c>
      <c r="I104" s="12">
        <f t="shared" si="4"/>
        <v>2026</v>
      </c>
      <c r="J104" s="13">
        <f t="shared" si="5"/>
        <v>-24</v>
      </c>
      <c r="K104" s="12" t="str">
        <f>IF(C104="","",IFERROR(INDEX(Listen!$B$2:$B$100,MATCH(C104,Listen!$A$2:$A$100,0)),""))</f>
        <v>Bedarf</v>
      </c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25">
      <c r="A105" s="11">
        <v>46153</v>
      </c>
      <c r="B105" s="5" t="s">
        <v>112</v>
      </c>
      <c r="C105" s="5" t="s">
        <v>25</v>
      </c>
      <c r="D105" s="5" t="s">
        <v>131</v>
      </c>
      <c r="E105" s="5" t="s">
        <v>105</v>
      </c>
      <c r="F105" s="5" t="s">
        <v>132</v>
      </c>
      <c r="G105" s="6">
        <v>92</v>
      </c>
      <c r="H105" s="12">
        <f t="shared" si="3"/>
        <v>5</v>
      </c>
      <c r="I105" s="12">
        <f t="shared" si="4"/>
        <v>2026</v>
      </c>
      <c r="J105" s="13">
        <f t="shared" si="5"/>
        <v>-92</v>
      </c>
      <c r="K105" s="12" t="str">
        <f>IF(C105="","",IFERROR(INDEX(Listen!$B$2:$B$100,MATCH(C105,Listen!$A$2:$A$100,0)),""))</f>
        <v>Bedarf</v>
      </c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25">
      <c r="A106" s="11">
        <v>46153</v>
      </c>
      <c r="B106" s="5" t="s">
        <v>112</v>
      </c>
      <c r="C106" s="5" t="s">
        <v>22</v>
      </c>
      <c r="D106" s="5" t="s">
        <v>115</v>
      </c>
      <c r="E106" s="5" t="s">
        <v>105</v>
      </c>
      <c r="F106" s="5" t="s">
        <v>116</v>
      </c>
      <c r="G106" s="6">
        <v>91</v>
      </c>
      <c r="H106" s="12">
        <f t="shared" si="3"/>
        <v>5</v>
      </c>
      <c r="I106" s="12">
        <f t="shared" si="4"/>
        <v>2026</v>
      </c>
      <c r="J106" s="13">
        <f t="shared" si="5"/>
        <v>-91</v>
      </c>
      <c r="K106" s="12" t="str">
        <f>IF(C106="","",IFERROR(INDEX(Listen!$B$2:$B$100,MATCH(C106,Listen!$A$2:$A$100,0)),""))</f>
        <v>Bedarf</v>
      </c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25">
      <c r="A107" s="11">
        <v>46156</v>
      </c>
      <c r="B107" s="5" t="s">
        <v>112</v>
      </c>
      <c r="C107" s="5" t="s">
        <v>28</v>
      </c>
      <c r="D107" s="5" t="s">
        <v>133</v>
      </c>
      <c r="E107" s="5" t="s">
        <v>105</v>
      </c>
      <c r="F107" s="5" t="s">
        <v>28</v>
      </c>
      <c r="G107" s="6">
        <v>28</v>
      </c>
      <c r="H107" s="12">
        <f t="shared" si="3"/>
        <v>5</v>
      </c>
      <c r="I107" s="12">
        <f t="shared" si="4"/>
        <v>2026</v>
      </c>
      <c r="J107" s="13">
        <f t="shared" si="5"/>
        <v>-28</v>
      </c>
      <c r="K107" s="12" t="str">
        <f>IF(C107="","",IFERROR(INDEX(Listen!$B$2:$B$100,MATCH(C107,Listen!$A$2:$A$100,0)),""))</f>
        <v>Bedarf</v>
      </c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25">
      <c r="A108" s="11">
        <v>46157</v>
      </c>
      <c r="B108" s="5" t="s">
        <v>112</v>
      </c>
      <c r="C108" s="5" t="s">
        <v>36</v>
      </c>
      <c r="D108" s="5" t="s">
        <v>134</v>
      </c>
      <c r="E108" s="5" t="s">
        <v>54</v>
      </c>
      <c r="F108" s="5" t="s">
        <v>135</v>
      </c>
      <c r="G108" s="6">
        <v>150</v>
      </c>
      <c r="H108" s="12">
        <f t="shared" si="3"/>
        <v>5</v>
      </c>
      <c r="I108" s="12">
        <f t="shared" si="4"/>
        <v>2026</v>
      </c>
      <c r="J108" s="13">
        <f t="shared" si="5"/>
        <v>-150</v>
      </c>
      <c r="K108" s="12" t="str">
        <f>IF(C108="","",IFERROR(INDEX(Listen!$B$2:$B$100,MATCH(C108,Listen!$A$2:$A$100,0)),""))</f>
        <v>Wunsch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25">
      <c r="A109" s="11">
        <v>46159</v>
      </c>
      <c r="B109" s="5" t="s">
        <v>103</v>
      </c>
      <c r="C109" s="5" t="s">
        <v>83</v>
      </c>
      <c r="D109" s="5" t="s">
        <v>147</v>
      </c>
      <c r="E109" s="5" t="s">
        <v>105</v>
      </c>
      <c r="F109" s="5" t="s">
        <v>148</v>
      </c>
      <c r="G109" s="6">
        <v>75</v>
      </c>
      <c r="H109" s="12">
        <f t="shared" si="3"/>
        <v>5</v>
      </c>
      <c r="I109" s="12">
        <f t="shared" si="4"/>
        <v>2026</v>
      </c>
      <c r="J109" s="13">
        <f t="shared" si="5"/>
        <v>75</v>
      </c>
      <c r="K109" s="12" t="str">
        <f>IF(C109="","",IFERROR(INDEX(Listen!$B$2:$B$100,MATCH(C109,Listen!$A$2:$A$100,0)),""))</f>
        <v>Einkommen</v>
      </c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25">
      <c r="A110" s="11">
        <v>46160</v>
      </c>
      <c r="B110" s="5" t="s">
        <v>112</v>
      </c>
      <c r="C110" s="5" t="s">
        <v>22</v>
      </c>
      <c r="D110" s="5" t="s">
        <v>115</v>
      </c>
      <c r="E110" s="5" t="s">
        <v>105</v>
      </c>
      <c r="F110" s="5" t="s">
        <v>116</v>
      </c>
      <c r="G110" s="6">
        <v>118</v>
      </c>
      <c r="H110" s="12">
        <f t="shared" si="3"/>
        <v>5</v>
      </c>
      <c r="I110" s="12">
        <f t="shared" si="4"/>
        <v>2026</v>
      </c>
      <c r="J110" s="13">
        <f t="shared" si="5"/>
        <v>-118</v>
      </c>
      <c r="K110" s="12" t="str">
        <f>IF(C110="","",IFERROR(INDEX(Listen!$B$2:$B$100,MATCH(C110,Listen!$A$2:$A$100,0)),""))</f>
        <v>Bedarf</v>
      </c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25">
      <c r="A111" s="11">
        <v>46160</v>
      </c>
      <c r="B111" s="5" t="s">
        <v>125</v>
      </c>
      <c r="C111" s="5" t="s">
        <v>54</v>
      </c>
      <c r="D111" s="5" t="s">
        <v>136</v>
      </c>
      <c r="E111" s="5" t="s">
        <v>105</v>
      </c>
      <c r="F111" s="5" t="s">
        <v>137</v>
      </c>
      <c r="G111" s="6">
        <v>120</v>
      </c>
      <c r="H111" s="12">
        <f t="shared" si="3"/>
        <v>5</v>
      </c>
      <c r="I111" s="12">
        <f t="shared" si="4"/>
        <v>2026</v>
      </c>
      <c r="J111" s="13">
        <f t="shared" si="5"/>
        <v>-120</v>
      </c>
      <c r="K111" s="12" t="str">
        <f>IF(C111="","",IFERROR(INDEX(Listen!$B$2:$B$100,MATCH(C111,Listen!$A$2:$A$100,0)),""))</f>
        <v>Schulden</v>
      </c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25">
      <c r="A112" s="11">
        <v>46161</v>
      </c>
      <c r="B112" s="5" t="s">
        <v>112</v>
      </c>
      <c r="C112" s="5" t="s">
        <v>40</v>
      </c>
      <c r="D112" s="5" t="s">
        <v>143</v>
      </c>
      <c r="E112" s="5" t="s">
        <v>105</v>
      </c>
      <c r="F112" s="5" t="s">
        <v>144</v>
      </c>
      <c r="G112" s="6">
        <v>72</v>
      </c>
      <c r="H112" s="12">
        <f t="shared" si="3"/>
        <v>5</v>
      </c>
      <c r="I112" s="12">
        <f t="shared" si="4"/>
        <v>2026</v>
      </c>
      <c r="J112" s="13">
        <f t="shared" si="5"/>
        <v>-72</v>
      </c>
      <c r="K112" s="12" t="str">
        <f>IF(C112="","",IFERROR(INDEX(Listen!$B$2:$B$100,MATCH(C112,Listen!$A$2:$A$100,0)),""))</f>
        <v>Wunsch</v>
      </c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25">
      <c r="A113" s="11">
        <v>46162</v>
      </c>
      <c r="B113" s="5" t="s">
        <v>112</v>
      </c>
      <c r="C113" s="5" t="s">
        <v>34</v>
      </c>
      <c r="D113" s="5" t="s">
        <v>138</v>
      </c>
      <c r="E113" s="5" t="s">
        <v>54</v>
      </c>
      <c r="F113" s="5" t="s">
        <v>139</v>
      </c>
      <c r="G113" s="6">
        <v>115</v>
      </c>
      <c r="H113" s="12">
        <f t="shared" si="3"/>
        <v>5</v>
      </c>
      <c r="I113" s="12">
        <f t="shared" si="4"/>
        <v>2026</v>
      </c>
      <c r="J113" s="13">
        <f t="shared" si="5"/>
        <v>-115</v>
      </c>
      <c r="K113" s="12" t="str">
        <f>IF(C113="","",IFERROR(INDEX(Listen!$B$2:$B$100,MATCH(C113,Listen!$A$2:$A$100,0)),""))</f>
        <v>Wunsch</v>
      </c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25">
      <c r="A114" s="11">
        <v>46167</v>
      </c>
      <c r="B114" s="5" t="s">
        <v>112</v>
      </c>
      <c r="C114" s="5" t="s">
        <v>22</v>
      </c>
      <c r="D114" s="5" t="s">
        <v>115</v>
      </c>
      <c r="E114" s="5" t="s">
        <v>105</v>
      </c>
      <c r="F114" s="5" t="s">
        <v>116</v>
      </c>
      <c r="G114" s="6">
        <v>96</v>
      </c>
      <c r="H114" s="12">
        <f t="shared" si="3"/>
        <v>5</v>
      </c>
      <c r="I114" s="12">
        <f t="shared" si="4"/>
        <v>2026</v>
      </c>
      <c r="J114" s="13">
        <f t="shared" si="5"/>
        <v>-96</v>
      </c>
      <c r="K114" s="12" t="str">
        <f>IF(C114="","",IFERROR(INDEX(Listen!$B$2:$B$100,MATCH(C114,Listen!$A$2:$A$100,0)),""))</f>
        <v>Bedarf</v>
      </c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25">
      <c r="A115" s="11">
        <v>46174</v>
      </c>
      <c r="B115" s="5" t="s">
        <v>103</v>
      </c>
      <c r="C115" s="5" t="s">
        <v>80</v>
      </c>
      <c r="D115" s="5" t="s">
        <v>104</v>
      </c>
      <c r="E115" s="5" t="s">
        <v>105</v>
      </c>
      <c r="F115" s="5" t="s">
        <v>106</v>
      </c>
      <c r="G115" s="6">
        <v>3200</v>
      </c>
      <c r="H115" s="12">
        <f t="shared" si="3"/>
        <v>6</v>
      </c>
      <c r="I115" s="12">
        <f t="shared" si="4"/>
        <v>2026</v>
      </c>
      <c r="J115" s="13">
        <f t="shared" si="5"/>
        <v>3200</v>
      </c>
      <c r="K115" s="12" t="str">
        <f>IF(C115="","",IFERROR(INDEX(Listen!$B$2:$B$100,MATCH(C115,Listen!$A$2:$A$100,0)),""))</f>
        <v>Einkommen</v>
      </c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25">
      <c r="A116" s="11">
        <v>46175</v>
      </c>
      <c r="B116" s="5" t="s">
        <v>24</v>
      </c>
      <c r="C116" s="5" t="s">
        <v>47</v>
      </c>
      <c r="D116" s="5" t="s">
        <v>107</v>
      </c>
      <c r="E116" s="5" t="s">
        <v>108</v>
      </c>
      <c r="F116" s="5" t="s">
        <v>109</v>
      </c>
      <c r="G116" s="6">
        <v>350</v>
      </c>
      <c r="H116" s="12">
        <f t="shared" si="3"/>
        <v>6</v>
      </c>
      <c r="I116" s="12">
        <f t="shared" si="4"/>
        <v>2026</v>
      </c>
      <c r="J116" s="13">
        <f t="shared" si="5"/>
        <v>-350</v>
      </c>
      <c r="K116" s="12" t="str">
        <f>IF(C116="","",IFERROR(INDEX(Listen!$B$2:$B$100,MATCH(C116,Listen!$A$2:$A$100,0)),""))</f>
        <v>Sparen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25">
      <c r="A117" s="11">
        <v>46175</v>
      </c>
      <c r="B117" s="5" t="s">
        <v>24</v>
      </c>
      <c r="C117" s="5" t="s">
        <v>45</v>
      </c>
      <c r="D117" s="5" t="s">
        <v>110</v>
      </c>
      <c r="E117" s="5" t="s">
        <v>110</v>
      </c>
      <c r="F117" s="5" t="s">
        <v>111</v>
      </c>
      <c r="G117" s="6">
        <v>250</v>
      </c>
      <c r="H117" s="12">
        <f t="shared" si="3"/>
        <v>6</v>
      </c>
      <c r="I117" s="12">
        <f t="shared" si="4"/>
        <v>2026</v>
      </c>
      <c r="J117" s="13">
        <f t="shared" si="5"/>
        <v>-250</v>
      </c>
      <c r="K117" s="12" t="str">
        <f>IF(C117="","",IFERROR(INDEX(Listen!$B$2:$B$100,MATCH(C117,Listen!$A$2:$A$100,0)),""))</f>
        <v>Sparen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25">
      <c r="A118" s="11">
        <v>46176</v>
      </c>
      <c r="B118" s="5" t="s">
        <v>112</v>
      </c>
      <c r="C118" s="5" t="s">
        <v>16</v>
      </c>
      <c r="D118" s="5" t="s">
        <v>113</v>
      </c>
      <c r="E118" s="5" t="s">
        <v>105</v>
      </c>
      <c r="F118" s="5" t="s">
        <v>114</v>
      </c>
      <c r="G118" s="6">
        <v>1050</v>
      </c>
      <c r="H118" s="12">
        <f t="shared" si="3"/>
        <v>6</v>
      </c>
      <c r="I118" s="12">
        <f t="shared" si="4"/>
        <v>2026</v>
      </c>
      <c r="J118" s="13">
        <f t="shared" si="5"/>
        <v>-1050</v>
      </c>
      <c r="K118" s="12" t="str">
        <f>IF(C118="","",IFERROR(INDEX(Listen!$B$2:$B$100,MATCH(C118,Listen!$A$2:$A$100,0)),""))</f>
        <v>Bedarf</v>
      </c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25">
      <c r="A119" s="11">
        <v>46177</v>
      </c>
      <c r="B119" s="5" t="s">
        <v>112</v>
      </c>
      <c r="C119" s="5" t="s">
        <v>22</v>
      </c>
      <c r="D119" s="5" t="s">
        <v>115</v>
      </c>
      <c r="E119" s="5" t="s">
        <v>105</v>
      </c>
      <c r="F119" s="5" t="s">
        <v>116</v>
      </c>
      <c r="G119" s="6">
        <v>108</v>
      </c>
      <c r="H119" s="12">
        <f t="shared" si="3"/>
        <v>6</v>
      </c>
      <c r="I119" s="12">
        <f t="shared" si="4"/>
        <v>2026</v>
      </c>
      <c r="J119" s="13">
        <f t="shared" si="5"/>
        <v>-108</v>
      </c>
      <c r="K119" s="12" t="str">
        <f>IF(C119="","",IFERROR(INDEX(Listen!$B$2:$B$100,MATCH(C119,Listen!$A$2:$A$100,0)),""))</f>
        <v>Bedarf</v>
      </c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25">
      <c r="A120" s="11">
        <v>46177</v>
      </c>
      <c r="B120" s="5" t="s">
        <v>24</v>
      </c>
      <c r="C120" s="5" t="s">
        <v>49</v>
      </c>
      <c r="D120" s="5" t="s">
        <v>117</v>
      </c>
      <c r="E120" s="5" t="s">
        <v>105</v>
      </c>
      <c r="F120" s="5" t="s">
        <v>118</v>
      </c>
      <c r="G120" s="6">
        <v>150</v>
      </c>
      <c r="H120" s="12">
        <f t="shared" si="3"/>
        <v>6</v>
      </c>
      <c r="I120" s="12">
        <f t="shared" si="4"/>
        <v>2026</v>
      </c>
      <c r="J120" s="13">
        <f t="shared" si="5"/>
        <v>-150</v>
      </c>
      <c r="K120" s="12" t="str">
        <f>IF(C120="","",IFERROR(INDEX(Listen!$B$2:$B$100,MATCH(C120,Listen!$A$2:$A$100,0)),""))</f>
        <v>Sparen</v>
      </c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25">
      <c r="A121" s="11">
        <v>46177</v>
      </c>
      <c r="B121" s="5" t="s">
        <v>24</v>
      </c>
      <c r="C121" s="5" t="s">
        <v>51</v>
      </c>
      <c r="D121" s="5" t="s">
        <v>119</v>
      </c>
      <c r="E121" s="5" t="s">
        <v>110</v>
      </c>
      <c r="F121" s="5" t="s">
        <v>120</v>
      </c>
      <c r="G121" s="6">
        <v>120</v>
      </c>
      <c r="H121" s="12">
        <f t="shared" si="3"/>
        <v>6</v>
      </c>
      <c r="I121" s="12">
        <f t="shared" si="4"/>
        <v>2026</v>
      </c>
      <c r="J121" s="13">
        <f t="shared" si="5"/>
        <v>-120</v>
      </c>
      <c r="K121" s="12" t="str">
        <f>IF(C121="","",IFERROR(INDEX(Listen!$B$2:$B$100,MATCH(C121,Listen!$A$2:$A$100,0)),""))</f>
        <v>Sparen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25">
      <c r="A122" s="11">
        <v>46178</v>
      </c>
      <c r="B122" s="5" t="s">
        <v>112</v>
      </c>
      <c r="C122" s="5" t="s">
        <v>19</v>
      </c>
      <c r="D122" s="5" t="s">
        <v>121</v>
      </c>
      <c r="E122" s="5" t="s">
        <v>105</v>
      </c>
      <c r="F122" s="5" t="s">
        <v>122</v>
      </c>
      <c r="G122" s="6">
        <v>138</v>
      </c>
      <c r="H122" s="12">
        <f t="shared" si="3"/>
        <v>6</v>
      </c>
      <c r="I122" s="12">
        <f t="shared" si="4"/>
        <v>2026</v>
      </c>
      <c r="J122" s="13">
        <f t="shared" si="5"/>
        <v>-138</v>
      </c>
      <c r="K122" s="12" t="str">
        <f>IF(C122="","",IFERROR(INDEX(Listen!$B$2:$B$100,MATCH(C122,Listen!$A$2:$A$100,0)),""))</f>
        <v>Bedarf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25">
      <c r="A123" s="11">
        <v>46179</v>
      </c>
      <c r="B123" s="5" t="s">
        <v>112</v>
      </c>
      <c r="C123" s="5" t="s">
        <v>30</v>
      </c>
      <c r="D123" s="5" t="s">
        <v>123</v>
      </c>
      <c r="E123" s="5" t="s">
        <v>105</v>
      </c>
      <c r="F123" s="5" t="s">
        <v>124</v>
      </c>
      <c r="G123" s="6">
        <v>59</v>
      </c>
      <c r="H123" s="12">
        <f t="shared" si="3"/>
        <v>6</v>
      </c>
      <c r="I123" s="12">
        <f t="shared" si="4"/>
        <v>2026</v>
      </c>
      <c r="J123" s="13">
        <f t="shared" si="5"/>
        <v>-59</v>
      </c>
      <c r="K123" s="12" t="str">
        <f>IF(C123="","",IFERROR(INDEX(Listen!$B$2:$B$100,MATCH(C123,Listen!$A$2:$A$100,0)),""))</f>
        <v>Bedarf</v>
      </c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25">
      <c r="A124" s="11">
        <v>46180</v>
      </c>
      <c r="B124" s="5" t="s">
        <v>125</v>
      </c>
      <c r="C124" s="5" t="s">
        <v>53</v>
      </c>
      <c r="D124" s="5" t="s">
        <v>126</v>
      </c>
      <c r="E124" s="5" t="s">
        <v>105</v>
      </c>
      <c r="F124" s="5" t="s">
        <v>127</v>
      </c>
      <c r="G124" s="6">
        <v>180</v>
      </c>
      <c r="H124" s="12">
        <f t="shared" si="3"/>
        <v>6</v>
      </c>
      <c r="I124" s="12">
        <f t="shared" si="4"/>
        <v>2026</v>
      </c>
      <c r="J124" s="13">
        <f t="shared" si="5"/>
        <v>-180</v>
      </c>
      <c r="K124" s="12" t="str">
        <f>IF(C124="","",IFERROR(INDEX(Listen!$B$2:$B$100,MATCH(C124,Listen!$A$2:$A$100,0)),""))</f>
        <v>Schulden</v>
      </c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25">
      <c r="A125" s="11">
        <v>46181</v>
      </c>
      <c r="B125" s="5" t="s">
        <v>112</v>
      </c>
      <c r="C125" s="5" t="s">
        <v>32</v>
      </c>
      <c r="D125" s="5" t="s">
        <v>128</v>
      </c>
      <c r="E125" s="5" t="s">
        <v>105</v>
      </c>
      <c r="F125" s="5" t="s">
        <v>129</v>
      </c>
      <c r="G125" s="6">
        <v>39</v>
      </c>
      <c r="H125" s="12">
        <f t="shared" si="3"/>
        <v>6</v>
      </c>
      <c r="I125" s="12">
        <f t="shared" si="4"/>
        <v>2026</v>
      </c>
      <c r="J125" s="13">
        <f t="shared" si="5"/>
        <v>-39</v>
      </c>
      <c r="K125" s="12" t="str">
        <f>IF(C125="","",IFERROR(INDEX(Listen!$B$2:$B$100,MATCH(C125,Listen!$A$2:$A$100,0)),""))</f>
        <v>Bedarf</v>
      </c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25">
      <c r="A126" s="11">
        <v>46183</v>
      </c>
      <c r="B126" s="5" t="s">
        <v>112</v>
      </c>
      <c r="C126" s="5" t="s">
        <v>32</v>
      </c>
      <c r="D126" s="5" t="s">
        <v>130</v>
      </c>
      <c r="E126" s="5" t="s">
        <v>105</v>
      </c>
      <c r="F126" s="5" t="s">
        <v>130</v>
      </c>
      <c r="G126" s="6">
        <v>24</v>
      </c>
      <c r="H126" s="12">
        <f t="shared" si="3"/>
        <v>6</v>
      </c>
      <c r="I126" s="12">
        <f t="shared" si="4"/>
        <v>2026</v>
      </c>
      <c r="J126" s="13">
        <f t="shared" si="5"/>
        <v>-24</v>
      </c>
      <c r="K126" s="12" t="str">
        <f>IF(C126="","",IFERROR(INDEX(Listen!$B$2:$B$100,MATCH(C126,Listen!$A$2:$A$100,0)),""))</f>
        <v>Bedarf</v>
      </c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25">
      <c r="A127" s="11">
        <v>46184</v>
      </c>
      <c r="B127" s="5" t="s">
        <v>112</v>
      </c>
      <c r="C127" s="5" t="s">
        <v>25</v>
      </c>
      <c r="D127" s="5" t="s">
        <v>131</v>
      </c>
      <c r="E127" s="5" t="s">
        <v>105</v>
      </c>
      <c r="F127" s="5" t="s">
        <v>132</v>
      </c>
      <c r="G127" s="6">
        <v>117</v>
      </c>
      <c r="H127" s="12">
        <f t="shared" si="3"/>
        <v>6</v>
      </c>
      <c r="I127" s="12">
        <f t="shared" si="4"/>
        <v>2026</v>
      </c>
      <c r="J127" s="13">
        <f t="shared" si="5"/>
        <v>-117</v>
      </c>
      <c r="K127" s="12" t="str">
        <f>IF(C127="","",IFERROR(INDEX(Listen!$B$2:$B$100,MATCH(C127,Listen!$A$2:$A$100,0)),""))</f>
        <v>Bedarf</v>
      </c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25">
      <c r="A128" s="11">
        <v>46184</v>
      </c>
      <c r="B128" s="5" t="s">
        <v>112</v>
      </c>
      <c r="C128" s="5" t="s">
        <v>22</v>
      </c>
      <c r="D128" s="5" t="s">
        <v>115</v>
      </c>
      <c r="E128" s="5" t="s">
        <v>105</v>
      </c>
      <c r="F128" s="5" t="s">
        <v>116</v>
      </c>
      <c r="G128" s="6">
        <v>94</v>
      </c>
      <c r="H128" s="12">
        <f t="shared" si="3"/>
        <v>6</v>
      </c>
      <c r="I128" s="12">
        <f t="shared" si="4"/>
        <v>2026</v>
      </c>
      <c r="J128" s="13">
        <f t="shared" si="5"/>
        <v>-94</v>
      </c>
      <c r="K128" s="12" t="str">
        <f>IF(C128="","",IFERROR(INDEX(Listen!$B$2:$B$100,MATCH(C128,Listen!$A$2:$A$100,0)),""))</f>
        <v>Bedarf</v>
      </c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25">
      <c r="A129" s="11">
        <v>46185</v>
      </c>
      <c r="B129" s="5" t="s">
        <v>103</v>
      </c>
      <c r="C129" s="5" t="s">
        <v>81</v>
      </c>
      <c r="D129" s="5" t="s">
        <v>141</v>
      </c>
      <c r="E129" s="5" t="s">
        <v>105</v>
      </c>
      <c r="F129" s="5" t="s">
        <v>142</v>
      </c>
      <c r="G129" s="6">
        <v>220</v>
      </c>
      <c r="H129" s="12">
        <f t="shared" si="3"/>
        <v>6</v>
      </c>
      <c r="I129" s="12">
        <f t="shared" si="4"/>
        <v>2026</v>
      </c>
      <c r="J129" s="13">
        <f t="shared" si="5"/>
        <v>220</v>
      </c>
      <c r="K129" s="12" t="str">
        <f>IF(C129="","",IFERROR(INDEX(Listen!$B$2:$B$100,MATCH(C129,Listen!$A$2:$A$100,0)),""))</f>
        <v>Einkommen</v>
      </c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25">
      <c r="A130" s="11">
        <v>46187</v>
      </c>
      <c r="B130" s="5" t="s">
        <v>112</v>
      </c>
      <c r="C130" s="5" t="s">
        <v>28</v>
      </c>
      <c r="D130" s="5" t="s">
        <v>133</v>
      </c>
      <c r="E130" s="5" t="s">
        <v>105</v>
      </c>
      <c r="F130" s="5" t="s">
        <v>28</v>
      </c>
      <c r="G130" s="6">
        <v>45</v>
      </c>
      <c r="H130" s="12">
        <f t="shared" si="3"/>
        <v>6</v>
      </c>
      <c r="I130" s="12">
        <f t="shared" si="4"/>
        <v>2026</v>
      </c>
      <c r="J130" s="13">
        <f t="shared" si="5"/>
        <v>-45</v>
      </c>
      <c r="K130" s="12" t="str">
        <f>IF(C130="","",IFERROR(INDEX(Listen!$B$2:$B$100,MATCH(C130,Listen!$A$2:$A$100,0)),""))</f>
        <v>Bedarf</v>
      </c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25">
      <c r="A131" s="11">
        <v>46188</v>
      </c>
      <c r="B131" s="5" t="s">
        <v>112</v>
      </c>
      <c r="C131" s="5" t="s">
        <v>36</v>
      </c>
      <c r="D131" s="5" t="s">
        <v>134</v>
      </c>
      <c r="E131" s="5" t="s">
        <v>54</v>
      </c>
      <c r="F131" s="5" t="s">
        <v>135</v>
      </c>
      <c r="G131" s="6">
        <v>210</v>
      </c>
      <c r="H131" s="12">
        <f t="shared" si="3"/>
        <v>6</v>
      </c>
      <c r="I131" s="12">
        <f t="shared" si="4"/>
        <v>2026</v>
      </c>
      <c r="J131" s="13">
        <f t="shared" si="5"/>
        <v>-210</v>
      </c>
      <c r="K131" s="12" t="str">
        <f>IF(C131="","",IFERROR(INDEX(Listen!$B$2:$B$100,MATCH(C131,Listen!$A$2:$A$100,0)),""))</f>
        <v>Wunsch</v>
      </c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25">
      <c r="A132" s="11">
        <v>46191</v>
      </c>
      <c r="B132" s="5" t="s">
        <v>112</v>
      </c>
      <c r="C132" s="5" t="s">
        <v>22</v>
      </c>
      <c r="D132" s="5" t="s">
        <v>115</v>
      </c>
      <c r="E132" s="5" t="s">
        <v>105</v>
      </c>
      <c r="F132" s="5" t="s">
        <v>116</v>
      </c>
      <c r="G132" s="6">
        <v>110</v>
      </c>
      <c r="H132" s="12">
        <f t="shared" si="3"/>
        <v>6</v>
      </c>
      <c r="I132" s="12">
        <f t="shared" si="4"/>
        <v>2026</v>
      </c>
      <c r="J132" s="13">
        <f t="shared" si="5"/>
        <v>-110</v>
      </c>
      <c r="K132" s="12" t="str">
        <f>IF(C132="","",IFERROR(INDEX(Listen!$B$2:$B$100,MATCH(C132,Listen!$A$2:$A$100,0)),""))</f>
        <v>Bedarf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25">
      <c r="A133" s="11">
        <v>46191</v>
      </c>
      <c r="B133" s="5" t="s">
        <v>125</v>
      </c>
      <c r="C133" s="5" t="s">
        <v>54</v>
      </c>
      <c r="D133" s="5" t="s">
        <v>136</v>
      </c>
      <c r="E133" s="5" t="s">
        <v>105</v>
      </c>
      <c r="F133" s="5" t="s">
        <v>137</v>
      </c>
      <c r="G133" s="6">
        <v>120</v>
      </c>
      <c r="H133" s="12">
        <f t="shared" si="3"/>
        <v>6</v>
      </c>
      <c r="I133" s="12">
        <f t="shared" si="4"/>
        <v>2026</v>
      </c>
      <c r="J133" s="13">
        <f t="shared" si="5"/>
        <v>-120</v>
      </c>
      <c r="K133" s="12" t="str">
        <f>IF(C133="","",IFERROR(INDEX(Listen!$B$2:$B$100,MATCH(C133,Listen!$A$2:$A$100,0)),""))</f>
        <v>Schulden</v>
      </c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25">
      <c r="A134" s="11">
        <v>46193</v>
      </c>
      <c r="B134" s="5" t="s">
        <v>112</v>
      </c>
      <c r="C134" s="5" t="s">
        <v>34</v>
      </c>
      <c r="D134" s="5" t="s">
        <v>138</v>
      </c>
      <c r="E134" s="5" t="s">
        <v>54</v>
      </c>
      <c r="F134" s="5" t="s">
        <v>139</v>
      </c>
      <c r="G134" s="6">
        <v>135</v>
      </c>
      <c r="H134" s="12">
        <f t="shared" ref="H134:H197" si="6">IF(A134="",0,MONTH(A134))</f>
        <v>6</v>
      </c>
      <c r="I134" s="12">
        <f t="shared" ref="I134:I197" si="7">IF(A134="",0,YEAR(A134))</f>
        <v>2026</v>
      </c>
      <c r="J134" s="13">
        <f t="shared" ref="J134:J197" si="8">IF(A134="",0,IF(B134="Einnahme",G134,IF(B134="Transfer",0,-G134)))</f>
        <v>-135</v>
      </c>
      <c r="K134" s="12" t="str">
        <f>IF(C134="","",IFERROR(INDEX(Listen!$B$2:$B$100,MATCH(C134,Listen!$A$2:$A$100,0)),""))</f>
        <v>Wunsch</v>
      </c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25">
      <c r="A135" s="11">
        <v>46198</v>
      </c>
      <c r="B135" s="5" t="s">
        <v>112</v>
      </c>
      <c r="C135" s="5" t="s">
        <v>22</v>
      </c>
      <c r="D135" s="5" t="s">
        <v>115</v>
      </c>
      <c r="E135" s="5" t="s">
        <v>105</v>
      </c>
      <c r="F135" s="5" t="s">
        <v>116</v>
      </c>
      <c r="G135" s="6">
        <v>110</v>
      </c>
      <c r="H135" s="12">
        <f t="shared" si="6"/>
        <v>6</v>
      </c>
      <c r="I135" s="12">
        <f t="shared" si="7"/>
        <v>2026</v>
      </c>
      <c r="J135" s="13">
        <f t="shared" si="8"/>
        <v>-110</v>
      </c>
      <c r="K135" s="12" t="str">
        <f>IF(C135="","",IFERROR(INDEX(Listen!$B$2:$B$100,MATCH(C135,Listen!$A$2:$A$100,0)),""))</f>
        <v>Bedarf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25">
      <c r="A136" s="11">
        <v>46199</v>
      </c>
      <c r="B136" s="5" t="s">
        <v>112</v>
      </c>
      <c r="C136" s="5" t="s">
        <v>39</v>
      </c>
      <c r="D136" s="5" t="s">
        <v>149</v>
      </c>
      <c r="E136" s="5" t="s">
        <v>105</v>
      </c>
      <c r="F136" s="5" t="s">
        <v>150</v>
      </c>
      <c r="G136" s="6">
        <v>450</v>
      </c>
      <c r="H136" s="12">
        <f t="shared" si="6"/>
        <v>6</v>
      </c>
      <c r="I136" s="12">
        <f t="shared" si="7"/>
        <v>2026</v>
      </c>
      <c r="J136" s="13">
        <f t="shared" si="8"/>
        <v>-450</v>
      </c>
      <c r="K136" s="12" t="str">
        <f>IF(C136="","",IFERROR(INDEX(Listen!$B$2:$B$100,MATCH(C136,Listen!$A$2:$A$100,0)),""))</f>
        <v>Wunsch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25">
      <c r="A137" s="11">
        <v>46201</v>
      </c>
      <c r="B137" s="5" t="s">
        <v>103</v>
      </c>
      <c r="C137" s="5" t="s">
        <v>82</v>
      </c>
      <c r="D137" s="5" t="s">
        <v>108</v>
      </c>
      <c r="E137" s="5" t="s">
        <v>108</v>
      </c>
      <c r="F137" s="5" t="s">
        <v>146</v>
      </c>
      <c r="G137" s="6">
        <v>24</v>
      </c>
      <c r="H137" s="12">
        <f t="shared" si="6"/>
        <v>6</v>
      </c>
      <c r="I137" s="12">
        <f t="shared" si="7"/>
        <v>2026</v>
      </c>
      <c r="J137" s="13">
        <f t="shared" si="8"/>
        <v>24</v>
      </c>
      <c r="K137" s="12" t="str">
        <f>IF(C137="","",IFERROR(INDEX(Listen!$B$2:$B$100,MATCH(C137,Listen!$A$2:$A$100,0)),""))</f>
        <v>Einkommen</v>
      </c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25">
      <c r="A138" s="11">
        <v>46204</v>
      </c>
      <c r="B138" s="5" t="s">
        <v>103</v>
      </c>
      <c r="C138" s="5" t="s">
        <v>80</v>
      </c>
      <c r="D138" s="5" t="s">
        <v>104</v>
      </c>
      <c r="E138" s="5" t="s">
        <v>105</v>
      </c>
      <c r="F138" s="5" t="s">
        <v>106</v>
      </c>
      <c r="G138" s="6">
        <v>3200</v>
      </c>
      <c r="H138" s="12">
        <f t="shared" si="6"/>
        <v>7</v>
      </c>
      <c r="I138" s="12">
        <f t="shared" si="7"/>
        <v>2026</v>
      </c>
      <c r="J138" s="13">
        <f t="shared" si="8"/>
        <v>3200</v>
      </c>
      <c r="K138" s="12" t="str">
        <f>IF(C138="","",IFERROR(INDEX(Listen!$B$2:$B$100,MATCH(C138,Listen!$A$2:$A$100,0)),""))</f>
        <v>Einkommen</v>
      </c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25">
      <c r="A139" s="11">
        <v>46205</v>
      </c>
      <c r="B139" s="5" t="s">
        <v>24</v>
      </c>
      <c r="C139" s="5" t="s">
        <v>47</v>
      </c>
      <c r="D139" s="5" t="s">
        <v>107</v>
      </c>
      <c r="E139" s="5" t="s">
        <v>108</v>
      </c>
      <c r="F139" s="5" t="s">
        <v>109</v>
      </c>
      <c r="G139" s="6">
        <v>350</v>
      </c>
      <c r="H139" s="12">
        <f t="shared" si="6"/>
        <v>7</v>
      </c>
      <c r="I139" s="12">
        <f t="shared" si="7"/>
        <v>2026</v>
      </c>
      <c r="J139" s="13">
        <f t="shared" si="8"/>
        <v>-350</v>
      </c>
      <c r="K139" s="12" t="str">
        <f>IF(C139="","",IFERROR(INDEX(Listen!$B$2:$B$100,MATCH(C139,Listen!$A$2:$A$100,0)),""))</f>
        <v>Sparen</v>
      </c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25">
      <c r="A140" s="11">
        <v>46205</v>
      </c>
      <c r="B140" s="5" t="s">
        <v>24</v>
      </c>
      <c r="C140" s="5" t="s">
        <v>45</v>
      </c>
      <c r="D140" s="5" t="s">
        <v>110</v>
      </c>
      <c r="E140" s="5" t="s">
        <v>110</v>
      </c>
      <c r="F140" s="5" t="s">
        <v>111</v>
      </c>
      <c r="G140" s="6">
        <v>250</v>
      </c>
      <c r="H140" s="12">
        <f t="shared" si="6"/>
        <v>7</v>
      </c>
      <c r="I140" s="12">
        <f t="shared" si="7"/>
        <v>2026</v>
      </c>
      <c r="J140" s="13">
        <f t="shared" si="8"/>
        <v>-250</v>
      </c>
      <c r="K140" s="12" t="str">
        <f>IF(C140="","",IFERROR(INDEX(Listen!$B$2:$B$100,MATCH(C140,Listen!$A$2:$A$100,0)),""))</f>
        <v>Sparen</v>
      </c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25">
      <c r="A141" s="11">
        <v>46206</v>
      </c>
      <c r="B141" s="5" t="s">
        <v>112</v>
      </c>
      <c r="C141" s="5" t="s">
        <v>16</v>
      </c>
      <c r="D141" s="5" t="s">
        <v>113</v>
      </c>
      <c r="E141" s="5" t="s">
        <v>105</v>
      </c>
      <c r="F141" s="5" t="s">
        <v>114</v>
      </c>
      <c r="G141" s="6">
        <v>1050</v>
      </c>
      <c r="H141" s="12">
        <f t="shared" si="6"/>
        <v>7</v>
      </c>
      <c r="I141" s="12">
        <f t="shared" si="7"/>
        <v>2026</v>
      </c>
      <c r="J141" s="13">
        <f t="shared" si="8"/>
        <v>-1050</v>
      </c>
      <c r="K141" s="12" t="str">
        <f>IF(C141="","",IFERROR(INDEX(Listen!$B$2:$B$100,MATCH(C141,Listen!$A$2:$A$100,0)),""))</f>
        <v>Bedarf</v>
      </c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25">
      <c r="A142" s="11">
        <v>46207</v>
      </c>
      <c r="B142" s="5" t="s">
        <v>112</v>
      </c>
      <c r="C142" s="5" t="s">
        <v>22</v>
      </c>
      <c r="D142" s="5" t="s">
        <v>115</v>
      </c>
      <c r="E142" s="5" t="s">
        <v>105</v>
      </c>
      <c r="F142" s="5" t="s">
        <v>116</v>
      </c>
      <c r="G142" s="6">
        <v>105</v>
      </c>
      <c r="H142" s="12">
        <f t="shared" si="6"/>
        <v>7</v>
      </c>
      <c r="I142" s="12">
        <f t="shared" si="7"/>
        <v>2026</v>
      </c>
      <c r="J142" s="13">
        <f t="shared" si="8"/>
        <v>-105</v>
      </c>
      <c r="K142" s="12" t="str">
        <f>IF(C142="","",IFERROR(INDEX(Listen!$B$2:$B$100,MATCH(C142,Listen!$A$2:$A$100,0)),""))</f>
        <v>Bedarf</v>
      </c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25">
      <c r="A143" s="11">
        <v>46207</v>
      </c>
      <c r="B143" s="5" t="s">
        <v>24</v>
      </c>
      <c r="C143" s="5" t="s">
        <v>49</v>
      </c>
      <c r="D143" s="5" t="s">
        <v>117</v>
      </c>
      <c r="E143" s="5" t="s">
        <v>105</v>
      </c>
      <c r="F143" s="5" t="s">
        <v>118</v>
      </c>
      <c r="G143" s="6">
        <v>150</v>
      </c>
      <c r="H143" s="12">
        <f t="shared" si="6"/>
        <v>7</v>
      </c>
      <c r="I143" s="12">
        <f t="shared" si="7"/>
        <v>2026</v>
      </c>
      <c r="J143" s="13">
        <f t="shared" si="8"/>
        <v>-150</v>
      </c>
      <c r="K143" s="12" t="str">
        <f>IF(C143="","",IFERROR(INDEX(Listen!$B$2:$B$100,MATCH(C143,Listen!$A$2:$A$100,0)),""))</f>
        <v>Sparen</v>
      </c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25">
      <c r="A144" s="11">
        <v>46207</v>
      </c>
      <c r="B144" s="5" t="s">
        <v>24</v>
      </c>
      <c r="C144" s="5" t="s">
        <v>51</v>
      </c>
      <c r="D144" s="5" t="s">
        <v>119</v>
      </c>
      <c r="E144" s="5" t="s">
        <v>110</v>
      </c>
      <c r="F144" s="5" t="s">
        <v>120</v>
      </c>
      <c r="G144" s="6">
        <v>120</v>
      </c>
      <c r="H144" s="12">
        <f t="shared" si="6"/>
        <v>7</v>
      </c>
      <c r="I144" s="12">
        <f t="shared" si="7"/>
        <v>2026</v>
      </c>
      <c r="J144" s="13">
        <f t="shared" si="8"/>
        <v>-120</v>
      </c>
      <c r="K144" s="12" t="str">
        <f>IF(C144="","",IFERROR(INDEX(Listen!$B$2:$B$100,MATCH(C144,Listen!$A$2:$A$100,0)),""))</f>
        <v>Sparen</v>
      </c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25">
      <c r="A145" s="11">
        <v>46208</v>
      </c>
      <c r="B145" s="5" t="s">
        <v>112</v>
      </c>
      <c r="C145" s="5" t="s">
        <v>19</v>
      </c>
      <c r="D145" s="5" t="s">
        <v>121</v>
      </c>
      <c r="E145" s="5" t="s">
        <v>105</v>
      </c>
      <c r="F145" s="5" t="s">
        <v>122</v>
      </c>
      <c r="G145" s="6">
        <v>148</v>
      </c>
      <c r="H145" s="12">
        <f t="shared" si="6"/>
        <v>7</v>
      </c>
      <c r="I145" s="12">
        <f t="shared" si="7"/>
        <v>2026</v>
      </c>
      <c r="J145" s="13">
        <f t="shared" si="8"/>
        <v>-148</v>
      </c>
      <c r="K145" s="12" t="str">
        <f>IF(C145="","",IFERROR(INDEX(Listen!$B$2:$B$100,MATCH(C145,Listen!$A$2:$A$100,0)),""))</f>
        <v>Bedarf</v>
      </c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25">
      <c r="A146" s="11">
        <v>46209</v>
      </c>
      <c r="B146" s="5" t="s">
        <v>112</v>
      </c>
      <c r="C146" s="5" t="s">
        <v>30</v>
      </c>
      <c r="D146" s="5" t="s">
        <v>123</v>
      </c>
      <c r="E146" s="5" t="s">
        <v>105</v>
      </c>
      <c r="F146" s="5" t="s">
        <v>124</v>
      </c>
      <c r="G146" s="6">
        <v>59</v>
      </c>
      <c r="H146" s="12">
        <f t="shared" si="6"/>
        <v>7</v>
      </c>
      <c r="I146" s="12">
        <f t="shared" si="7"/>
        <v>2026</v>
      </c>
      <c r="J146" s="13">
        <f t="shared" si="8"/>
        <v>-59</v>
      </c>
      <c r="K146" s="12" t="str">
        <f>IF(C146="","",IFERROR(INDEX(Listen!$B$2:$B$100,MATCH(C146,Listen!$A$2:$A$100,0)),""))</f>
        <v>Bedarf</v>
      </c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25">
      <c r="A147" s="11">
        <v>46210</v>
      </c>
      <c r="B147" s="5" t="s">
        <v>125</v>
      </c>
      <c r="C147" s="5" t="s">
        <v>53</v>
      </c>
      <c r="D147" s="5" t="s">
        <v>126</v>
      </c>
      <c r="E147" s="5" t="s">
        <v>105</v>
      </c>
      <c r="F147" s="5" t="s">
        <v>127</v>
      </c>
      <c r="G147" s="6">
        <v>180</v>
      </c>
      <c r="H147" s="12">
        <f t="shared" si="6"/>
        <v>7</v>
      </c>
      <c r="I147" s="12">
        <f t="shared" si="7"/>
        <v>2026</v>
      </c>
      <c r="J147" s="13">
        <f t="shared" si="8"/>
        <v>-180</v>
      </c>
      <c r="K147" s="12" t="str">
        <f>IF(C147="","",IFERROR(INDEX(Listen!$B$2:$B$100,MATCH(C147,Listen!$A$2:$A$100,0)),""))</f>
        <v>Schulden</v>
      </c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25">
      <c r="A148" s="11">
        <v>46211</v>
      </c>
      <c r="B148" s="5" t="s">
        <v>112</v>
      </c>
      <c r="C148" s="5" t="s">
        <v>32</v>
      </c>
      <c r="D148" s="5" t="s">
        <v>128</v>
      </c>
      <c r="E148" s="5" t="s">
        <v>105</v>
      </c>
      <c r="F148" s="5" t="s">
        <v>129</v>
      </c>
      <c r="G148" s="6">
        <v>39</v>
      </c>
      <c r="H148" s="12">
        <f t="shared" si="6"/>
        <v>7</v>
      </c>
      <c r="I148" s="12">
        <f t="shared" si="7"/>
        <v>2026</v>
      </c>
      <c r="J148" s="13">
        <f t="shared" si="8"/>
        <v>-39</v>
      </c>
      <c r="K148" s="12" t="str">
        <f>IF(C148="","",IFERROR(INDEX(Listen!$B$2:$B$100,MATCH(C148,Listen!$A$2:$A$100,0)),""))</f>
        <v>Bedarf</v>
      </c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25">
      <c r="A149" s="11">
        <v>46213</v>
      </c>
      <c r="B149" s="5" t="s">
        <v>112</v>
      </c>
      <c r="C149" s="5" t="s">
        <v>32</v>
      </c>
      <c r="D149" s="5" t="s">
        <v>130</v>
      </c>
      <c r="E149" s="5" t="s">
        <v>105</v>
      </c>
      <c r="F149" s="5" t="s">
        <v>130</v>
      </c>
      <c r="G149" s="6">
        <v>24</v>
      </c>
      <c r="H149" s="12">
        <f t="shared" si="6"/>
        <v>7</v>
      </c>
      <c r="I149" s="12">
        <f t="shared" si="7"/>
        <v>2026</v>
      </c>
      <c r="J149" s="13">
        <f t="shared" si="8"/>
        <v>-24</v>
      </c>
      <c r="K149" s="12" t="str">
        <f>IF(C149="","",IFERROR(INDEX(Listen!$B$2:$B$100,MATCH(C149,Listen!$A$2:$A$100,0)),""))</f>
        <v>Bedarf</v>
      </c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25">
      <c r="A150" s="11">
        <v>46214</v>
      </c>
      <c r="B150" s="5" t="s">
        <v>112</v>
      </c>
      <c r="C150" s="5" t="s">
        <v>25</v>
      </c>
      <c r="D150" s="5" t="s">
        <v>131</v>
      </c>
      <c r="E150" s="5" t="s">
        <v>105</v>
      </c>
      <c r="F150" s="5" t="s">
        <v>132</v>
      </c>
      <c r="G150" s="6">
        <v>92</v>
      </c>
      <c r="H150" s="12">
        <f t="shared" si="6"/>
        <v>7</v>
      </c>
      <c r="I150" s="12">
        <f t="shared" si="7"/>
        <v>2026</v>
      </c>
      <c r="J150" s="13">
        <f t="shared" si="8"/>
        <v>-92</v>
      </c>
      <c r="K150" s="12" t="str">
        <f>IF(C150="","",IFERROR(INDEX(Listen!$B$2:$B$100,MATCH(C150,Listen!$A$2:$A$100,0)),""))</f>
        <v>Bedarf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25">
      <c r="A151" s="11">
        <v>46214</v>
      </c>
      <c r="B151" s="5" t="s">
        <v>112</v>
      </c>
      <c r="C151" s="5" t="s">
        <v>22</v>
      </c>
      <c r="D151" s="5" t="s">
        <v>115</v>
      </c>
      <c r="E151" s="5" t="s">
        <v>105</v>
      </c>
      <c r="F151" s="5" t="s">
        <v>116</v>
      </c>
      <c r="G151" s="6">
        <v>78</v>
      </c>
      <c r="H151" s="12">
        <f t="shared" si="6"/>
        <v>7</v>
      </c>
      <c r="I151" s="12">
        <f t="shared" si="7"/>
        <v>2026</v>
      </c>
      <c r="J151" s="13">
        <f t="shared" si="8"/>
        <v>-78</v>
      </c>
      <c r="K151" s="12" t="str">
        <f>IF(C151="","",IFERROR(INDEX(Listen!$B$2:$B$100,MATCH(C151,Listen!$A$2:$A$100,0)),""))</f>
        <v>Bedarf</v>
      </c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25">
      <c r="A152" s="11">
        <v>46217</v>
      </c>
      <c r="B152" s="5" t="s">
        <v>112</v>
      </c>
      <c r="C152" s="5" t="s">
        <v>28</v>
      </c>
      <c r="D152" s="5" t="s">
        <v>133</v>
      </c>
      <c r="E152" s="5" t="s">
        <v>105</v>
      </c>
      <c r="F152" s="5" t="s">
        <v>28</v>
      </c>
      <c r="G152" s="6">
        <v>50</v>
      </c>
      <c r="H152" s="12">
        <f t="shared" si="6"/>
        <v>7</v>
      </c>
      <c r="I152" s="12">
        <f t="shared" si="7"/>
        <v>2026</v>
      </c>
      <c r="J152" s="13">
        <f t="shared" si="8"/>
        <v>-50</v>
      </c>
      <c r="K152" s="12" t="str">
        <f>IF(C152="","",IFERROR(INDEX(Listen!$B$2:$B$100,MATCH(C152,Listen!$A$2:$A$100,0)),""))</f>
        <v>Bedarf</v>
      </c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25">
      <c r="A153" s="11">
        <v>46218</v>
      </c>
      <c r="B153" s="5" t="s">
        <v>112</v>
      </c>
      <c r="C153" s="5" t="s">
        <v>36</v>
      </c>
      <c r="D153" s="5" t="s">
        <v>134</v>
      </c>
      <c r="E153" s="5" t="s">
        <v>54</v>
      </c>
      <c r="F153" s="5" t="s">
        <v>135</v>
      </c>
      <c r="G153" s="6">
        <v>190</v>
      </c>
      <c r="H153" s="12">
        <f t="shared" si="6"/>
        <v>7</v>
      </c>
      <c r="I153" s="12">
        <f t="shared" si="7"/>
        <v>2026</v>
      </c>
      <c r="J153" s="13">
        <f t="shared" si="8"/>
        <v>-190</v>
      </c>
      <c r="K153" s="12" t="str">
        <f>IF(C153="","",IFERROR(INDEX(Listen!$B$2:$B$100,MATCH(C153,Listen!$A$2:$A$100,0)),""))</f>
        <v>Wunsch</v>
      </c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25">
      <c r="A154" s="11">
        <v>46221</v>
      </c>
      <c r="B154" s="5" t="s">
        <v>112</v>
      </c>
      <c r="C154" s="5" t="s">
        <v>22</v>
      </c>
      <c r="D154" s="5" t="s">
        <v>115</v>
      </c>
      <c r="E154" s="5" t="s">
        <v>105</v>
      </c>
      <c r="F154" s="5" t="s">
        <v>116</v>
      </c>
      <c r="G154" s="6">
        <v>119</v>
      </c>
      <c r="H154" s="12">
        <f t="shared" si="6"/>
        <v>7</v>
      </c>
      <c r="I154" s="12">
        <f t="shared" si="7"/>
        <v>2026</v>
      </c>
      <c r="J154" s="13">
        <f t="shared" si="8"/>
        <v>-119</v>
      </c>
      <c r="K154" s="12" t="str">
        <f>IF(C154="","",IFERROR(INDEX(Listen!$B$2:$B$100,MATCH(C154,Listen!$A$2:$A$100,0)),""))</f>
        <v>Bedarf</v>
      </c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25">
      <c r="A155" s="11">
        <v>46223</v>
      </c>
      <c r="B155" s="5" t="s">
        <v>112</v>
      </c>
      <c r="C155" s="5" t="s">
        <v>34</v>
      </c>
      <c r="D155" s="5" t="s">
        <v>138</v>
      </c>
      <c r="E155" s="5" t="s">
        <v>54</v>
      </c>
      <c r="F155" s="5" t="s">
        <v>139</v>
      </c>
      <c r="G155" s="6">
        <v>155</v>
      </c>
      <c r="H155" s="12">
        <f t="shared" si="6"/>
        <v>7</v>
      </c>
      <c r="I155" s="12">
        <f t="shared" si="7"/>
        <v>2026</v>
      </c>
      <c r="J155" s="13">
        <f t="shared" si="8"/>
        <v>-155</v>
      </c>
      <c r="K155" s="12" t="str">
        <f>IF(C155="","",IFERROR(INDEX(Listen!$B$2:$B$100,MATCH(C155,Listen!$A$2:$A$100,0)),""))</f>
        <v>Wunsch</v>
      </c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25">
      <c r="A156" s="11">
        <v>46227</v>
      </c>
      <c r="B156" s="5" t="s">
        <v>112</v>
      </c>
      <c r="C156" s="5" t="s">
        <v>42</v>
      </c>
      <c r="D156" s="5" t="s">
        <v>145</v>
      </c>
      <c r="E156" s="5" t="s">
        <v>105</v>
      </c>
      <c r="F156" s="5" t="s">
        <v>42</v>
      </c>
      <c r="G156" s="6">
        <v>90</v>
      </c>
      <c r="H156" s="12">
        <f t="shared" si="6"/>
        <v>7</v>
      </c>
      <c r="I156" s="12">
        <f t="shared" si="7"/>
        <v>2026</v>
      </c>
      <c r="J156" s="13">
        <f t="shared" si="8"/>
        <v>-90</v>
      </c>
      <c r="K156" s="12" t="str">
        <f>IF(C156="","",IFERROR(INDEX(Listen!$B$2:$B$100,MATCH(C156,Listen!$A$2:$A$100,0)),""))</f>
        <v>Wunsch</v>
      </c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25">
      <c r="A157" s="11">
        <v>46228</v>
      </c>
      <c r="B157" s="5" t="s">
        <v>112</v>
      </c>
      <c r="C157" s="5" t="s">
        <v>22</v>
      </c>
      <c r="D157" s="5" t="s">
        <v>115</v>
      </c>
      <c r="E157" s="5" t="s">
        <v>105</v>
      </c>
      <c r="F157" s="5" t="s">
        <v>116</v>
      </c>
      <c r="G157" s="6">
        <v>91</v>
      </c>
      <c r="H157" s="12">
        <f t="shared" si="6"/>
        <v>7</v>
      </c>
      <c r="I157" s="12">
        <f t="shared" si="7"/>
        <v>2026</v>
      </c>
      <c r="J157" s="13">
        <f t="shared" si="8"/>
        <v>-91</v>
      </c>
      <c r="K157" s="12" t="str">
        <f>IF(C157="","",IFERROR(INDEX(Listen!$B$2:$B$100,MATCH(C157,Listen!$A$2:$A$100,0)),""))</f>
        <v>Bedarf</v>
      </c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25">
      <c r="A158" s="11">
        <v>46235</v>
      </c>
      <c r="B158" s="5" t="s">
        <v>103</v>
      </c>
      <c r="C158" s="5" t="s">
        <v>80</v>
      </c>
      <c r="D158" s="5" t="s">
        <v>104</v>
      </c>
      <c r="E158" s="5" t="s">
        <v>105</v>
      </c>
      <c r="F158" s="5" t="s">
        <v>106</v>
      </c>
      <c r="G158" s="6">
        <v>3200</v>
      </c>
      <c r="H158" s="12">
        <f t="shared" si="6"/>
        <v>8</v>
      </c>
      <c r="I158" s="12">
        <f t="shared" si="7"/>
        <v>2026</v>
      </c>
      <c r="J158" s="13">
        <f t="shared" si="8"/>
        <v>3200</v>
      </c>
      <c r="K158" s="12" t="str">
        <f>IF(C158="","",IFERROR(INDEX(Listen!$B$2:$B$100,MATCH(C158,Listen!$A$2:$A$100,0)),""))</f>
        <v>Einkommen</v>
      </c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25">
      <c r="A159" s="11">
        <v>46236</v>
      </c>
      <c r="B159" s="5" t="s">
        <v>24</v>
      </c>
      <c r="C159" s="5" t="s">
        <v>47</v>
      </c>
      <c r="D159" s="5" t="s">
        <v>107</v>
      </c>
      <c r="E159" s="5" t="s">
        <v>108</v>
      </c>
      <c r="F159" s="5" t="s">
        <v>109</v>
      </c>
      <c r="G159" s="6">
        <v>350</v>
      </c>
      <c r="H159" s="12">
        <f t="shared" si="6"/>
        <v>8</v>
      </c>
      <c r="I159" s="12">
        <f t="shared" si="7"/>
        <v>2026</v>
      </c>
      <c r="J159" s="13">
        <f t="shared" si="8"/>
        <v>-350</v>
      </c>
      <c r="K159" s="12" t="str">
        <f>IF(C159="","",IFERROR(INDEX(Listen!$B$2:$B$100,MATCH(C159,Listen!$A$2:$A$100,0)),""))</f>
        <v>Sparen</v>
      </c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25">
      <c r="A160" s="11">
        <v>46236</v>
      </c>
      <c r="B160" s="5" t="s">
        <v>24</v>
      </c>
      <c r="C160" s="5" t="s">
        <v>45</v>
      </c>
      <c r="D160" s="5" t="s">
        <v>110</v>
      </c>
      <c r="E160" s="5" t="s">
        <v>110</v>
      </c>
      <c r="F160" s="5" t="s">
        <v>111</v>
      </c>
      <c r="G160" s="6">
        <v>250</v>
      </c>
      <c r="H160" s="12">
        <f t="shared" si="6"/>
        <v>8</v>
      </c>
      <c r="I160" s="12">
        <f t="shared" si="7"/>
        <v>2026</v>
      </c>
      <c r="J160" s="13">
        <f t="shared" si="8"/>
        <v>-250</v>
      </c>
      <c r="K160" s="12" t="str">
        <f>IF(C160="","",IFERROR(INDEX(Listen!$B$2:$B$100,MATCH(C160,Listen!$A$2:$A$100,0)),""))</f>
        <v>Sparen</v>
      </c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25">
      <c r="A161" s="11">
        <v>46237</v>
      </c>
      <c r="B161" s="5" t="s">
        <v>112</v>
      </c>
      <c r="C161" s="5" t="s">
        <v>16</v>
      </c>
      <c r="D161" s="5" t="s">
        <v>113</v>
      </c>
      <c r="E161" s="5" t="s">
        <v>105</v>
      </c>
      <c r="F161" s="5" t="s">
        <v>114</v>
      </c>
      <c r="G161" s="6">
        <v>1050</v>
      </c>
      <c r="H161" s="12">
        <f t="shared" si="6"/>
        <v>8</v>
      </c>
      <c r="I161" s="12">
        <f t="shared" si="7"/>
        <v>2026</v>
      </c>
      <c r="J161" s="13">
        <f t="shared" si="8"/>
        <v>-1050</v>
      </c>
      <c r="K161" s="12" t="str">
        <f>IF(C161="","",IFERROR(INDEX(Listen!$B$2:$B$100,MATCH(C161,Listen!$A$2:$A$100,0)),""))</f>
        <v>Bedarf</v>
      </c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25">
      <c r="A162" s="11">
        <v>46238</v>
      </c>
      <c r="B162" s="5" t="s">
        <v>112</v>
      </c>
      <c r="C162" s="5" t="s">
        <v>22</v>
      </c>
      <c r="D162" s="5" t="s">
        <v>115</v>
      </c>
      <c r="E162" s="5" t="s">
        <v>105</v>
      </c>
      <c r="F162" s="5" t="s">
        <v>116</v>
      </c>
      <c r="G162" s="6">
        <v>117</v>
      </c>
      <c r="H162" s="12">
        <f t="shared" si="6"/>
        <v>8</v>
      </c>
      <c r="I162" s="12">
        <f t="shared" si="7"/>
        <v>2026</v>
      </c>
      <c r="J162" s="13">
        <f t="shared" si="8"/>
        <v>-117</v>
      </c>
      <c r="K162" s="12" t="str">
        <f>IF(C162="","",IFERROR(INDEX(Listen!$B$2:$B$100,MATCH(C162,Listen!$A$2:$A$100,0)),""))</f>
        <v>Bedarf</v>
      </c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25">
      <c r="A163" s="11">
        <v>46238</v>
      </c>
      <c r="B163" s="5" t="s">
        <v>24</v>
      </c>
      <c r="C163" s="5" t="s">
        <v>49</v>
      </c>
      <c r="D163" s="5" t="s">
        <v>117</v>
      </c>
      <c r="E163" s="5" t="s">
        <v>105</v>
      </c>
      <c r="F163" s="5" t="s">
        <v>118</v>
      </c>
      <c r="G163" s="6">
        <v>150</v>
      </c>
      <c r="H163" s="12">
        <f t="shared" si="6"/>
        <v>8</v>
      </c>
      <c r="I163" s="12">
        <f t="shared" si="7"/>
        <v>2026</v>
      </c>
      <c r="J163" s="13">
        <f t="shared" si="8"/>
        <v>-150</v>
      </c>
      <c r="K163" s="12" t="str">
        <f>IF(C163="","",IFERROR(INDEX(Listen!$B$2:$B$100,MATCH(C163,Listen!$A$2:$A$100,0)),""))</f>
        <v>Sparen</v>
      </c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25">
      <c r="A164" s="11">
        <v>46238</v>
      </c>
      <c r="B164" s="5" t="s">
        <v>24</v>
      </c>
      <c r="C164" s="5" t="s">
        <v>51</v>
      </c>
      <c r="D164" s="5" t="s">
        <v>119</v>
      </c>
      <c r="E164" s="5" t="s">
        <v>110</v>
      </c>
      <c r="F164" s="5" t="s">
        <v>120</v>
      </c>
      <c r="G164" s="6">
        <v>120</v>
      </c>
      <c r="H164" s="12">
        <f t="shared" si="6"/>
        <v>8</v>
      </c>
      <c r="I164" s="12">
        <f t="shared" si="7"/>
        <v>2026</v>
      </c>
      <c r="J164" s="13">
        <f t="shared" si="8"/>
        <v>-120</v>
      </c>
      <c r="K164" s="12" t="str">
        <f>IF(C164="","",IFERROR(INDEX(Listen!$B$2:$B$100,MATCH(C164,Listen!$A$2:$A$100,0)),""))</f>
        <v>Sparen</v>
      </c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25">
      <c r="A165" s="11">
        <v>46239</v>
      </c>
      <c r="B165" s="5" t="s">
        <v>112</v>
      </c>
      <c r="C165" s="5" t="s">
        <v>19</v>
      </c>
      <c r="D165" s="5" t="s">
        <v>121</v>
      </c>
      <c r="E165" s="5" t="s">
        <v>105</v>
      </c>
      <c r="F165" s="5" t="s">
        <v>122</v>
      </c>
      <c r="G165" s="6">
        <v>148</v>
      </c>
      <c r="H165" s="12">
        <f t="shared" si="6"/>
        <v>8</v>
      </c>
      <c r="I165" s="12">
        <f t="shared" si="7"/>
        <v>2026</v>
      </c>
      <c r="J165" s="13">
        <f t="shared" si="8"/>
        <v>-148</v>
      </c>
      <c r="K165" s="12" t="str">
        <f>IF(C165="","",IFERROR(INDEX(Listen!$B$2:$B$100,MATCH(C165,Listen!$A$2:$A$100,0)),""))</f>
        <v>Bedarf</v>
      </c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25">
      <c r="A166" s="11">
        <v>46240</v>
      </c>
      <c r="B166" s="5" t="s">
        <v>112</v>
      </c>
      <c r="C166" s="5" t="s">
        <v>30</v>
      </c>
      <c r="D166" s="5" t="s">
        <v>123</v>
      </c>
      <c r="E166" s="5" t="s">
        <v>105</v>
      </c>
      <c r="F166" s="5" t="s">
        <v>124</v>
      </c>
      <c r="G166" s="6">
        <v>59</v>
      </c>
      <c r="H166" s="12">
        <f t="shared" si="6"/>
        <v>8</v>
      </c>
      <c r="I166" s="12">
        <f t="shared" si="7"/>
        <v>2026</v>
      </c>
      <c r="J166" s="13">
        <f t="shared" si="8"/>
        <v>-59</v>
      </c>
      <c r="K166" s="12" t="str">
        <f>IF(C166="","",IFERROR(INDEX(Listen!$B$2:$B$100,MATCH(C166,Listen!$A$2:$A$100,0)),""))</f>
        <v>Bedarf</v>
      </c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25">
      <c r="A167" s="11">
        <v>46241</v>
      </c>
      <c r="B167" s="5" t="s">
        <v>125</v>
      </c>
      <c r="C167" s="5" t="s">
        <v>53</v>
      </c>
      <c r="D167" s="5" t="s">
        <v>126</v>
      </c>
      <c r="E167" s="5" t="s">
        <v>105</v>
      </c>
      <c r="F167" s="5" t="s">
        <v>127</v>
      </c>
      <c r="G167" s="6">
        <v>180</v>
      </c>
      <c r="H167" s="12">
        <f t="shared" si="6"/>
        <v>8</v>
      </c>
      <c r="I167" s="12">
        <f t="shared" si="7"/>
        <v>2026</v>
      </c>
      <c r="J167" s="13">
        <f t="shared" si="8"/>
        <v>-180</v>
      </c>
      <c r="K167" s="12" t="str">
        <f>IF(C167="","",IFERROR(INDEX(Listen!$B$2:$B$100,MATCH(C167,Listen!$A$2:$A$100,0)),""))</f>
        <v>Schulden</v>
      </c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25">
      <c r="A168" s="11">
        <v>46242</v>
      </c>
      <c r="B168" s="5" t="s">
        <v>112</v>
      </c>
      <c r="C168" s="5" t="s">
        <v>32</v>
      </c>
      <c r="D168" s="5" t="s">
        <v>128</v>
      </c>
      <c r="E168" s="5" t="s">
        <v>105</v>
      </c>
      <c r="F168" s="5" t="s">
        <v>129</v>
      </c>
      <c r="G168" s="6">
        <v>39</v>
      </c>
      <c r="H168" s="12">
        <f t="shared" si="6"/>
        <v>8</v>
      </c>
      <c r="I168" s="12">
        <f t="shared" si="7"/>
        <v>2026</v>
      </c>
      <c r="J168" s="13">
        <f t="shared" si="8"/>
        <v>-39</v>
      </c>
      <c r="K168" s="12" t="str">
        <f>IF(C168="","",IFERROR(INDEX(Listen!$B$2:$B$100,MATCH(C168,Listen!$A$2:$A$100,0)),""))</f>
        <v>Bedarf</v>
      </c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25">
      <c r="A169" s="11">
        <v>46244</v>
      </c>
      <c r="B169" s="5" t="s">
        <v>112</v>
      </c>
      <c r="C169" s="5" t="s">
        <v>32</v>
      </c>
      <c r="D169" s="5" t="s">
        <v>130</v>
      </c>
      <c r="E169" s="5" t="s">
        <v>105</v>
      </c>
      <c r="F169" s="5" t="s">
        <v>130</v>
      </c>
      <c r="G169" s="6">
        <v>24</v>
      </c>
      <c r="H169" s="12">
        <f t="shared" si="6"/>
        <v>8</v>
      </c>
      <c r="I169" s="12">
        <f t="shared" si="7"/>
        <v>2026</v>
      </c>
      <c r="J169" s="13">
        <f t="shared" si="8"/>
        <v>-24</v>
      </c>
      <c r="K169" s="12" t="str">
        <f>IF(C169="","",IFERROR(INDEX(Listen!$B$2:$B$100,MATCH(C169,Listen!$A$2:$A$100,0)),""))</f>
        <v>Bedarf</v>
      </c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25">
      <c r="A170" s="11">
        <v>46245</v>
      </c>
      <c r="B170" s="5" t="s">
        <v>112</v>
      </c>
      <c r="C170" s="5" t="s">
        <v>25</v>
      </c>
      <c r="D170" s="5" t="s">
        <v>131</v>
      </c>
      <c r="E170" s="5" t="s">
        <v>105</v>
      </c>
      <c r="F170" s="5" t="s">
        <v>132</v>
      </c>
      <c r="G170" s="6">
        <v>92</v>
      </c>
      <c r="H170" s="12">
        <f t="shared" si="6"/>
        <v>8</v>
      </c>
      <c r="I170" s="12">
        <f t="shared" si="7"/>
        <v>2026</v>
      </c>
      <c r="J170" s="13">
        <f t="shared" si="8"/>
        <v>-92</v>
      </c>
      <c r="K170" s="12" t="str">
        <f>IF(C170="","",IFERROR(INDEX(Listen!$B$2:$B$100,MATCH(C170,Listen!$A$2:$A$100,0)),""))</f>
        <v>Bedarf</v>
      </c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25">
      <c r="A171" s="11">
        <v>46245</v>
      </c>
      <c r="B171" s="5" t="s">
        <v>112</v>
      </c>
      <c r="C171" s="5" t="s">
        <v>22</v>
      </c>
      <c r="D171" s="5" t="s">
        <v>115</v>
      </c>
      <c r="E171" s="5" t="s">
        <v>105</v>
      </c>
      <c r="F171" s="5" t="s">
        <v>116</v>
      </c>
      <c r="G171" s="6">
        <v>76</v>
      </c>
      <c r="H171" s="12">
        <f t="shared" si="6"/>
        <v>8</v>
      </c>
      <c r="I171" s="12">
        <f t="shared" si="7"/>
        <v>2026</v>
      </c>
      <c r="J171" s="13">
        <f t="shared" si="8"/>
        <v>-76</v>
      </c>
      <c r="K171" s="12" t="str">
        <f>IF(C171="","",IFERROR(INDEX(Listen!$B$2:$B$100,MATCH(C171,Listen!$A$2:$A$100,0)),""))</f>
        <v>Bedarf</v>
      </c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25">
      <c r="A172" s="11">
        <v>46248</v>
      </c>
      <c r="B172" s="5" t="s">
        <v>112</v>
      </c>
      <c r="C172" s="5" t="s">
        <v>28</v>
      </c>
      <c r="D172" s="5" t="s">
        <v>133</v>
      </c>
      <c r="E172" s="5" t="s">
        <v>105</v>
      </c>
      <c r="F172" s="5" t="s">
        <v>28</v>
      </c>
      <c r="G172" s="6">
        <v>36</v>
      </c>
      <c r="H172" s="12">
        <f t="shared" si="6"/>
        <v>8</v>
      </c>
      <c r="I172" s="12">
        <f t="shared" si="7"/>
        <v>2026</v>
      </c>
      <c r="J172" s="13">
        <f t="shared" si="8"/>
        <v>-36</v>
      </c>
      <c r="K172" s="12" t="str">
        <f>IF(C172="","",IFERROR(INDEX(Listen!$B$2:$B$100,MATCH(C172,Listen!$A$2:$A$100,0)),""))</f>
        <v>Bedarf</v>
      </c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25">
      <c r="A173" s="11">
        <v>46249</v>
      </c>
      <c r="B173" s="5" t="s">
        <v>112</v>
      </c>
      <c r="C173" s="5" t="s">
        <v>36</v>
      </c>
      <c r="D173" s="5" t="s">
        <v>134</v>
      </c>
      <c r="E173" s="5" t="s">
        <v>54</v>
      </c>
      <c r="F173" s="5" t="s">
        <v>135</v>
      </c>
      <c r="G173" s="6">
        <v>175</v>
      </c>
      <c r="H173" s="12">
        <f t="shared" si="6"/>
        <v>8</v>
      </c>
      <c r="I173" s="12">
        <f t="shared" si="7"/>
        <v>2026</v>
      </c>
      <c r="J173" s="13">
        <f t="shared" si="8"/>
        <v>-175</v>
      </c>
      <c r="K173" s="12" t="str">
        <f>IF(C173="","",IFERROR(INDEX(Listen!$B$2:$B$100,MATCH(C173,Listen!$A$2:$A$100,0)),""))</f>
        <v>Wunsch</v>
      </c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25">
      <c r="A174" s="11">
        <v>46252</v>
      </c>
      <c r="B174" s="5" t="s">
        <v>112</v>
      </c>
      <c r="C174" s="5" t="s">
        <v>22</v>
      </c>
      <c r="D174" s="5" t="s">
        <v>115</v>
      </c>
      <c r="E174" s="5" t="s">
        <v>105</v>
      </c>
      <c r="F174" s="5" t="s">
        <v>116</v>
      </c>
      <c r="G174" s="6">
        <v>126</v>
      </c>
      <c r="H174" s="12">
        <f t="shared" si="6"/>
        <v>8</v>
      </c>
      <c r="I174" s="12">
        <f t="shared" si="7"/>
        <v>2026</v>
      </c>
      <c r="J174" s="13">
        <f t="shared" si="8"/>
        <v>-126</v>
      </c>
      <c r="K174" s="12" t="str">
        <f>IF(C174="","",IFERROR(INDEX(Listen!$B$2:$B$100,MATCH(C174,Listen!$A$2:$A$100,0)),""))</f>
        <v>Bedarf</v>
      </c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25">
      <c r="A175" s="11">
        <v>46254</v>
      </c>
      <c r="B175" s="5" t="s">
        <v>112</v>
      </c>
      <c r="C175" s="5" t="s">
        <v>34</v>
      </c>
      <c r="D175" s="5" t="s">
        <v>138</v>
      </c>
      <c r="E175" s="5" t="s">
        <v>54</v>
      </c>
      <c r="F175" s="5" t="s">
        <v>139</v>
      </c>
      <c r="G175" s="6">
        <v>130</v>
      </c>
      <c r="H175" s="12">
        <f t="shared" si="6"/>
        <v>8</v>
      </c>
      <c r="I175" s="12">
        <f t="shared" si="7"/>
        <v>2026</v>
      </c>
      <c r="J175" s="13">
        <f t="shared" si="8"/>
        <v>-130</v>
      </c>
      <c r="K175" s="12" t="str">
        <f>IF(C175="","",IFERROR(INDEX(Listen!$B$2:$B$100,MATCH(C175,Listen!$A$2:$A$100,0)),""))</f>
        <v>Wunsch</v>
      </c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25">
      <c r="A176" s="11">
        <v>46256</v>
      </c>
      <c r="B176" s="5" t="s">
        <v>112</v>
      </c>
      <c r="C176" s="5" t="s">
        <v>38</v>
      </c>
      <c r="D176" s="5" t="s">
        <v>38</v>
      </c>
      <c r="E176" s="5" t="s">
        <v>54</v>
      </c>
      <c r="F176" s="5" t="s">
        <v>140</v>
      </c>
      <c r="G176" s="6">
        <v>95</v>
      </c>
      <c r="H176" s="12">
        <f t="shared" si="6"/>
        <v>8</v>
      </c>
      <c r="I176" s="12">
        <f t="shared" si="7"/>
        <v>2026</v>
      </c>
      <c r="J176" s="13">
        <f t="shared" si="8"/>
        <v>-95</v>
      </c>
      <c r="K176" s="12" t="str">
        <f>IF(C176="","",IFERROR(INDEX(Listen!$B$2:$B$100,MATCH(C176,Listen!$A$2:$A$100,0)),""))</f>
        <v>Wunsch</v>
      </c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25">
      <c r="A177" s="11">
        <v>46259</v>
      </c>
      <c r="B177" s="5" t="s">
        <v>112</v>
      </c>
      <c r="C177" s="5" t="s">
        <v>22</v>
      </c>
      <c r="D177" s="5" t="s">
        <v>115</v>
      </c>
      <c r="E177" s="5" t="s">
        <v>105</v>
      </c>
      <c r="F177" s="5" t="s">
        <v>116</v>
      </c>
      <c r="G177" s="6">
        <v>92</v>
      </c>
      <c r="H177" s="12">
        <f t="shared" si="6"/>
        <v>8</v>
      </c>
      <c r="I177" s="12">
        <f t="shared" si="7"/>
        <v>2026</v>
      </c>
      <c r="J177" s="13">
        <f t="shared" si="8"/>
        <v>-92</v>
      </c>
      <c r="K177" s="12" t="str">
        <f>IF(C177="","",IFERROR(INDEX(Listen!$B$2:$B$100,MATCH(C177,Listen!$A$2:$A$100,0)),""))</f>
        <v>Bedarf</v>
      </c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25">
      <c r="A178" s="11">
        <v>46260</v>
      </c>
      <c r="B178" s="5" t="s">
        <v>112</v>
      </c>
      <c r="C178" s="5" t="s">
        <v>39</v>
      </c>
      <c r="D178" s="5" t="s">
        <v>149</v>
      </c>
      <c r="E178" s="5" t="s">
        <v>105</v>
      </c>
      <c r="F178" s="5" t="s">
        <v>150</v>
      </c>
      <c r="G178" s="6">
        <v>620</v>
      </c>
      <c r="H178" s="12">
        <f t="shared" si="6"/>
        <v>8</v>
      </c>
      <c r="I178" s="12">
        <f t="shared" si="7"/>
        <v>2026</v>
      </c>
      <c r="J178" s="13">
        <f t="shared" si="8"/>
        <v>-620</v>
      </c>
      <c r="K178" s="12" t="str">
        <f>IF(C178="","",IFERROR(INDEX(Listen!$B$2:$B$100,MATCH(C178,Listen!$A$2:$A$100,0)),""))</f>
        <v>Wunsch</v>
      </c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25">
      <c r="A179" s="11">
        <v>46266</v>
      </c>
      <c r="B179" s="5" t="s">
        <v>103</v>
      </c>
      <c r="C179" s="5" t="s">
        <v>80</v>
      </c>
      <c r="D179" s="5" t="s">
        <v>104</v>
      </c>
      <c r="E179" s="5" t="s">
        <v>105</v>
      </c>
      <c r="F179" s="5" t="s">
        <v>106</v>
      </c>
      <c r="G179" s="6">
        <v>3200</v>
      </c>
      <c r="H179" s="12">
        <f t="shared" si="6"/>
        <v>9</v>
      </c>
      <c r="I179" s="12">
        <f t="shared" si="7"/>
        <v>2026</v>
      </c>
      <c r="J179" s="13">
        <f t="shared" si="8"/>
        <v>3200</v>
      </c>
      <c r="K179" s="12" t="str">
        <f>IF(C179="","",IFERROR(INDEX(Listen!$B$2:$B$100,MATCH(C179,Listen!$A$2:$A$100,0)),""))</f>
        <v>Einkommen</v>
      </c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25">
      <c r="A180" s="11">
        <v>46267</v>
      </c>
      <c r="B180" s="5" t="s">
        <v>24</v>
      </c>
      <c r="C180" s="5" t="s">
        <v>47</v>
      </c>
      <c r="D180" s="5" t="s">
        <v>107</v>
      </c>
      <c r="E180" s="5" t="s">
        <v>108</v>
      </c>
      <c r="F180" s="5" t="s">
        <v>109</v>
      </c>
      <c r="G180" s="6">
        <v>350</v>
      </c>
      <c r="H180" s="12">
        <f t="shared" si="6"/>
        <v>9</v>
      </c>
      <c r="I180" s="12">
        <f t="shared" si="7"/>
        <v>2026</v>
      </c>
      <c r="J180" s="13">
        <f t="shared" si="8"/>
        <v>-350</v>
      </c>
      <c r="K180" s="12" t="str">
        <f>IF(C180="","",IFERROR(INDEX(Listen!$B$2:$B$100,MATCH(C180,Listen!$A$2:$A$100,0)),""))</f>
        <v>Sparen</v>
      </c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25">
      <c r="A181" s="11">
        <v>46267</v>
      </c>
      <c r="B181" s="5" t="s">
        <v>24</v>
      </c>
      <c r="C181" s="5" t="s">
        <v>45</v>
      </c>
      <c r="D181" s="5" t="s">
        <v>110</v>
      </c>
      <c r="E181" s="5" t="s">
        <v>110</v>
      </c>
      <c r="F181" s="5" t="s">
        <v>111</v>
      </c>
      <c r="G181" s="6">
        <v>250</v>
      </c>
      <c r="H181" s="12">
        <f t="shared" si="6"/>
        <v>9</v>
      </c>
      <c r="I181" s="12">
        <f t="shared" si="7"/>
        <v>2026</v>
      </c>
      <c r="J181" s="13">
        <f t="shared" si="8"/>
        <v>-250</v>
      </c>
      <c r="K181" s="12" t="str">
        <f>IF(C181="","",IFERROR(INDEX(Listen!$B$2:$B$100,MATCH(C181,Listen!$A$2:$A$100,0)),""))</f>
        <v>Sparen</v>
      </c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25">
      <c r="A182" s="11">
        <v>46268</v>
      </c>
      <c r="B182" s="5" t="s">
        <v>112</v>
      </c>
      <c r="C182" s="5" t="s">
        <v>16</v>
      </c>
      <c r="D182" s="5" t="s">
        <v>113</v>
      </c>
      <c r="E182" s="5" t="s">
        <v>105</v>
      </c>
      <c r="F182" s="5" t="s">
        <v>114</v>
      </c>
      <c r="G182" s="6">
        <v>1050</v>
      </c>
      <c r="H182" s="12">
        <f t="shared" si="6"/>
        <v>9</v>
      </c>
      <c r="I182" s="12">
        <f t="shared" si="7"/>
        <v>2026</v>
      </c>
      <c r="J182" s="13">
        <f t="shared" si="8"/>
        <v>-1050</v>
      </c>
      <c r="K182" s="12" t="str">
        <f>IF(C182="","",IFERROR(INDEX(Listen!$B$2:$B$100,MATCH(C182,Listen!$A$2:$A$100,0)),""))</f>
        <v>Bedarf</v>
      </c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25">
      <c r="A183" s="11">
        <v>46269</v>
      </c>
      <c r="B183" s="5" t="s">
        <v>112</v>
      </c>
      <c r="C183" s="5" t="s">
        <v>22</v>
      </c>
      <c r="D183" s="5" t="s">
        <v>115</v>
      </c>
      <c r="E183" s="5" t="s">
        <v>105</v>
      </c>
      <c r="F183" s="5" t="s">
        <v>116</v>
      </c>
      <c r="G183" s="6">
        <v>109</v>
      </c>
      <c r="H183" s="12">
        <f t="shared" si="6"/>
        <v>9</v>
      </c>
      <c r="I183" s="12">
        <f t="shared" si="7"/>
        <v>2026</v>
      </c>
      <c r="J183" s="13">
        <f t="shared" si="8"/>
        <v>-109</v>
      </c>
      <c r="K183" s="12" t="str">
        <f>IF(C183="","",IFERROR(INDEX(Listen!$B$2:$B$100,MATCH(C183,Listen!$A$2:$A$100,0)),""))</f>
        <v>Bedarf</v>
      </c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25">
      <c r="A184" s="11">
        <v>46269</v>
      </c>
      <c r="B184" s="5" t="s">
        <v>24</v>
      </c>
      <c r="C184" s="5" t="s">
        <v>49</v>
      </c>
      <c r="D184" s="5" t="s">
        <v>117</v>
      </c>
      <c r="E184" s="5" t="s">
        <v>105</v>
      </c>
      <c r="F184" s="5" t="s">
        <v>118</v>
      </c>
      <c r="G184" s="6">
        <v>150</v>
      </c>
      <c r="H184" s="12">
        <f t="shared" si="6"/>
        <v>9</v>
      </c>
      <c r="I184" s="12">
        <f t="shared" si="7"/>
        <v>2026</v>
      </c>
      <c r="J184" s="13">
        <f t="shared" si="8"/>
        <v>-150</v>
      </c>
      <c r="K184" s="12" t="str">
        <f>IF(C184="","",IFERROR(INDEX(Listen!$B$2:$B$100,MATCH(C184,Listen!$A$2:$A$100,0)),""))</f>
        <v>Sparen</v>
      </c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25">
      <c r="A185" s="11">
        <v>46269</v>
      </c>
      <c r="B185" s="5" t="s">
        <v>24</v>
      </c>
      <c r="C185" s="5" t="s">
        <v>51</v>
      </c>
      <c r="D185" s="5" t="s">
        <v>119</v>
      </c>
      <c r="E185" s="5" t="s">
        <v>110</v>
      </c>
      <c r="F185" s="5" t="s">
        <v>120</v>
      </c>
      <c r="G185" s="6">
        <v>120</v>
      </c>
      <c r="H185" s="12">
        <f t="shared" si="6"/>
        <v>9</v>
      </c>
      <c r="I185" s="12">
        <f t="shared" si="7"/>
        <v>2026</v>
      </c>
      <c r="J185" s="13">
        <f t="shared" si="8"/>
        <v>-120</v>
      </c>
      <c r="K185" s="12" t="str">
        <f>IF(C185="","",IFERROR(INDEX(Listen!$B$2:$B$100,MATCH(C185,Listen!$A$2:$A$100,0)),""))</f>
        <v>Sparen</v>
      </c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25">
      <c r="A186" s="11">
        <v>46270</v>
      </c>
      <c r="B186" s="5" t="s">
        <v>112</v>
      </c>
      <c r="C186" s="5" t="s">
        <v>19</v>
      </c>
      <c r="D186" s="5" t="s">
        <v>121</v>
      </c>
      <c r="E186" s="5" t="s">
        <v>105</v>
      </c>
      <c r="F186" s="5" t="s">
        <v>122</v>
      </c>
      <c r="G186" s="6">
        <v>148</v>
      </c>
      <c r="H186" s="12">
        <f t="shared" si="6"/>
        <v>9</v>
      </c>
      <c r="I186" s="12">
        <f t="shared" si="7"/>
        <v>2026</v>
      </c>
      <c r="J186" s="13">
        <f t="shared" si="8"/>
        <v>-148</v>
      </c>
      <c r="K186" s="12" t="str">
        <f>IF(C186="","",IFERROR(INDEX(Listen!$B$2:$B$100,MATCH(C186,Listen!$A$2:$A$100,0)),""))</f>
        <v>Bedarf</v>
      </c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25">
      <c r="A187" s="11">
        <v>46271</v>
      </c>
      <c r="B187" s="5" t="s">
        <v>112</v>
      </c>
      <c r="C187" s="5" t="s">
        <v>30</v>
      </c>
      <c r="D187" s="5" t="s">
        <v>123</v>
      </c>
      <c r="E187" s="5" t="s">
        <v>105</v>
      </c>
      <c r="F187" s="5" t="s">
        <v>124</v>
      </c>
      <c r="G187" s="6">
        <v>59</v>
      </c>
      <c r="H187" s="12">
        <f t="shared" si="6"/>
        <v>9</v>
      </c>
      <c r="I187" s="12">
        <f t="shared" si="7"/>
        <v>2026</v>
      </c>
      <c r="J187" s="13">
        <f t="shared" si="8"/>
        <v>-59</v>
      </c>
      <c r="K187" s="12" t="str">
        <f>IF(C187="","",IFERROR(INDEX(Listen!$B$2:$B$100,MATCH(C187,Listen!$A$2:$A$100,0)),""))</f>
        <v>Bedarf</v>
      </c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25">
      <c r="A188" s="11">
        <v>46272</v>
      </c>
      <c r="B188" s="5" t="s">
        <v>125</v>
      </c>
      <c r="C188" s="5" t="s">
        <v>53</v>
      </c>
      <c r="D188" s="5" t="s">
        <v>126</v>
      </c>
      <c r="E188" s="5" t="s">
        <v>105</v>
      </c>
      <c r="F188" s="5" t="s">
        <v>127</v>
      </c>
      <c r="G188" s="6">
        <v>180</v>
      </c>
      <c r="H188" s="12">
        <f t="shared" si="6"/>
        <v>9</v>
      </c>
      <c r="I188" s="12">
        <f t="shared" si="7"/>
        <v>2026</v>
      </c>
      <c r="J188" s="13">
        <f t="shared" si="8"/>
        <v>-180</v>
      </c>
      <c r="K188" s="12" t="str">
        <f>IF(C188="","",IFERROR(INDEX(Listen!$B$2:$B$100,MATCH(C188,Listen!$A$2:$A$100,0)),""))</f>
        <v>Schulden</v>
      </c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25">
      <c r="A189" s="11">
        <v>46273</v>
      </c>
      <c r="B189" s="5" t="s">
        <v>112</v>
      </c>
      <c r="C189" s="5" t="s">
        <v>32</v>
      </c>
      <c r="D189" s="5" t="s">
        <v>128</v>
      </c>
      <c r="E189" s="5" t="s">
        <v>105</v>
      </c>
      <c r="F189" s="5" t="s">
        <v>129</v>
      </c>
      <c r="G189" s="6">
        <v>39</v>
      </c>
      <c r="H189" s="12">
        <f t="shared" si="6"/>
        <v>9</v>
      </c>
      <c r="I189" s="12">
        <f t="shared" si="7"/>
        <v>2026</v>
      </c>
      <c r="J189" s="13">
        <f t="shared" si="8"/>
        <v>-39</v>
      </c>
      <c r="K189" s="12" t="str">
        <f>IF(C189="","",IFERROR(INDEX(Listen!$B$2:$B$100,MATCH(C189,Listen!$A$2:$A$100,0)),""))</f>
        <v>Bedarf</v>
      </c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25">
      <c r="A190" s="11">
        <v>46275</v>
      </c>
      <c r="B190" s="5" t="s">
        <v>112</v>
      </c>
      <c r="C190" s="5" t="s">
        <v>32</v>
      </c>
      <c r="D190" s="5" t="s">
        <v>130</v>
      </c>
      <c r="E190" s="5" t="s">
        <v>105</v>
      </c>
      <c r="F190" s="5" t="s">
        <v>130</v>
      </c>
      <c r="G190" s="6">
        <v>24</v>
      </c>
      <c r="H190" s="12">
        <f t="shared" si="6"/>
        <v>9</v>
      </c>
      <c r="I190" s="12">
        <f t="shared" si="7"/>
        <v>2026</v>
      </c>
      <c r="J190" s="13">
        <f t="shared" si="8"/>
        <v>-24</v>
      </c>
      <c r="K190" s="12" t="str">
        <f>IF(C190="","",IFERROR(INDEX(Listen!$B$2:$B$100,MATCH(C190,Listen!$A$2:$A$100,0)),""))</f>
        <v>Bedarf</v>
      </c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25">
      <c r="A191" s="11">
        <v>46276</v>
      </c>
      <c r="B191" s="5" t="s">
        <v>112</v>
      </c>
      <c r="C191" s="5" t="s">
        <v>25</v>
      </c>
      <c r="D191" s="5" t="s">
        <v>131</v>
      </c>
      <c r="E191" s="5" t="s">
        <v>105</v>
      </c>
      <c r="F191" s="5" t="s">
        <v>132</v>
      </c>
      <c r="G191" s="6">
        <v>117</v>
      </c>
      <c r="H191" s="12">
        <f t="shared" si="6"/>
        <v>9</v>
      </c>
      <c r="I191" s="12">
        <f t="shared" si="7"/>
        <v>2026</v>
      </c>
      <c r="J191" s="13">
        <f t="shared" si="8"/>
        <v>-117</v>
      </c>
      <c r="K191" s="12" t="str">
        <f>IF(C191="","",IFERROR(INDEX(Listen!$B$2:$B$100,MATCH(C191,Listen!$A$2:$A$100,0)),""))</f>
        <v>Bedarf</v>
      </c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25">
      <c r="A192" s="11">
        <v>46276</v>
      </c>
      <c r="B192" s="5" t="s">
        <v>112</v>
      </c>
      <c r="C192" s="5" t="s">
        <v>22</v>
      </c>
      <c r="D192" s="5" t="s">
        <v>115</v>
      </c>
      <c r="E192" s="5" t="s">
        <v>105</v>
      </c>
      <c r="F192" s="5" t="s">
        <v>116</v>
      </c>
      <c r="G192" s="6">
        <v>89</v>
      </c>
      <c r="H192" s="12">
        <f t="shared" si="6"/>
        <v>9</v>
      </c>
      <c r="I192" s="12">
        <f t="shared" si="7"/>
        <v>2026</v>
      </c>
      <c r="J192" s="13">
        <f t="shared" si="8"/>
        <v>-89</v>
      </c>
      <c r="K192" s="12" t="str">
        <f>IF(C192="","",IFERROR(INDEX(Listen!$B$2:$B$100,MATCH(C192,Listen!$A$2:$A$100,0)),""))</f>
        <v>Bedarf</v>
      </c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25">
      <c r="A193" s="11">
        <v>46277</v>
      </c>
      <c r="B193" s="5" t="s">
        <v>103</v>
      </c>
      <c r="C193" s="5" t="s">
        <v>81</v>
      </c>
      <c r="D193" s="5" t="s">
        <v>141</v>
      </c>
      <c r="E193" s="5" t="s">
        <v>105</v>
      </c>
      <c r="F193" s="5" t="s">
        <v>142</v>
      </c>
      <c r="G193" s="6">
        <v>160</v>
      </c>
      <c r="H193" s="12">
        <f t="shared" si="6"/>
        <v>9</v>
      </c>
      <c r="I193" s="12">
        <f t="shared" si="7"/>
        <v>2026</v>
      </c>
      <c r="J193" s="13">
        <f t="shared" si="8"/>
        <v>160</v>
      </c>
      <c r="K193" s="12" t="str">
        <f>IF(C193="","",IFERROR(INDEX(Listen!$B$2:$B$100,MATCH(C193,Listen!$A$2:$A$100,0)),""))</f>
        <v>Einkommen</v>
      </c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25">
      <c r="A194" s="11">
        <v>46279</v>
      </c>
      <c r="B194" s="5" t="s">
        <v>112</v>
      </c>
      <c r="C194" s="5" t="s">
        <v>28</v>
      </c>
      <c r="D194" s="5" t="s">
        <v>133</v>
      </c>
      <c r="E194" s="5" t="s">
        <v>105</v>
      </c>
      <c r="F194" s="5" t="s">
        <v>28</v>
      </c>
      <c r="G194" s="6">
        <v>62</v>
      </c>
      <c r="H194" s="12">
        <f t="shared" si="6"/>
        <v>9</v>
      </c>
      <c r="I194" s="12">
        <f t="shared" si="7"/>
        <v>2026</v>
      </c>
      <c r="J194" s="13">
        <f t="shared" si="8"/>
        <v>-62</v>
      </c>
      <c r="K194" s="12" t="str">
        <f>IF(C194="","",IFERROR(INDEX(Listen!$B$2:$B$100,MATCH(C194,Listen!$A$2:$A$100,0)),""))</f>
        <v>Bedarf</v>
      </c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25">
      <c r="A195" s="11">
        <v>46280</v>
      </c>
      <c r="B195" s="5" t="s">
        <v>112</v>
      </c>
      <c r="C195" s="5" t="s">
        <v>36</v>
      </c>
      <c r="D195" s="5" t="s">
        <v>134</v>
      </c>
      <c r="E195" s="5" t="s">
        <v>54</v>
      </c>
      <c r="F195" s="5" t="s">
        <v>135</v>
      </c>
      <c r="G195" s="6">
        <v>142</v>
      </c>
      <c r="H195" s="12">
        <f t="shared" si="6"/>
        <v>9</v>
      </c>
      <c r="I195" s="12">
        <f t="shared" si="7"/>
        <v>2026</v>
      </c>
      <c r="J195" s="13">
        <f t="shared" si="8"/>
        <v>-142</v>
      </c>
      <c r="K195" s="12" t="str">
        <f>IF(C195="","",IFERROR(INDEX(Listen!$B$2:$B$100,MATCH(C195,Listen!$A$2:$A$100,0)),""))</f>
        <v>Wunsch</v>
      </c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25">
      <c r="A196" s="11">
        <v>46283</v>
      </c>
      <c r="B196" s="5" t="s">
        <v>112</v>
      </c>
      <c r="C196" s="5" t="s">
        <v>22</v>
      </c>
      <c r="D196" s="5" t="s">
        <v>115</v>
      </c>
      <c r="E196" s="5" t="s">
        <v>105</v>
      </c>
      <c r="F196" s="5" t="s">
        <v>116</v>
      </c>
      <c r="G196" s="6">
        <v>119</v>
      </c>
      <c r="H196" s="12">
        <f t="shared" si="6"/>
        <v>9</v>
      </c>
      <c r="I196" s="12">
        <f t="shared" si="7"/>
        <v>2026</v>
      </c>
      <c r="J196" s="13">
        <f t="shared" si="8"/>
        <v>-119</v>
      </c>
      <c r="K196" s="12" t="str">
        <f>IF(C196="","",IFERROR(INDEX(Listen!$B$2:$B$100,MATCH(C196,Listen!$A$2:$A$100,0)),""))</f>
        <v>Bedarf</v>
      </c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25">
      <c r="A197" s="11">
        <v>46284</v>
      </c>
      <c r="B197" s="5" t="s">
        <v>112</v>
      </c>
      <c r="C197" s="5" t="s">
        <v>40</v>
      </c>
      <c r="D197" s="5" t="s">
        <v>143</v>
      </c>
      <c r="E197" s="5" t="s">
        <v>105</v>
      </c>
      <c r="F197" s="5" t="s">
        <v>144</v>
      </c>
      <c r="G197" s="6">
        <v>65</v>
      </c>
      <c r="H197" s="12">
        <f t="shared" si="6"/>
        <v>9</v>
      </c>
      <c r="I197" s="12">
        <f t="shared" si="7"/>
        <v>2026</v>
      </c>
      <c r="J197" s="13">
        <f t="shared" si="8"/>
        <v>-65</v>
      </c>
      <c r="K197" s="12" t="str">
        <f>IF(C197="","",IFERROR(INDEX(Listen!$B$2:$B$100,MATCH(C197,Listen!$A$2:$A$100,0)),""))</f>
        <v>Wunsch</v>
      </c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25">
      <c r="A198" s="11">
        <v>46285</v>
      </c>
      <c r="B198" s="5" t="s">
        <v>112</v>
      </c>
      <c r="C198" s="5" t="s">
        <v>34</v>
      </c>
      <c r="D198" s="5" t="s">
        <v>138</v>
      </c>
      <c r="E198" s="5" t="s">
        <v>54</v>
      </c>
      <c r="F198" s="5" t="s">
        <v>139</v>
      </c>
      <c r="G198" s="6">
        <v>100</v>
      </c>
      <c r="H198" s="12">
        <f t="shared" ref="H198:H261" si="9">IF(A198="",0,MONTH(A198))</f>
        <v>9</v>
      </c>
      <c r="I198" s="12">
        <f t="shared" ref="I198:I261" si="10">IF(A198="",0,YEAR(A198))</f>
        <v>2026</v>
      </c>
      <c r="J198" s="13">
        <f t="shared" ref="J198:J261" si="11">IF(A198="",0,IF(B198="Einnahme",G198,IF(B198="Transfer",0,-G198)))</f>
        <v>-100</v>
      </c>
      <c r="K198" s="12" t="str">
        <f>IF(C198="","",IFERROR(INDEX(Listen!$B$2:$B$100,MATCH(C198,Listen!$A$2:$A$100,0)),""))</f>
        <v>Wunsch</v>
      </c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25">
      <c r="A199" s="11">
        <v>46290</v>
      </c>
      <c r="B199" s="5" t="s">
        <v>112</v>
      </c>
      <c r="C199" s="5" t="s">
        <v>22</v>
      </c>
      <c r="D199" s="5" t="s">
        <v>115</v>
      </c>
      <c r="E199" s="5" t="s">
        <v>105</v>
      </c>
      <c r="F199" s="5" t="s">
        <v>116</v>
      </c>
      <c r="G199" s="6">
        <v>96</v>
      </c>
      <c r="H199" s="12">
        <f t="shared" si="9"/>
        <v>9</v>
      </c>
      <c r="I199" s="12">
        <f t="shared" si="10"/>
        <v>2026</v>
      </c>
      <c r="J199" s="13">
        <f t="shared" si="11"/>
        <v>-96</v>
      </c>
      <c r="K199" s="12" t="str">
        <f>IF(C199="","",IFERROR(INDEX(Listen!$B$2:$B$100,MATCH(C199,Listen!$A$2:$A$100,0)),""))</f>
        <v>Bedarf</v>
      </c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25">
      <c r="A200" s="11">
        <v>46293</v>
      </c>
      <c r="B200" s="5" t="s">
        <v>103</v>
      </c>
      <c r="C200" s="5" t="s">
        <v>82</v>
      </c>
      <c r="D200" s="5" t="s">
        <v>108</v>
      </c>
      <c r="E200" s="5" t="s">
        <v>108</v>
      </c>
      <c r="F200" s="5" t="s">
        <v>146</v>
      </c>
      <c r="G200" s="6">
        <v>20</v>
      </c>
      <c r="H200" s="12">
        <f t="shared" si="9"/>
        <v>9</v>
      </c>
      <c r="I200" s="12">
        <f t="shared" si="10"/>
        <v>2026</v>
      </c>
      <c r="J200" s="13">
        <f t="shared" si="11"/>
        <v>20</v>
      </c>
      <c r="K200" s="12" t="str">
        <f>IF(C200="","",IFERROR(INDEX(Listen!$B$2:$B$100,MATCH(C200,Listen!$A$2:$A$100,0)),""))</f>
        <v>Einkommen</v>
      </c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25">
      <c r="A201" s="11">
        <v>46296</v>
      </c>
      <c r="B201" s="5" t="s">
        <v>103</v>
      </c>
      <c r="C201" s="5" t="s">
        <v>80</v>
      </c>
      <c r="D201" s="5" t="s">
        <v>104</v>
      </c>
      <c r="E201" s="5" t="s">
        <v>105</v>
      </c>
      <c r="F201" s="5" t="s">
        <v>106</v>
      </c>
      <c r="G201" s="6">
        <v>3200</v>
      </c>
      <c r="H201" s="12">
        <f t="shared" si="9"/>
        <v>10</v>
      </c>
      <c r="I201" s="12">
        <f t="shared" si="10"/>
        <v>2026</v>
      </c>
      <c r="J201" s="13">
        <f t="shared" si="11"/>
        <v>3200</v>
      </c>
      <c r="K201" s="12" t="str">
        <f>IF(C201="","",IFERROR(INDEX(Listen!$B$2:$B$100,MATCH(C201,Listen!$A$2:$A$100,0)),""))</f>
        <v>Einkommen</v>
      </c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25">
      <c r="A202" s="11">
        <v>46297</v>
      </c>
      <c r="B202" s="5" t="s">
        <v>24</v>
      </c>
      <c r="C202" s="5" t="s">
        <v>47</v>
      </c>
      <c r="D202" s="5" t="s">
        <v>107</v>
      </c>
      <c r="E202" s="5" t="s">
        <v>108</v>
      </c>
      <c r="F202" s="5" t="s">
        <v>109</v>
      </c>
      <c r="G202" s="6">
        <v>350</v>
      </c>
      <c r="H202" s="12">
        <f t="shared" si="9"/>
        <v>10</v>
      </c>
      <c r="I202" s="12">
        <f t="shared" si="10"/>
        <v>2026</v>
      </c>
      <c r="J202" s="13">
        <f t="shared" si="11"/>
        <v>-350</v>
      </c>
      <c r="K202" s="12" t="str">
        <f>IF(C202="","",IFERROR(INDEX(Listen!$B$2:$B$100,MATCH(C202,Listen!$A$2:$A$100,0)),""))</f>
        <v>Sparen</v>
      </c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25">
      <c r="A203" s="11">
        <v>46297</v>
      </c>
      <c r="B203" s="5" t="s">
        <v>24</v>
      </c>
      <c r="C203" s="5" t="s">
        <v>45</v>
      </c>
      <c r="D203" s="5" t="s">
        <v>110</v>
      </c>
      <c r="E203" s="5" t="s">
        <v>110</v>
      </c>
      <c r="F203" s="5" t="s">
        <v>111</v>
      </c>
      <c r="G203" s="6">
        <v>150</v>
      </c>
      <c r="H203" s="12">
        <f t="shared" si="9"/>
        <v>10</v>
      </c>
      <c r="I203" s="12">
        <f t="shared" si="10"/>
        <v>2026</v>
      </c>
      <c r="J203" s="13">
        <f t="shared" si="11"/>
        <v>-150</v>
      </c>
      <c r="K203" s="12" t="str">
        <f>IF(C203="","",IFERROR(INDEX(Listen!$B$2:$B$100,MATCH(C203,Listen!$A$2:$A$100,0)),""))</f>
        <v>Sparen</v>
      </c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25">
      <c r="A204" s="11">
        <v>46298</v>
      </c>
      <c r="B204" s="5" t="s">
        <v>112</v>
      </c>
      <c r="C204" s="5" t="s">
        <v>16</v>
      </c>
      <c r="D204" s="5" t="s">
        <v>113</v>
      </c>
      <c r="E204" s="5" t="s">
        <v>105</v>
      </c>
      <c r="F204" s="5" t="s">
        <v>114</v>
      </c>
      <c r="G204" s="6">
        <v>1050</v>
      </c>
      <c r="H204" s="12">
        <f t="shared" si="9"/>
        <v>10</v>
      </c>
      <c r="I204" s="12">
        <f t="shared" si="10"/>
        <v>2026</v>
      </c>
      <c r="J204" s="13">
        <f t="shared" si="11"/>
        <v>-1050</v>
      </c>
      <c r="K204" s="12" t="str">
        <f>IF(C204="","",IFERROR(INDEX(Listen!$B$2:$B$100,MATCH(C204,Listen!$A$2:$A$100,0)),""))</f>
        <v>Bedarf</v>
      </c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25">
      <c r="A205" s="11">
        <v>46299</v>
      </c>
      <c r="B205" s="5" t="s">
        <v>112</v>
      </c>
      <c r="C205" s="5" t="s">
        <v>22</v>
      </c>
      <c r="D205" s="5" t="s">
        <v>115</v>
      </c>
      <c r="E205" s="5" t="s">
        <v>105</v>
      </c>
      <c r="F205" s="5" t="s">
        <v>116</v>
      </c>
      <c r="G205" s="6">
        <v>116</v>
      </c>
      <c r="H205" s="12">
        <f t="shared" si="9"/>
        <v>10</v>
      </c>
      <c r="I205" s="12">
        <f t="shared" si="10"/>
        <v>2026</v>
      </c>
      <c r="J205" s="13">
        <f t="shared" si="11"/>
        <v>-116</v>
      </c>
      <c r="K205" s="12" t="str">
        <f>IF(C205="","",IFERROR(INDEX(Listen!$B$2:$B$100,MATCH(C205,Listen!$A$2:$A$100,0)),""))</f>
        <v>Bedarf</v>
      </c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25">
      <c r="A206" s="11">
        <v>46299</v>
      </c>
      <c r="B206" s="5" t="s">
        <v>24</v>
      </c>
      <c r="C206" s="5" t="s">
        <v>49</v>
      </c>
      <c r="D206" s="5" t="s">
        <v>117</v>
      </c>
      <c r="E206" s="5" t="s">
        <v>105</v>
      </c>
      <c r="F206" s="5" t="s">
        <v>118</v>
      </c>
      <c r="G206" s="6">
        <v>150</v>
      </c>
      <c r="H206" s="12">
        <f t="shared" si="9"/>
        <v>10</v>
      </c>
      <c r="I206" s="12">
        <f t="shared" si="10"/>
        <v>2026</v>
      </c>
      <c r="J206" s="13">
        <f t="shared" si="11"/>
        <v>-150</v>
      </c>
      <c r="K206" s="12" t="str">
        <f>IF(C206="","",IFERROR(INDEX(Listen!$B$2:$B$100,MATCH(C206,Listen!$A$2:$A$100,0)),""))</f>
        <v>Sparen</v>
      </c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25">
      <c r="A207" s="11">
        <v>46299</v>
      </c>
      <c r="B207" s="5" t="s">
        <v>24</v>
      </c>
      <c r="C207" s="5" t="s">
        <v>51</v>
      </c>
      <c r="D207" s="5" t="s">
        <v>119</v>
      </c>
      <c r="E207" s="5" t="s">
        <v>110</v>
      </c>
      <c r="F207" s="5" t="s">
        <v>120</v>
      </c>
      <c r="G207" s="6">
        <v>120</v>
      </c>
      <c r="H207" s="12">
        <f t="shared" si="9"/>
        <v>10</v>
      </c>
      <c r="I207" s="12">
        <f t="shared" si="10"/>
        <v>2026</v>
      </c>
      <c r="J207" s="13">
        <f t="shared" si="11"/>
        <v>-120</v>
      </c>
      <c r="K207" s="12" t="str">
        <f>IF(C207="","",IFERROR(INDEX(Listen!$B$2:$B$100,MATCH(C207,Listen!$A$2:$A$100,0)),""))</f>
        <v>Sparen</v>
      </c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25">
      <c r="A208" s="11">
        <v>46300</v>
      </c>
      <c r="B208" s="5" t="s">
        <v>112</v>
      </c>
      <c r="C208" s="5" t="s">
        <v>19</v>
      </c>
      <c r="D208" s="5" t="s">
        <v>121</v>
      </c>
      <c r="E208" s="5" t="s">
        <v>105</v>
      </c>
      <c r="F208" s="5" t="s">
        <v>122</v>
      </c>
      <c r="G208" s="6">
        <v>148</v>
      </c>
      <c r="H208" s="12">
        <f t="shared" si="9"/>
        <v>10</v>
      </c>
      <c r="I208" s="12">
        <f t="shared" si="10"/>
        <v>2026</v>
      </c>
      <c r="J208" s="13">
        <f t="shared" si="11"/>
        <v>-148</v>
      </c>
      <c r="K208" s="12" t="str">
        <f>IF(C208="","",IFERROR(INDEX(Listen!$B$2:$B$100,MATCH(C208,Listen!$A$2:$A$100,0)),""))</f>
        <v>Bedarf</v>
      </c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25">
      <c r="A209" s="11">
        <v>46301</v>
      </c>
      <c r="B209" s="5" t="s">
        <v>112</v>
      </c>
      <c r="C209" s="5" t="s">
        <v>30</v>
      </c>
      <c r="D209" s="5" t="s">
        <v>123</v>
      </c>
      <c r="E209" s="5" t="s">
        <v>105</v>
      </c>
      <c r="F209" s="5" t="s">
        <v>124</v>
      </c>
      <c r="G209" s="6">
        <v>59</v>
      </c>
      <c r="H209" s="12">
        <f t="shared" si="9"/>
        <v>10</v>
      </c>
      <c r="I209" s="12">
        <f t="shared" si="10"/>
        <v>2026</v>
      </c>
      <c r="J209" s="13">
        <f t="shared" si="11"/>
        <v>-59</v>
      </c>
      <c r="K209" s="12" t="str">
        <f>IF(C209="","",IFERROR(INDEX(Listen!$B$2:$B$100,MATCH(C209,Listen!$A$2:$A$100,0)),""))</f>
        <v>Bedarf</v>
      </c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x14ac:dyDescent="0.25">
      <c r="A210" s="11">
        <v>46302</v>
      </c>
      <c r="B210" s="5" t="s">
        <v>125</v>
      </c>
      <c r="C210" s="5" t="s">
        <v>53</v>
      </c>
      <c r="D210" s="5" t="s">
        <v>126</v>
      </c>
      <c r="E210" s="5" t="s">
        <v>105</v>
      </c>
      <c r="F210" s="5" t="s">
        <v>127</v>
      </c>
      <c r="G210" s="6">
        <v>180</v>
      </c>
      <c r="H210" s="12">
        <f t="shared" si="9"/>
        <v>10</v>
      </c>
      <c r="I210" s="12">
        <f t="shared" si="10"/>
        <v>2026</v>
      </c>
      <c r="J210" s="13">
        <f t="shared" si="11"/>
        <v>-180</v>
      </c>
      <c r="K210" s="12" t="str">
        <f>IF(C210="","",IFERROR(INDEX(Listen!$B$2:$B$100,MATCH(C210,Listen!$A$2:$A$100,0)),""))</f>
        <v>Schulden</v>
      </c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25">
      <c r="A211" s="11">
        <v>46303</v>
      </c>
      <c r="B211" s="5" t="s">
        <v>112</v>
      </c>
      <c r="C211" s="5" t="s">
        <v>32</v>
      </c>
      <c r="D211" s="5" t="s">
        <v>128</v>
      </c>
      <c r="E211" s="5" t="s">
        <v>105</v>
      </c>
      <c r="F211" s="5" t="s">
        <v>129</v>
      </c>
      <c r="G211" s="6">
        <v>39</v>
      </c>
      <c r="H211" s="12">
        <f t="shared" si="9"/>
        <v>10</v>
      </c>
      <c r="I211" s="12">
        <f t="shared" si="10"/>
        <v>2026</v>
      </c>
      <c r="J211" s="13">
        <f t="shared" si="11"/>
        <v>-39</v>
      </c>
      <c r="K211" s="12" t="str">
        <f>IF(C211="","",IFERROR(INDEX(Listen!$B$2:$B$100,MATCH(C211,Listen!$A$2:$A$100,0)),""))</f>
        <v>Bedarf</v>
      </c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25">
      <c r="A212" s="11">
        <v>46305</v>
      </c>
      <c r="B212" s="5" t="s">
        <v>112</v>
      </c>
      <c r="C212" s="5" t="s">
        <v>32</v>
      </c>
      <c r="D212" s="5" t="s">
        <v>130</v>
      </c>
      <c r="E212" s="5" t="s">
        <v>105</v>
      </c>
      <c r="F212" s="5" t="s">
        <v>130</v>
      </c>
      <c r="G212" s="6">
        <v>24</v>
      </c>
      <c r="H212" s="12">
        <f t="shared" si="9"/>
        <v>10</v>
      </c>
      <c r="I212" s="12">
        <f t="shared" si="10"/>
        <v>2026</v>
      </c>
      <c r="J212" s="13">
        <f t="shared" si="11"/>
        <v>-24</v>
      </c>
      <c r="K212" s="12" t="str">
        <f>IF(C212="","",IFERROR(INDEX(Listen!$B$2:$B$100,MATCH(C212,Listen!$A$2:$A$100,0)),""))</f>
        <v>Bedarf</v>
      </c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25">
      <c r="A213" s="11">
        <v>46306</v>
      </c>
      <c r="B213" s="5" t="s">
        <v>112</v>
      </c>
      <c r="C213" s="5" t="s">
        <v>25</v>
      </c>
      <c r="D213" s="5" t="s">
        <v>131</v>
      </c>
      <c r="E213" s="5" t="s">
        <v>105</v>
      </c>
      <c r="F213" s="5" t="s">
        <v>132</v>
      </c>
      <c r="G213" s="6">
        <v>92</v>
      </c>
      <c r="H213" s="12">
        <f t="shared" si="9"/>
        <v>10</v>
      </c>
      <c r="I213" s="12">
        <f t="shared" si="10"/>
        <v>2026</v>
      </c>
      <c r="J213" s="13">
        <f t="shared" si="11"/>
        <v>-92</v>
      </c>
      <c r="K213" s="12" t="str">
        <f>IF(C213="","",IFERROR(INDEX(Listen!$B$2:$B$100,MATCH(C213,Listen!$A$2:$A$100,0)),""))</f>
        <v>Bedarf</v>
      </c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x14ac:dyDescent="0.25">
      <c r="A214" s="11">
        <v>46306</v>
      </c>
      <c r="B214" s="5" t="s">
        <v>112</v>
      </c>
      <c r="C214" s="5" t="s">
        <v>22</v>
      </c>
      <c r="D214" s="5" t="s">
        <v>115</v>
      </c>
      <c r="E214" s="5" t="s">
        <v>105</v>
      </c>
      <c r="F214" s="5" t="s">
        <v>116</v>
      </c>
      <c r="G214" s="6">
        <v>79</v>
      </c>
      <c r="H214" s="12">
        <f t="shared" si="9"/>
        <v>10</v>
      </c>
      <c r="I214" s="12">
        <f t="shared" si="10"/>
        <v>2026</v>
      </c>
      <c r="J214" s="13">
        <f t="shared" si="11"/>
        <v>-79</v>
      </c>
      <c r="K214" s="12" t="str">
        <f>IF(C214="","",IFERROR(INDEX(Listen!$B$2:$B$100,MATCH(C214,Listen!$A$2:$A$100,0)),""))</f>
        <v>Bedarf</v>
      </c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25">
      <c r="A215" s="11">
        <v>46309</v>
      </c>
      <c r="B215" s="5" t="s">
        <v>112</v>
      </c>
      <c r="C215" s="5" t="s">
        <v>28</v>
      </c>
      <c r="D215" s="5" t="s">
        <v>133</v>
      </c>
      <c r="E215" s="5" t="s">
        <v>105</v>
      </c>
      <c r="F215" s="5" t="s">
        <v>28</v>
      </c>
      <c r="G215" s="6">
        <v>40</v>
      </c>
      <c r="H215" s="12">
        <f t="shared" si="9"/>
        <v>10</v>
      </c>
      <c r="I215" s="12">
        <f t="shared" si="10"/>
        <v>2026</v>
      </c>
      <c r="J215" s="13">
        <f t="shared" si="11"/>
        <v>-40</v>
      </c>
      <c r="K215" s="12" t="str">
        <f>IF(C215="","",IFERROR(INDEX(Listen!$B$2:$B$100,MATCH(C215,Listen!$A$2:$A$100,0)),""))</f>
        <v>Bedarf</v>
      </c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25">
      <c r="A216" s="11">
        <v>46310</v>
      </c>
      <c r="B216" s="5" t="s">
        <v>112</v>
      </c>
      <c r="C216" s="5" t="s">
        <v>36</v>
      </c>
      <c r="D216" s="5" t="s">
        <v>134</v>
      </c>
      <c r="E216" s="5" t="s">
        <v>54</v>
      </c>
      <c r="F216" s="5" t="s">
        <v>135</v>
      </c>
      <c r="G216" s="6">
        <v>155</v>
      </c>
      <c r="H216" s="12">
        <f t="shared" si="9"/>
        <v>10</v>
      </c>
      <c r="I216" s="12">
        <f t="shared" si="10"/>
        <v>2026</v>
      </c>
      <c r="J216" s="13">
        <f t="shared" si="11"/>
        <v>-155</v>
      </c>
      <c r="K216" s="12" t="str">
        <f>IF(C216="","",IFERROR(INDEX(Listen!$B$2:$B$100,MATCH(C216,Listen!$A$2:$A$100,0)),""))</f>
        <v>Wunsch</v>
      </c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25">
      <c r="A217" s="11">
        <v>46312</v>
      </c>
      <c r="B217" s="5" t="s">
        <v>103</v>
      </c>
      <c r="C217" s="5" t="s">
        <v>83</v>
      </c>
      <c r="D217" s="5" t="s">
        <v>147</v>
      </c>
      <c r="E217" s="5" t="s">
        <v>105</v>
      </c>
      <c r="F217" s="5" t="s">
        <v>148</v>
      </c>
      <c r="G217" s="6">
        <v>130</v>
      </c>
      <c r="H217" s="12">
        <f t="shared" si="9"/>
        <v>10</v>
      </c>
      <c r="I217" s="12">
        <f t="shared" si="10"/>
        <v>2026</v>
      </c>
      <c r="J217" s="13">
        <f t="shared" si="11"/>
        <v>130</v>
      </c>
      <c r="K217" s="12" t="str">
        <f>IF(C217="","",IFERROR(INDEX(Listen!$B$2:$B$100,MATCH(C217,Listen!$A$2:$A$100,0)),""))</f>
        <v>Einkommen</v>
      </c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25">
      <c r="A218" s="11">
        <v>46313</v>
      </c>
      <c r="B218" s="5" t="s">
        <v>112</v>
      </c>
      <c r="C218" s="5" t="s">
        <v>22</v>
      </c>
      <c r="D218" s="5" t="s">
        <v>115</v>
      </c>
      <c r="E218" s="5" t="s">
        <v>105</v>
      </c>
      <c r="F218" s="5" t="s">
        <v>116</v>
      </c>
      <c r="G218" s="6">
        <v>125</v>
      </c>
      <c r="H218" s="12">
        <f t="shared" si="9"/>
        <v>10</v>
      </c>
      <c r="I218" s="12">
        <f t="shared" si="10"/>
        <v>2026</v>
      </c>
      <c r="J218" s="13">
        <f t="shared" si="11"/>
        <v>-125</v>
      </c>
      <c r="K218" s="12" t="str">
        <f>IF(C218="","",IFERROR(INDEX(Listen!$B$2:$B$100,MATCH(C218,Listen!$A$2:$A$100,0)),""))</f>
        <v>Bedarf</v>
      </c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25">
      <c r="A219" s="11">
        <v>46315</v>
      </c>
      <c r="B219" s="5" t="s">
        <v>112</v>
      </c>
      <c r="C219" s="5" t="s">
        <v>34</v>
      </c>
      <c r="D219" s="5" t="s">
        <v>138</v>
      </c>
      <c r="E219" s="5" t="s">
        <v>54</v>
      </c>
      <c r="F219" s="5" t="s">
        <v>139</v>
      </c>
      <c r="G219" s="6">
        <v>125</v>
      </c>
      <c r="H219" s="12">
        <f t="shared" si="9"/>
        <v>10</v>
      </c>
      <c r="I219" s="12">
        <f t="shared" si="10"/>
        <v>2026</v>
      </c>
      <c r="J219" s="13">
        <f t="shared" si="11"/>
        <v>-125</v>
      </c>
      <c r="K219" s="12" t="str">
        <f>IF(C219="","",IFERROR(INDEX(Listen!$B$2:$B$100,MATCH(C219,Listen!$A$2:$A$100,0)),""))</f>
        <v>Wunsch</v>
      </c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25">
      <c r="A220" s="11">
        <v>46320</v>
      </c>
      <c r="B220" s="5" t="s">
        <v>112</v>
      </c>
      <c r="C220" s="5" t="s">
        <v>22</v>
      </c>
      <c r="D220" s="5" t="s">
        <v>115</v>
      </c>
      <c r="E220" s="5" t="s">
        <v>105</v>
      </c>
      <c r="F220" s="5" t="s">
        <v>116</v>
      </c>
      <c r="G220" s="6">
        <v>92</v>
      </c>
      <c r="H220" s="12">
        <f t="shared" si="9"/>
        <v>10</v>
      </c>
      <c r="I220" s="12">
        <f t="shared" si="10"/>
        <v>2026</v>
      </c>
      <c r="J220" s="13">
        <f t="shared" si="11"/>
        <v>-92</v>
      </c>
      <c r="K220" s="12" t="str">
        <f>IF(C220="","",IFERROR(INDEX(Listen!$B$2:$B$100,MATCH(C220,Listen!$A$2:$A$100,0)),""))</f>
        <v>Bedarf</v>
      </c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25">
      <c r="A221" s="11">
        <v>46327</v>
      </c>
      <c r="B221" s="5" t="s">
        <v>103</v>
      </c>
      <c r="C221" s="5" t="s">
        <v>80</v>
      </c>
      <c r="D221" s="5" t="s">
        <v>104</v>
      </c>
      <c r="E221" s="5" t="s">
        <v>105</v>
      </c>
      <c r="F221" s="5" t="s">
        <v>106</v>
      </c>
      <c r="G221" s="6">
        <v>3400</v>
      </c>
      <c r="H221" s="12">
        <f t="shared" si="9"/>
        <v>11</v>
      </c>
      <c r="I221" s="12">
        <f t="shared" si="10"/>
        <v>2026</v>
      </c>
      <c r="J221" s="13">
        <f t="shared" si="11"/>
        <v>3400</v>
      </c>
      <c r="K221" s="12" t="str">
        <f>IF(C221="","",IFERROR(INDEX(Listen!$B$2:$B$100,MATCH(C221,Listen!$A$2:$A$100,0)),""))</f>
        <v>Einkommen</v>
      </c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25">
      <c r="A222" s="11">
        <v>46328</v>
      </c>
      <c r="B222" s="5" t="s">
        <v>24</v>
      </c>
      <c r="C222" s="5" t="s">
        <v>47</v>
      </c>
      <c r="D222" s="5" t="s">
        <v>107</v>
      </c>
      <c r="E222" s="5" t="s">
        <v>108</v>
      </c>
      <c r="F222" s="5" t="s">
        <v>109</v>
      </c>
      <c r="G222" s="6">
        <v>350</v>
      </c>
      <c r="H222" s="12">
        <f t="shared" si="9"/>
        <v>11</v>
      </c>
      <c r="I222" s="12">
        <f t="shared" si="10"/>
        <v>2026</v>
      </c>
      <c r="J222" s="13">
        <f t="shared" si="11"/>
        <v>-350</v>
      </c>
      <c r="K222" s="12" t="str">
        <f>IF(C222="","",IFERROR(INDEX(Listen!$B$2:$B$100,MATCH(C222,Listen!$A$2:$A$100,0)),""))</f>
        <v>Sparen</v>
      </c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25">
      <c r="A223" s="11">
        <v>46328</v>
      </c>
      <c r="B223" s="5" t="s">
        <v>24</v>
      </c>
      <c r="C223" s="5" t="s">
        <v>45</v>
      </c>
      <c r="D223" s="5" t="s">
        <v>110</v>
      </c>
      <c r="E223" s="5" t="s">
        <v>110</v>
      </c>
      <c r="F223" s="5" t="s">
        <v>111</v>
      </c>
      <c r="G223" s="6">
        <v>150</v>
      </c>
      <c r="H223" s="12">
        <f t="shared" si="9"/>
        <v>11</v>
      </c>
      <c r="I223" s="12">
        <f t="shared" si="10"/>
        <v>2026</v>
      </c>
      <c r="J223" s="13">
        <f t="shared" si="11"/>
        <v>-150</v>
      </c>
      <c r="K223" s="12" t="str">
        <f>IF(C223="","",IFERROR(INDEX(Listen!$B$2:$B$100,MATCH(C223,Listen!$A$2:$A$100,0)),""))</f>
        <v>Sparen</v>
      </c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x14ac:dyDescent="0.25">
      <c r="A224" s="11">
        <v>46329</v>
      </c>
      <c r="B224" s="5" t="s">
        <v>112</v>
      </c>
      <c r="C224" s="5" t="s">
        <v>16</v>
      </c>
      <c r="D224" s="5" t="s">
        <v>113</v>
      </c>
      <c r="E224" s="5" t="s">
        <v>105</v>
      </c>
      <c r="F224" s="5" t="s">
        <v>114</v>
      </c>
      <c r="G224" s="6">
        <v>1050</v>
      </c>
      <c r="H224" s="12">
        <f t="shared" si="9"/>
        <v>11</v>
      </c>
      <c r="I224" s="12">
        <f t="shared" si="10"/>
        <v>2026</v>
      </c>
      <c r="J224" s="13">
        <f t="shared" si="11"/>
        <v>-1050</v>
      </c>
      <c r="K224" s="12" t="str">
        <f>IF(C224="","",IFERROR(INDEX(Listen!$B$2:$B$100,MATCH(C224,Listen!$A$2:$A$100,0)),""))</f>
        <v>Bedarf</v>
      </c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x14ac:dyDescent="0.25">
      <c r="A225" s="11">
        <v>46330</v>
      </c>
      <c r="B225" s="5" t="s">
        <v>112</v>
      </c>
      <c r="C225" s="5" t="s">
        <v>22</v>
      </c>
      <c r="D225" s="5" t="s">
        <v>115</v>
      </c>
      <c r="E225" s="5" t="s">
        <v>105</v>
      </c>
      <c r="F225" s="5" t="s">
        <v>116</v>
      </c>
      <c r="G225" s="6">
        <v>96</v>
      </c>
      <c r="H225" s="12">
        <f t="shared" si="9"/>
        <v>11</v>
      </c>
      <c r="I225" s="12">
        <f t="shared" si="10"/>
        <v>2026</v>
      </c>
      <c r="J225" s="13">
        <f t="shared" si="11"/>
        <v>-96</v>
      </c>
      <c r="K225" s="12" t="str">
        <f>IF(C225="","",IFERROR(INDEX(Listen!$B$2:$B$100,MATCH(C225,Listen!$A$2:$A$100,0)),""))</f>
        <v>Bedarf</v>
      </c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x14ac:dyDescent="0.25">
      <c r="A226" s="11">
        <v>46330</v>
      </c>
      <c r="B226" s="5" t="s">
        <v>24</v>
      </c>
      <c r="C226" s="5" t="s">
        <v>49</v>
      </c>
      <c r="D226" s="5" t="s">
        <v>117</v>
      </c>
      <c r="E226" s="5" t="s">
        <v>105</v>
      </c>
      <c r="F226" s="5" t="s">
        <v>118</v>
      </c>
      <c r="G226" s="6">
        <v>150</v>
      </c>
      <c r="H226" s="12">
        <f t="shared" si="9"/>
        <v>11</v>
      </c>
      <c r="I226" s="12">
        <f t="shared" si="10"/>
        <v>2026</v>
      </c>
      <c r="J226" s="13">
        <f t="shared" si="11"/>
        <v>-150</v>
      </c>
      <c r="K226" s="12" t="str">
        <f>IF(C226="","",IFERROR(INDEX(Listen!$B$2:$B$100,MATCH(C226,Listen!$A$2:$A$100,0)),""))</f>
        <v>Sparen</v>
      </c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25">
      <c r="A227" s="11">
        <v>46330</v>
      </c>
      <c r="B227" s="5" t="s">
        <v>24</v>
      </c>
      <c r="C227" s="5" t="s">
        <v>51</v>
      </c>
      <c r="D227" s="5" t="s">
        <v>119</v>
      </c>
      <c r="E227" s="5" t="s">
        <v>110</v>
      </c>
      <c r="F227" s="5" t="s">
        <v>120</v>
      </c>
      <c r="G227" s="6">
        <v>120</v>
      </c>
      <c r="H227" s="12">
        <f t="shared" si="9"/>
        <v>11</v>
      </c>
      <c r="I227" s="12">
        <f t="shared" si="10"/>
        <v>2026</v>
      </c>
      <c r="J227" s="13">
        <f t="shared" si="11"/>
        <v>-120</v>
      </c>
      <c r="K227" s="12" t="str">
        <f>IF(C227="","",IFERROR(INDEX(Listen!$B$2:$B$100,MATCH(C227,Listen!$A$2:$A$100,0)),""))</f>
        <v>Sparen</v>
      </c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25">
      <c r="A228" s="11">
        <v>46331</v>
      </c>
      <c r="B228" s="5" t="s">
        <v>112</v>
      </c>
      <c r="C228" s="5" t="s">
        <v>19</v>
      </c>
      <c r="D228" s="5" t="s">
        <v>121</v>
      </c>
      <c r="E228" s="5" t="s">
        <v>105</v>
      </c>
      <c r="F228" s="5" t="s">
        <v>122</v>
      </c>
      <c r="G228" s="6">
        <v>148</v>
      </c>
      <c r="H228" s="12">
        <f t="shared" si="9"/>
        <v>11</v>
      </c>
      <c r="I228" s="12">
        <f t="shared" si="10"/>
        <v>2026</v>
      </c>
      <c r="J228" s="13">
        <f t="shared" si="11"/>
        <v>-148</v>
      </c>
      <c r="K228" s="12" t="str">
        <f>IF(C228="","",IFERROR(INDEX(Listen!$B$2:$B$100,MATCH(C228,Listen!$A$2:$A$100,0)),""))</f>
        <v>Bedarf</v>
      </c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25">
      <c r="A229" s="11">
        <v>46332</v>
      </c>
      <c r="B229" s="5" t="s">
        <v>112</v>
      </c>
      <c r="C229" s="5" t="s">
        <v>30</v>
      </c>
      <c r="D229" s="5" t="s">
        <v>123</v>
      </c>
      <c r="E229" s="5" t="s">
        <v>105</v>
      </c>
      <c r="F229" s="5" t="s">
        <v>124</v>
      </c>
      <c r="G229" s="6">
        <v>59</v>
      </c>
      <c r="H229" s="12">
        <f t="shared" si="9"/>
        <v>11</v>
      </c>
      <c r="I229" s="12">
        <f t="shared" si="10"/>
        <v>2026</v>
      </c>
      <c r="J229" s="13">
        <f t="shared" si="11"/>
        <v>-59</v>
      </c>
      <c r="K229" s="12" t="str">
        <f>IF(C229="","",IFERROR(INDEX(Listen!$B$2:$B$100,MATCH(C229,Listen!$A$2:$A$100,0)),""))</f>
        <v>Bedarf</v>
      </c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25">
      <c r="A230" s="11">
        <v>46333</v>
      </c>
      <c r="B230" s="5" t="s">
        <v>125</v>
      </c>
      <c r="C230" s="5" t="s">
        <v>53</v>
      </c>
      <c r="D230" s="5" t="s">
        <v>126</v>
      </c>
      <c r="E230" s="5" t="s">
        <v>105</v>
      </c>
      <c r="F230" s="5" t="s">
        <v>127</v>
      </c>
      <c r="G230" s="6">
        <v>180</v>
      </c>
      <c r="H230" s="12">
        <f t="shared" si="9"/>
        <v>11</v>
      </c>
      <c r="I230" s="12">
        <f t="shared" si="10"/>
        <v>2026</v>
      </c>
      <c r="J230" s="13">
        <f t="shared" si="11"/>
        <v>-180</v>
      </c>
      <c r="K230" s="12" t="str">
        <f>IF(C230="","",IFERROR(INDEX(Listen!$B$2:$B$100,MATCH(C230,Listen!$A$2:$A$100,0)),""))</f>
        <v>Schulden</v>
      </c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x14ac:dyDescent="0.25">
      <c r="A231" s="11">
        <v>46334</v>
      </c>
      <c r="B231" s="5" t="s">
        <v>112</v>
      </c>
      <c r="C231" s="5" t="s">
        <v>32</v>
      </c>
      <c r="D231" s="5" t="s">
        <v>128</v>
      </c>
      <c r="E231" s="5" t="s">
        <v>105</v>
      </c>
      <c r="F231" s="5" t="s">
        <v>129</v>
      </c>
      <c r="G231" s="6">
        <v>39</v>
      </c>
      <c r="H231" s="12">
        <f t="shared" si="9"/>
        <v>11</v>
      </c>
      <c r="I231" s="12">
        <f t="shared" si="10"/>
        <v>2026</v>
      </c>
      <c r="J231" s="13">
        <f t="shared" si="11"/>
        <v>-39</v>
      </c>
      <c r="K231" s="12" t="str">
        <f>IF(C231="","",IFERROR(INDEX(Listen!$B$2:$B$100,MATCH(C231,Listen!$A$2:$A$100,0)),""))</f>
        <v>Bedarf</v>
      </c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x14ac:dyDescent="0.25">
      <c r="A232" s="11">
        <v>46336</v>
      </c>
      <c r="B232" s="5" t="s">
        <v>112</v>
      </c>
      <c r="C232" s="5" t="s">
        <v>32</v>
      </c>
      <c r="D232" s="5" t="s">
        <v>130</v>
      </c>
      <c r="E232" s="5" t="s">
        <v>105</v>
      </c>
      <c r="F232" s="5" t="s">
        <v>130</v>
      </c>
      <c r="G232" s="6">
        <v>24</v>
      </c>
      <c r="H232" s="12">
        <f t="shared" si="9"/>
        <v>11</v>
      </c>
      <c r="I232" s="12">
        <f t="shared" si="10"/>
        <v>2026</v>
      </c>
      <c r="J232" s="13">
        <f t="shared" si="11"/>
        <v>-24</v>
      </c>
      <c r="K232" s="12" t="str">
        <f>IF(C232="","",IFERROR(INDEX(Listen!$B$2:$B$100,MATCH(C232,Listen!$A$2:$A$100,0)),""))</f>
        <v>Bedarf</v>
      </c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x14ac:dyDescent="0.25">
      <c r="A233" s="11">
        <v>46337</v>
      </c>
      <c r="B233" s="5" t="s">
        <v>112</v>
      </c>
      <c r="C233" s="5" t="s">
        <v>25</v>
      </c>
      <c r="D233" s="5" t="s">
        <v>131</v>
      </c>
      <c r="E233" s="5" t="s">
        <v>105</v>
      </c>
      <c r="F233" s="5" t="s">
        <v>132</v>
      </c>
      <c r="G233" s="6">
        <v>92</v>
      </c>
      <c r="H233" s="12">
        <f t="shared" si="9"/>
        <v>11</v>
      </c>
      <c r="I233" s="12">
        <f t="shared" si="10"/>
        <v>2026</v>
      </c>
      <c r="J233" s="13">
        <f t="shared" si="11"/>
        <v>-92</v>
      </c>
      <c r="K233" s="12" t="str">
        <f>IF(C233="","",IFERROR(INDEX(Listen!$B$2:$B$100,MATCH(C233,Listen!$A$2:$A$100,0)),""))</f>
        <v>Bedarf</v>
      </c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x14ac:dyDescent="0.25">
      <c r="A234" s="11">
        <v>46337</v>
      </c>
      <c r="B234" s="5" t="s">
        <v>112</v>
      </c>
      <c r="C234" s="5" t="s">
        <v>22</v>
      </c>
      <c r="D234" s="5" t="s">
        <v>115</v>
      </c>
      <c r="E234" s="5" t="s">
        <v>105</v>
      </c>
      <c r="F234" s="5" t="s">
        <v>116</v>
      </c>
      <c r="G234" s="6">
        <v>102</v>
      </c>
      <c r="H234" s="12">
        <f t="shared" si="9"/>
        <v>11</v>
      </c>
      <c r="I234" s="12">
        <f t="shared" si="10"/>
        <v>2026</v>
      </c>
      <c r="J234" s="13">
        <f t="shared" si="11"/>
        <v>-102</v>
      </c>
      <c r="K234" s="12" t="str">
        <f>IF(C234="","",IFERROR(INDEX(Listen!$B$2:$B$100,MATCH(C234,Listen!$A$2:$A$100,0)),""))</f>
        <v>Bedarf</v>
      </c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x14ac:dyDescent="0.25">
      <c r="A235" s="11">
        <v>46340</v>
      </c>
      <c r="B235" s="5" t="s">
        <v>112</v>
      </c>
      <c r="C235" s="5" t="s">
        <v>28</v>
      </c>
      <c r="D235" s="5" t="s">
        <v>133</v>
      </c>
      <c r="E235" s="5" t="s">
        <v>105</v>
      </c>
      <c r="F235" s="5" t="s">
        <v>28</v>
      </c>
      <c r="G235" s="6">
        <v>55</v>
      </c>
      <c r="H235" s="12">
        <f t="shared" si="9"/>
        <v>11</v>
      </c>
      <c r="I235" s="12">
        <f t="shared" si="10"/>
        <v>2026</v>
      </c>
      <c r="J235" s="13">
        <f t="shared" si="11"/>
        <v>-55</v>
      </c>
      <c r="K235" s="12" t="str">
        <f>IF(C235="","",IFERROR(INDEX(Listen!$B$2:$B$100,MATCH(C235,Listen!$A$2:$A$100,0)),""))</f>
        <v>Bedarf</v>
      </c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x14ac:dyDescent="0.25">
      <c r="A236" s="11">
        <v>46341</v>
      </c>
      <c r="B236" s="5" t="s">
        <v>112</v>
      </c>
      <c r="C236" s="5" t="s">
        <v>36</v>
      </c>
      <c r="D236" s="5" t="s">
        <v>134</v>
      </c>
      <c r="E236" s="5" t="s">
        <v>54</v>
      </c>
      <c r="F236" s="5" t="s">
        <v>135</v>
      </c>
      <c r="G236" s="6">
        <v>168</v>
      </c>
      <c r="H236" s="12">
        <f t="shared" si="9"/>
        <v>11</v>
      </c>
      <c r="I236" s="12">
        <f t="shared" si="10"/>
        <v>2026</v>
      </c>
      <c r="J236" s="13">
        <f t="shared" si="11"/>
        <v>-168</v>
      </c>
      <c r="K236" s="12" t="str">
        <f>IF(C236="","",IFERROR(INDEX(Listen!$B$2:$B$100,MATCH(C236,Listen!$A$2:$A$100,0)),""))</f>
        <v>Wunsch</v>
      </c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25">
      <c r="A237" s="11">
        <v>46344</v>
      </c>
      <c r="B237" s="5" t="s">
        <v>112</v>
      </c>
      <c r="C237" s="5" t="s">
        <v>22</v>
      </c>
      <c r="D237" s="5" t="s">
        <v>115</v>
      </c>
      <c r="E237" s="5" t="s">
        <v>105</v>
      </c>
      <c r="F237" s="5" t="s">
        <v>116</v>
      </c>
      <c r="G237" s="6">
        <v>106</v>
      </c>
      <c r="H237" s="12">
        <f t="shared" si="9"/>
        <v>11</v>
      </c>
      <c r="I237" s="12">
        <f t="shared" si="10"/>
        <v>2026</v>
      </c>
      <c r="J237" s="13">
        <f t="shared" si="11"/>
        <v>-106</v>
      </c>
      <c r="K237" s="12" t="str">
        <f>IF(C237="","",IFERROR(INDEX(Listen!$B$2:$B$100,MATCH(C237,Listen!$A$2:$A$100,0)),""))</f>
        <v>Bedarf</v>
      </c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x14ac:dyDescent="0.25">
      <c r="A238" s="11">
        <v>46346</v>
      </c>
      <c r="B238" s="5" t="s">
        <v>112</v>
      </c>
      <c r="C238" s="5" t="s">
        <v>34</v>
      </c>
      <c r="D238" s="5" t="s">
        <v>138</v>
      </c>
      <c r="E238" s="5" t="s">
        <v>54</v>
      </c>
      <c r="F238" s="5" t="s">
        <v>139</v>
      </c>
      <c r="G238" s="6">
        <v>160</v>
      </c>
      <c r="H238" s="12">
        <f t="shared" si="9"/>
        <v>11</v>
      </c>
      <c r="I238" s="12">
        <f t="shared" si="10"/>
        <v>2026</v>
      </c>
      <c r="J238" s="13">
        <f t="shared" si="11"/>
        <v>-160</v>
      </c>
      <c r="K238" s="12" t="str">
        <f>IF(C238="","",IFERROR(INDEX(Listen!$B$2:$B$100,MATCH(C238,Listen!$A$2:$A$100,0)),""))</f>
        <v>Wunsch</v>
      </c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x14ac:dyDescent="0.25">
      <c r="A239" s="11">
        <v>46348</v>
      </c>
      <c r="B239" s="5" t="s">
        <v>112</v>
      </c>
      <c r="C239" s="5" t="s">
        <v>38</v>
      </c>
      <c r="D239" s="5" t="s">
        <v>38</v>
      </c>
      <c r="E239" s="5" t="s">
        <v>54</v>
      </c>
      <c r="F239" s="5" t="s">
        <v>140</v>
      </c>
      <c r="G239" s="6">
        <v>140</v>
      </c>
      <c r="H239" s="12">
        <f t="shared" si="9"/>
        <v>11</v>
      </c>
      <c r="I239" s="12">
        <f t="shared" si="10"/>
        <v>2026</v>
      </c>
      <c r="J239" s="13">
        <f t="shared" si="11"/>
        <v>-140</v>
      </c>
      <c r="K239" s="12" t="str">
        <f>IF(C239="","",IFERROR(INDEX(Listen!$B$2:$B$100,MATCH(C239,Listen!$A$2:$A$100,0)),""))</f>
        <v>Wunsch</v>
      </c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x14ac:dyDescent="0.25">
      <c r="A240" s="11">
        <v>46351</v>
      </c>
      <c r="B240" s="5" t="s">
        <v>112</v>
      </c>
      <c r="C240" s="5" t="s">
        <v>22</v>
      </c>
      <c r="D240" s="5" t="s">
        <v>115</v>
      </c>
      <c r="E240" s="5" t="s">
        <v>105</v>
      </c>
      <c r="F240" s="5" t="s">
        <v>116</v>
      </c>
      <c r="G240" s="6">
        <v>96</v>
      </c>
      <c r="H240" s="12">
        <f t="shared" si="9"/>
        <v>11</v>
      </c>
      <c r="I240" s="12">
        <f t="shared" si="10"/>
        <v>2026</v>
      </c>
      <c r="J240" s="13">
        <f t="shared" si="11"/>
        <v>-96</v>
      </c>
      <c r="K240" s="12" t="str">
        <f>IF(C240="","",IFERROR(INDEX(Listen!$B$2:$B$100,MATCH(C240,Listen!$A$2:$A$100,0)),""))</f>
        <v>Bedarf</v>
      </c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x14ac:dyDescent="0.25">
      <c r="A241" s="11">
        <v>46357</v>
      </c>
      <c r="B241" s="5" t="s">
        <v>103</v>
      </c>
      <c r="C241" s="5" t="s">
        <v>80</v>
      </c>
      <c r="D241" s="5" t="s">
        <v>104</v>
      </c>
      <c r="E241" s="5" t="s">
        <v>105</v>
      </c>
      <c r="F241" s="5" t="s">
        <v>106</v>
      </c>
      <c r="G241" s="6">
        <v>3200</v>
      </c>
      <c r="H241" s="12">
        <f t="shared" si="9"/>
        <v>12</v>
      </c>
      <c r="I241" s="12">
        <f t="shared" si="10"/>
        <v>2026</v>
      </c>
      <c r="J241" s="13">
        <f t="shared" si="11"/>
        <v>3200</v>
      </c>
      <c r="K241" s="12" t="str">
        <f>IF(C241="","",IFERROR(INDEX(Listen!$B$2:$B$100,MATCH(C241,Listen!$A$2:$A$100,0)),""))</f>
        <v>Einkommen</v>
      </c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25">
      <c r="A242" s="11">
        <v>46358</v>
      </c>
      <c r="B242" s="5" t="s">
        <v>24</v>
      </c>
      <c r="C242" s="5" t="s">
        <v>47</v>
      </c>
      <c r="D242" s="5" t="s">
        <v>107</v>
      </c>
      <c r="E242" s="5" t="s">
        <v>108</v>
      </c>
      <c r="F242" s="5" t="s">
        <v>109</v>
      </c>
      <c r="G242" s="6">
        <v>350</v>
      </c>
      <c r="H242" s="12">
        <f t="shared" si="9"/>
        <v>12</v>
      </c>
      <c r="I242" s="12">
        <f t="shared" si="10"/>
        <v>2026</v>
      </c>
      <c r="J242" s="13">
        <f t="shared" si="11"/>
        <v>-350</v>
      </c>
      <c r="K242" s="12" t="str">
        <f>IF(C242="","",IFERROR(INDEX(Listen!$B$2:$B$100,MATCH(C242,Listen!$A$2:$A$100,0)),""))</f>
        <v>Sparen</v>
      </c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25">
      <c r="A243" s="11">
        <v>46358</v>
      </c>
      <c r="B243" s="5" t="s">
        <v>24</v>
      </c>
      <c r="C243" s="5" t="s">
        <v>45</v>
      </c>
      <c r="D243" s="5" t="s">
        <v>110</v>
      </c>
      <c r="E243" s="5" t="s">
        <v>110</v>
      </c>
      <c r="F243" s="5" t="s">
        <v>111</v>
      </c>
      <c r="G243" s="6">
        <v>150</v>
      </c>
      <c r="H243" s="12">
        <f t="shared" si="9"/>
        <v>12</v>
      </c>
      <c r="I243" s="12">
        <f t="shared" si="10"/>
        <v>2026</v>
      </c>
      <c r="J243" s="13">
        <f t="shared" si="11"/>
        <v>-150</v>
      </c>
      <c r="K243" s="12" t="str">
        <f>IF(C243="","",IFERROR(INDEX(Listen!$B$2:$B$100,MATCH(C243,Listen!$A$2:$A$100,0)),""))</f>
        <v>Sparen</v>
      </c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x14ac:dyDescent="0.25">
      <c r="A244" s="11">
        <v>46359</v>
      </c>
      <c r="B244" s="5" t="s">
        <v>112</v>
      </c>
      <c r="C244" s="5" t="s">
        <v>16</v>
      </c>
      <c r="D244" s="5" t="s">
        <v>113</v>
      </c>
      <c r="E244" s="5" t="s">
        <v>105</v>
      </c>
      <c r="F244" s="5" t="s">
        <v>114</v>
      </c>
      <c r="G244" s="6">
        <v>1050</v>
      </c>
      <c r="H244" s="12">
        <f t="shared" si="9"/>
        <v>12</v>
      </c>
      <c r="I244" s="12">
        <f t="shared" si="10"/>
        <v>2026</v>
      </c>
      <c r="J244" s="13">
        <f t="shared" si="11"/>
        <v>-1050</v>
      </c>
      <c r="K244" s="12" t="str">
        <f>IF(C244="","",IFERROR(INDEX(Listen!$B$2:$B$100,MATCH(C244,Listen!$A$2:$A$100,0)),""))</f>
        <v>Bedarf</v>
      </c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x14ac:dyDescent="0.25">
      <c r="A245" s="11">
        <v>46360</v>
      </c>
      <c r="B245" s="5" t="s">
        <v>112</v>
      </c>
      <c r="C245" s="5" t="s">
        <v>22</v>
      </c>
      <c r="D245" s="5" t="s">
        <v>115</v>
      </c>
      <c r="E245" s="5" t="s">
        <v>105</v>
      </c>
      <c r="F245" s="5" t="s">
        <v>116</v>
      </c>
      <c r="G245" s="6">
        <v>112</v>
      </c>
      <c r="H245" s="12">
        <f t="shared" si="9"/>
        <v>12</v>
      </c>
      <c r="I245" s="12">
        <f t="shared" si="10"/>
        <v>2026</v>
      </c>
      <c r="J245" s="13">
        <f t="shared" si="11"/>
        <v>-112</v>
      </c>
      <c r="K245" s="12" t="str">
        <f>IF(C245="","",IFERROR(INDEX(Listen!$B$2:$B$100,MATCH(C245,Listen!$A$2:$A$100,0)),""))</f>
        <v>Bedarf</v>
      </c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x14ac:dyDescent="0.25">
      <c r="A246" s="11">
        <v>46360</v>
      </c>
      <c r="B246" s="5" t="s">
        <v>24</v>
      </c>
      <c r="C246" s="5" t="s">
        <v>49</v>
      </c>
      <c r="D246" s="5" t="s">
        <v>117</v>
      </c>
      <c r="E246" s="5" t="s">
        <v>105</v>
      </c>
      <c r="F246" s="5" t="s">
        <v>118</v>
      </c>
      <c r="G246" s="6">
        <v>150</v>
      </c>
      <c r="H246" s="12">
        <f t="shared" si="9"/>
        <v>12</v>
      </c>
      <c r="I246" s="12">
        <f t="shared" si="10"/>
        <v>2026</v>
      </c>
      <c r="J246" s="13">
        <f t="shared" si="11"/>
        <v>-150</v>
      </c>
      <c r="K246" s="12" t="str">
        <f>IF(C246="","",IFERROR(INDEX(Listen!$B$2:$B$100,MATCH(C246,Listen!$A$2:$A$100,0)),""))</f>
        <v>Sparen</v>
      </c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x14ac:dyDescent="0.25">
      <c r="A247" s="11">
        <v>46360</v>
      </c>
      <c r="B247" s="5" t="s">
        <v>24</v>
      </c>
      <c r="C247" s="5" t="s">
        <v>51</v>
      </c>
      <c r="D247" s="5" t="s">
        <v>119</v>
      </c>
      <c r="E247" s="5" t="s">
        <v>110</v>
      </c>
      <c r="F247" s="5" t="s">
        <v>120</v>
      </c>
      <c r="G247" s="6">
        <v>120</v>
      </c>
      <c r="H247" s="12">
        <f t="shared" si="9"/>
        <v>12</v>
      </c>
      <c r="I247" s="12">
        <f t="shared" si="10"/>
        <v>2026</v>
      </c>
      <c r="J247" s="13">
        <f t="shared" si="11"/>
        <v>-120</v>
      </c>
      <c r="K247" s="12" t="str">
        <f>IF(C247="","",IFERROR(INDEX(Listen!$B$2:$B$100,MATCH(C247,Listen!$A$2:$A$100,0)),""))</f>
        <v>Sparen</v>
      </c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x14ac:dyDescent="0.25">
      <c r="A248" s="11">
        <v>46361</v>
      </c>
      <c r="B248" s="5" t="s">
        <v>112</v>
      </c>
      <c r="C248" s="5" t="s">
        <v>19</v>
      </c>
      <c r="D248" s="5" t="s">
        <v>121</v>
      </c>
      <c r="E248" s="5" t="s">
        <v>105</v>
      </c>
      <c r="F248" s="5" t="s">
        <v>122</v>
      </c>
      <c r="G248" s="6">
        <v>148</v>
      </c>
      <c r="H248" s="12">
        <f t="shared" si="9"/>
        <v>12</v>
      </c>
      <c r="I248" s="12">
        <f t="shared" si="10"/>
        <v>2026</v>
      </c>
      <c r="J248" s="13">
        <f t="shared" si="11"/>
        <v>-148</v>
      </c>
      <c r="K248" s="12" t="str">
        <f>IF(C248="","",IFERROR(INDEX(Listen!$B$2:$B$100,MATCH(C248,Listen!$A$2:$A$100,0)),""))</f>
        <v>Bedarf</v>
      </c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x14ac:dyDescent="0.25">
      <c r="A249" s="11">
        <v>46362</v>
      </c>
      <c r="B249" s="5" t="s">
        <v>112</v>
      </c>
      <c r="C249" s="5" t="s">
        <v>30</v>
      </c>
      <c r="D249" s="5" t="s">
        <v>123</v>
      </c>
      <c r="E249" s="5" t="s">
        <v>105</v>
      </c>
      <c r="F249" s="5" t="s">
        <v>124</v>
      </c>
      <c r="G249" s="6">
        <v>59</v>
      </c>
      <c r="H249" s="12">
        <f t="shared" si="9"/>
        <v>12</v>
      </c>
      <c r="I249" s="12">
        <f t="shared" si="10"/>
        <v>2026</v>
      </c>
      <c r="J249" s="13">
        <f t="shared" si="11"/>
        <v>-59</v>
      </c>
      <c r="K249" s="12" t="str">
        <f>IF(C249="","",IFERROR(INDEX(Listen!$B$2:$B$100,MATCH(C249,Listen!$A$2:$A$100,0)),""))</f>
        <v>Bedarf</v>
      </c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x14ac:dyDescent="0.25">
      <c r="A250" s="11">
        <v>46363</v>
      </c>
      <c r="B250" s="5" t="s">
        <v>125</v>
      </c>
      <c r="C250" s="5" t="s">
        <v>53</v>
      </c>
      <c r="D250" s="5" t="s">
        <v>126</v>
      </c>
      <c r="E250" s="5" t="s">
        <v>105</v>
      </c>
      <c r="F250" s="5" t="s">
        <v>127</v>
      </c>
      <c r="G250" s="6">
        <v>180</v>
      </c>
      <c r="H250" s="12">
        <f t="shared" si="9"/>
        <v>12</v>
      </c>
      <c r="I250" s="12">
        <f t="shared" si="10"/>
        <v>2026</v>
      </c>
      <c r="J250" s="13">
        <f t="shared" si="11"/>
        <v>-180</v>
      </c>
      <c r="K250" s="12" t="str">
        <f>IF(C250="","",IFERROR(INDEX(Listen!$B$2:$B$100,MATCH(C250,Listen!$A$2:$A$100,0)),""))</f>
        <v>Schulden</v>
      </c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x14ac:dyDescent="0.25">
      <c r="A251" s="11">
        <v>46364</v>
      </c>
      <c r="B251" s="5" t="s">
        <v>112</v>
      </c>
      <c r="C251" s="5" t="s">
        <v>32</v>
      </c>
      <c r="D251" s="5" t="s">
        <v>128</v>
      </c>
      <c r="E251" s="5" t="s">
        <v>105</v>
      </c>
      <c r="F251" s="5" t="s">
        <v>129</v>
      </c>
      <c r="G251" s="6">
        <v>39</v>
      </c>
      <c r="H251" s="12">
        <f t="shared" si="9"/>
        <v>12</v>
      </c>
      <c r="I251" s="12">
        <f t="shared" si="10"/>
        <v>2026</v>
      </c>
      <c r="J251" s="13">
        <f t="shared" si="11"/>
        <v>-39</v>
      </c>
      <c r="K251" s="12" t="str">
        <f>IF(C251="","",IFERROR(INDEX(Listen!$B$2:$B$100,MATCH(C251,Listen!$A$2:$A$100,0)),""))</f>
        <v>Bedarf</v>
      </c>
    </row>
    <row r="252" spans="1:26" x14ac:dyDescent="0.25">
      <c r="A252" s="11">
        <v>46366</v>
      </c>
      <c r="B252" s="5" t="s">
        <v>112</v>
      </c>
      <c r="C252" s="5" t="s">
        <v>32</v>
      </c>
      <c r="D252" s="5" t="s">
        <v>130</v>
      </c>
      <c r="E252" s="5" t="s">
        <v>105</v>
      </c>
      <c r="F252" s="5" t="s">
        <v>130</v>
      </c>
      <c r="G252" s="6">
        <v>24</v>
      </c>
      <c r="H252" s="12">
        <f t="shared" si="9"/>
        <v>12</v>
      </c>
      <c r="I252" s="12">
        <f t="shared" si="10"/>
        <v>2026</v>
      </c>
      <c r="J252" s="13">
        <f t="shared" si="11"/>
        <v>-24</v>
      </c>
      <c r="K252" s="12" t="str">
        <f>IF(C252="","",IFERROR(INDEX(Listen!$B$2:$B$100,MATCH(C252,Listen!$A$2:$A$100,0)),""))</f>
        <v>Bedarf</v>
      </c>
    </row>
    <row r="253" spans="1:26" x14ac:dyDescent="0.25">
      <c r="A253" s="11">
        <v>46367</v>
      </c>
      <c r="B253" s="5" t="s">
        <v>112</v>
      </c>
      <c r="C253" s="5" t="s">
        <v>25</v>
      </c>
      <c r="D253" s="5" t="s">
        <v>131</v>
      </c>
      <c r="E253" s="5" t="s">
        <v>105</v>
      </c>
      <c r="F253" s="5" t="s">
        <v>132</v>
      </c>
      <c r="G253" s="6">
        <v>117</v>
      </c>
      <c r="H253" s="12">
        <f t="shared" si="9"/>
        <v>12</v>
      </c>
      <c r="I253" s="12">
        <f t="shared" si="10"/>
        <v>2026</v>
      </c>
      <c r="J253" s="13">
        <f t="shared" si="11"/>
        <v>-117</v>
      </c>
      <c r="K253" s="12" t="str">
        <f>IF(C253="","",IFERROR(INDEX(Listen!$B$2:$B$100,MATCH(C253,Listen!$A$2:$A$100,0)),""))</f>
        <v>Bedarf</v>
      </c>
    </row>
    <row r="254" spans="1:26" x14ac:dyDescent="0.25">
      <c r="A254" s="11">
        <v>46367</v>
      </c>
      <c r="B254" s="5" t="s">
        <v>112</v>
      </c>
      <c r="C254" s="5" t="s">
        <v>22</v>
      </c>
      <c r="D254" s="5" t="s">
        <v>115</v>
      </c>
      <c r="E254" s="5" t="s">
        <v>105</v>
      </c>
      <c r="F254" s="5" t="s">
        <v>116</v>
      </c>
      <c r="G254" s="6">
        <v>102</v>
      </c>
      <c r="H254" s="12">
        <f t="shared" si="9"/>
        <v>12</v>
      </c>
      <c r="I254" s="12">
        <f t="shared" si="10"/>
        <v>2026</v>
      </c>
      <c r="J254" s="13">
        <f t="shared" si="11"/>
        <v>-102</v>
      </c>
      <c r="K254" s="12" t="str">
        <f>IF(C254="","",IFERROR(INDEX(Listen!$B$2:$B$100,MATCH(C254,Listen!$A$2:$A$100,0)),""))</f>
        <v>Bedarf</v>
      </c>
    </row>
    <row r="255" spans="1:26" x14ac:dyDescent="0.25">
      <c r="A255" s="11">
        <v>46368</v>
      </c>
      <c r="B255" s="5" t="s">
        <v>103</v>
      </c>
      <c r="C255" s="5" t="s">
        <v>81</v>
      </c>
      <c r="D255" s="5" t="s">
        <v>141</v>
      </c>
      <c r="E255" s="5" t="s">
        <v>105</v>
      </c>
      <c r="F255" s="5" t="s">
        <v>142</v>
      </c>
      <c r="G255" s="6">
        <v>240</v>
      </c>
      <c r="H255" s="12">
        <f t="shared" si="9"/>
        <v>12</v>
      </c>
      <c r="I255" s="12">
        <f t="shared" si="10"/>
        <v>2026</v>
      </c>
      <c r="J255" s="13">
        <f t="shared" si="11"/>
        <v>240</v>
      </c>
      <c r="K255" s="12" t="str">
        <f>IF(C255="","",IFERROR(INDEX(Listen!$B$2:$B$100,MATCH(C255,Listen!$A$2:$A$100,0)),""))</f>
        <v>Einkommen</v>
      </c>
    </row>
    <row r="256" spans="1:26" x14ac:dyDescent="0.25">
      <c r="A256" s="11">
        <v>46370</v>
      </c>
      <c r="B256" s="5" t="s">
        <v>112</v>
      </c>
      <c r="C256" s="5" t="s">
        <v>28</v>
      </c>
      <c r="D256" s="5" t="s">
        <v>133</v>
      </c>
      <c r="E256" s="5" t="s">
        <v>105</v>
      </c>
      <c r="F256" s="5" t="s">
        <v>28</v>
      </c>
      <c r="G256" s="6">
        <v>30</v>
      </c>
      <c r="H256" s="12">
        <f t="shared" si="9"/>
        <v>12</v>
      </c>
      <c r="I256" s="12">
        <f t="shared" si="10"/>
        <v>2026</v>
      </c>
      <c r="J256" s="13">
        <f t="shared" si="11"/>
        <v>-30</v>
      </c>
      <c r="K256" s="12" t="str">
        <f>IF(C256="","",IFERROR(INDEX(Listen!$B$2:$B$100,MATCH(C256,Listen!$A$2:$A$100,0)),""))</f>
        <v>Bedarf</v>
      </c>
    </row>
    <row r="257" spans="1:11" x14ac:dyDescent="0.25">
      <c r="A257" s="11">
        <v>46371</v>
      </c>
      <c r="B257" s="5" t="s">
        <v>112</v>
      </c>
      <c r="C257" s="5" t="s">
        <v>36</v>
      </c>
      <c r="D257" s="5" t="s">
        <v>134</v>
      </c>
      <c r="E257" s="5" t="s">
        <v>54</v>
      </c>
      <c r="F257" s="5" t="s">
        <v>135</v>
      </c>
      <c r="G257" s="6">
        <v>220</v>
      </c>
      <c r="H257" s="12">
        <f t="shared" si="9"/>
        <v>12</v>
      </c>
      <c r="I257" s="12">
        <f t="shared" si="10"/>
        <v>2026</v>
      </c>
      <c r="J257" s="13">
        <f t="shared" si="11"/>
        <v>-220</v>
      </c>
      <c r="K257" s="12" t="str">
        <f>IF(C257="","",IFERROR(INDEX(Listen!$B$2:$B$100,MATCH(C257,Listen!$A$2:$A$100,0)),""))</f>
        <v>Wunsch</v>
      </c>
    </row>
    <row r="258" spans="1:11" x14ac:dyDescent="0.25">
      <c r="A258" s="11">
        <v>46374</v>
      </c>
      <c r="B258" s="5" t="s">
        <v>112</v>
      </c>
      <c r="C258" s="5" t="s">
        <v>22</v>
      </c>
      <c r="D258" s="5" t="s">
        <v>115</v>
      </c>
      <c r="E258" s="5" t="s">
        <v>105</v>
      </c>
      <c r="F258" s="5" t="s">
        <v>116</v>
      </c>
      <c r="G258" s="6">
        <v>116</v>
      </c>
      <c r="H258" s="12">
        <f t="shared" si="9"/>
        <v>12</v>
      </c>
      <c r="I258" s="12">
        <f t="shared" si="10"/>
        <v>2026</v>
      </c>
      <c r="J258" s="13">
        <f t="shared" si="11"/>
        <v>-116</v>
      </c>
      <c r="K258" s="12" t="str">
        <f>IF(C258="","",IFERROR(INDEX(Listen!$B$2:$B$100,MATCH(C258,Listen!$A$2:$A$100,0)),""))</f>
        <v>Bedarf</v>
      </c>
    </row>
    <row r="259" spans="1:11" x14ac:dyDescent="0.25">
      <c r="A259" s="11">
        <v>46375</v>
      </c>
      <c r="B259" s="5" t="s">
        <v>112</v>
      </c>
      <c r="C259" s="5" t="s">
        <v>40</v>
      </c>
      <c r="D259" s="5" t="s">
        <v>143</v>
      </c>
      <c r="E259" s="5" t="s">
        <v>105</v>
      </c>
      <c r="F259" s="5" t="s">
        <v>144</v>
      </c>
      <c r="G259" s="6">
        <v>88</v>
      </c>
      <c r="H259" s="12">
        <f t="shared" si="9"/>
        <v>12</v>
      </c>
      <c r="I259" s="12">
        <f t="shared" si="10"/>
        <v>2026</v>
      </c>
      <c r="J259" s="13">
        <f t="shared" si="11"/>
        <v>-88</v>
      </c>
      <c r="K259" s="12" t="str">
        <f>IF(C259="","",IFERROR(INDEX(Listen!$B$2:$B$100,MATCH(C259,Listen!$A$2:$A$100,0)),""))</f>
        <v>Wunsch</v>
      </c>
    </row>
    <row r="260" spans="1:11" x14ac:dyDescent="0.25">
      <c r="A260" s="11">
        <v>46376</v>
      </c>
      <c r="B260" s="5" t="s">
        <v>112</v>
      </c>
      <c r="C260" s="5" t="s">
        <v>34</v>
      </c>
      <c r="D260" s="5" t="s">
        <v>138</v>
      </c>
      <c r="E260" s="5" t="s">
        <v>54</v>
      </c>
      <c r="F260" s="5" t="s">
        <v>139</v>
      </c>
      <c r="G260" s="6">
        <v>180</v>
      </c>
      <c r="H260" s="12">
        <f t="shared" si="9"/>
        <v>12</v>
      </c>
      <c r="I260" s="12">
        <f t="shared" si="10"/>
        <v>2026</v>
      </c>
      <c r="J260" s="13">
        <f t="shared" si="11"/>
        <v>-180</v>
      </c>
      <c r="K260" s="12" t="str">
        <f>IF(C260="","",IFERROR(INDEX(Listen!$B$2:$B$100,MATCH(C260,Listen!$A$2:$A$100,0)),""))</f>
        <v>Wunsch</v>
      </c>
    </row>
    <row r="261" spans="1:11" x14ac:dyDescent="0.25">
      <c r="A261" s="11">
        <v>46380</v>
      </c>
      <c r="B261" s="5" t="s">
        <v>112</v>
      </c>
      <c r="C261" s="5" t="s">
        <v>42</v>
      </c>
      <c r="D261" s="5" t="s">
        <v>145</v>
      </c>
      <c r="E261" s="5" t="s">
        <v>105</v>
      </c>
      <c r="F261" s="5" t="s">
        <v>42</v>
      </c>
      <c r="G261" s="6">
        <v>150</v>
      </c>
      <c r="H261" s="12">
        <f t="shared" si="9"/>
        <v>12</v>
      </c>
      <c r="I261" s="12">
        <f t="shared" si="10"/>
        <v>2026</v>
      </c>
      <c r="J261" s="13">
        <f t="shared" si="11"/>
        <v>-150</v>
      </c>
      <c r="K261" s="12" t="str">
        <f>IF(C261="","",IFERROR(INDEX(Listen!$B$2:$B$100,MATCH(C261,Listen!$A$2:$A$100,0)),""))</f>
        <v>Wunsch</v>
      </c>
    </row>
    <row r="262" spans="1:11" x14ac:dyDescent="0.25">
      <c r="A262" s="11">
        <v>46381</v>
      </c>
      <c r="B262" s="5" t="s">
        <v>112</v>
      </c>
      <c r="C262" s="5" t="s">
        <v>22</v>
      </c>
      <c r="D262" s="5" t="s">
        <v>115</v>
      </c>
      <c r="E262" s="5" t="s">
        <v>105</v>
      </c>
      <c r="F262" s="5" t="s">
        <v>116</v>
      </c>
      <c r="G262" s="6">
        <v>87</v>
      </c>
      <c r="H262" s="12">
        <f t="shared" ref="H262:H330" si="12">IF(A262="",0,MONTH(A262))</f>
        <v>12</v>
      </c>
      <c r="I262" s="12">
        <f t="shared" ref="I262:I330" si="13">IF(A262="",0,YEAR(A262))</f>
        <v>2026</v>
      </c>
      <c r="J262" s="13">
        <f t="shared" ref="J262:J330" si="14">IF(A262="",0,IF(B262="Einnahme",G262,IF(B262="Transfer",0,-G262)))</f>
        <v>-87</v>
      </c>
      <c r="K262" s="12" t="str">
        <f>IF(C262="","",IFERROR(INDEX(Listen!$B$2:$B$100,MATCH(C262,Listen!$A$2:$A$100,0)),""))</f>
        <v>Bedarf</v>
      </c>
    </row>
    <row r="263" spans="1:11" x14ac:dyDescent="0.25">
      <c r="A263" s="11">
        <v>46384</v>
      </c>
      <c r="B263" s="5" t="s">
        <v>103</v>
      </c>
      <c r="C263" s="5" t="s">
        <v>82</v>
      </c>
      <c r="D263" s="5" t="s">
        <v>108</v>
      </c>
      <c r="E263" s="5" t="s">
        <v>108</v>
      </c>
      <c r="F263" s="5" t="s">
        <v>146</v>
      </c>
      <c r="G263" s="6">
        <v>28</v>
      </c>
      <c r="H263" s="12">
        <f t="shared" si="12"/>
        <v>12</v>
      </c>
      <c r="I263" s="12">
        <f t="shared" si="13"/>
        <v>2026</v>
      </c>
      <c r="J263" s="13">
        <f t="shared" si="14"/>
        <v>28</v>
      </c>
      <c r="K263" s="12" t="str">
        <f>IF(C263="","",IFERROR(INDEX(Listen!$B$2:$B$100,MATCH(C263,Listen!$A$2:$A$100,0)),""))</f>
        <v>Einkommen</v>
      </c>
    </row>
    <row r="264" spans="1:11" x14ac:dyDescent="0.25">
      <c r="A264" s="11"/>
      <c r="B264" s="5"/>
      <c r="C264" s="5"/>
      <c r="D264" s="5"/>
      <c r="E264" s="5"/>
      <c r="F264" s="5"/>
      <c r="G264" s="6"/>
      <c r="H264" s="12">
        <f t="shared" si="12"/>
        <v>0</v>
      </c>
      <c r="I264" s="12">
        <f t="shared" si="13"/>
        <v>0</v>
      </c>
      <c r="J264" s="13">
        <f t="shared" si="14"/>
        <v>0</v>
      </c>
      <c r="K264" s="12" t="str">
        <f>IF(C264="","",IFERROR(INDEX(Listen!$B$2:$B$100,MATCH(C264,Listen!$A$2:$A$100,0)),""))</f>
        <v/>
      </c>
    </row>
    <row r="265" spans="1:11" x14ac:dyDescent="0.25">
      <c r="A265" s="11"/>
      <c r="B265" s="5"/>
      <c r="C265" s="5"/>
      <c r="D265" s="5"/>
      <c r="E265" s="5"/>
      <c r="F265" s="5"/>
      <c r="G265" s="6"/>
      <c r="H265" s="12">
        <f t="shared" si="12"/>
        <v>0</v>
      </c>
      <c r="I265" s="12">
        <f t="shared" si="13"/>
        <v>0</v>
      </c>
      <c r="J265" s="13">
        <f t="shared" si="14"/>
        <v>0</v>
      </c>
      <c r="K265" s="12" t="str">
        <f>IF(C265="","",IFERROR(INDEX(Listen!$B$2:$B$100,MATCH(C265,Listen!$A$2:$A$100,0)),""))</f>
        <v/>
      </c>
    </row>
    <row r="266" spans="1:11" x14ac:dyDescent="0.25">
      <c r="A266" s="11"/>
      <c r="B266" s="5"/>
      <c r="C266" s="5"/>
      <c r="D266" s="5"/>
      <c r="E266" s="5"/>
      <c r="F266" s="5"/>
      <c r="G266" s="6"/>
      <c r="H266" s="12">
        <f t="shared" si="12"/>
        <v>0</v>
      </c>
      <c r="I266" s="12">
        <f t="shared" si="13"/>
        <v>0</v>
      </c>
      <c r="J266" s="13">
        <f t="shared" si="14"/>
        <v>0</v>
      </c>
      <c r="K266" s="12" t="str">
        <f>IF(C266="","",IFERROR(INDEX(Listen!$B$2:$B$100,MATCH(C266,Listen!$A$2:$A$100,0)),""))</f>
        <v/>
      </c>
    </row>
    <row r="267" spans="1:11" x14ac:dyDescent="0.25">
      <c r="A267" s="11"/>
      <c r="B267" s="5"/>
      <c r="C267" s="5"/>
      <c r="D267" s="5"/>
      <c r="E267" s="5"/>
      <c r="F267" s="5"/>
      <c r="G267" s="6"/>
      <c r="H267" s="12">
        <f t="shared" si="12"/>
        <v>0</v>
      </c>
      <c r="I267" s="12">
        <f t="shared" si="13"/>
        <v>0</v>
      </c>
      <c r="J267" s="13">
        <f t="shared" si="14"/>
        <v>0</v>
      </c>
      <c r="K267" s="12" t="str">
        <f>IF(C267="","",IFERROR(INDEX(Listen!$B$2:$B$100,MATCH(C267,Listen!$A$2:$A$100,0)),""))</f>
        <v/>
      </c>
    </row>
    <row r="268" spans="1:11" x14ac:dyDescent="0.25">
      <c r="A268" s="11"/>
      <c r="B268" s="5"/>
      <c r="C268" s="5"/>
      <c r="D268" s="5"/>
      <c r="E268" s="5"/>
      <c r="F268" s="5"/>
      <c r="G268" s="6"/>
      <c r="H268" s="12">
        <f t="shared" si="12"/>
        <v>0</v>
      </c>
      <c r="I268" s="12">
        <f t="shared" si="13"/>
        <v>0</v>
      </c>
      <c r="J268" s="13">
        <f t="shared" si="14"/>
        <v>0</v>
      </c>
      <c r="K268" s="12" t="str">
        <f>IF(C268="","",IFERROR(INDEX(Listen!$B$2:$B$100,MATCH(C268,Listen!$A$2:$A$100,0)),""))</f>
        <v/>
      </c>
    </row>
    <row r="269" spans="1:11" x14ac:dyDescent="0.25">
      <c r="A269" s="11"/>
      <c r="B269" s="5"/>
      <c r="C269" s="5"/>
      <c r="D269" s="5"/>
      <c r="E269" s="5"/>
      <c r="F269" s="5"/>
      <c r="G269" s="6"/>
      <c r="H269" s="12">
        <f t="shared" si="12"/>
        <v>0</v>
      </c>
      <c r="I269" s="12">
        <f t="shared" si="13"/>
        <v>0</v>
      </c>
      <c r="J269" s="13">
        <f t="shared" si="14"/>
        <v>0</v>
      </c>
      <c r="K269" s="12" t="str">
        <f>IF(C269="","",IFERROR(INDEX(Listen!$B$2:$B$100,MATCH(C269,Listen!$A$2:$A$100,0)),""))</f>
        <v/>
      </c>
    </row>
    <row r="270" spans="1:11" x14ac:dyDescent="0.25">
      <c r="A270" s="11"/>
      <c r="B270" s="5"/>
      <c r="C270" s="5"/>
      <c r="D270" s="5"/>
      <c r="E270" s="5"/>
      <c r="F270" s="5"/>
      <c r="G270" s="6"/>
      <c r="H270" s="12">
        <f t="shared" si="12"/>
        <v>0</v>
      </c>
      <c r="I270" s="12">
        <f t="shared" si="13"/>
        <v>0</v>
      </c>
      <c r="J270" s="13">
        <f t="shared" si="14"/>
        <v>0</v>
      </c>
      <c r="K270" s="12" t="str">
        <f>IF(C270="","",IFERROR(INDEX(Listen!$B$2:$B$100,MATCH(C270,Listen!$A$2:$A$100,0)),""))</f>
        <v/>
      </c>
    </row>
    <row r="271" spans="1:11" x14ac:dyDescent="0.25">
      <c r="A271" s="11"/>
      <c r="B271" s="5"/>
      <c r="C271" s="5"/>
      <c r="D271" s="5"/>
      <c r="E271" s="5"/>
      <c r="F271" s="5"/>
      <c r="G271" s="6"/>
      <c r="H271" s="12">
        <f t="shared" si="12"/>
        <v>0</v>
      </c>
      <c r="I271" s="12">
        <f t="shared" si="13"/>
        <v>0</v>
      </c>
      <c r="J271" s="13">
        <f t="shared" si="14"/>
        <v>0</v>
      </c>
      <c r="K271" s="12" t="str">
        <f>IF(C271="","",IFERROR(INDEX(Listen!$B$2:$B$100,MATCH(C271,Listen!$A$2:$A$100,0)),""))</f>
        <v/>
      </c>
    </row>
    <row r="272" spans="1:11" x14ac:dyDescent="0.25">
      <c r="A272" s="11"/>
      <c r="B272" s="5"/>
      <c r="C272" s="5"/>
      <c r="D272" s="5"/>
      <c r="E272" s="5"/>
      <c r="F272" s="5"/>
      <c r="G272" s="6"/>
      <c r="H272" s="12">
        <f t="shared" si="12"/>
        <v>0</v>
      </c>
      <c r="I272" s="12">
        <f t="shared" si="13"/>
        <v>0</v>
      </c>
      <c r="J272" s="13">
        <f t="shared" si="14"/>
        <v>0</v>
      </c>
      <c r="K272" s="12" t="str">
        <f>IF(C272="","",IFERROR(INDEX(Listen!$B$2:$B$100,MATCH(C272,Listen!$A$2:$A$100,0)),""))</f>
        <v/>
      </c>
    </row>
    <row r="273" spans="1:11" x14ac:dyDescent="0.25">
      <c r="A273" s="11"/>
      <c r="B273" s="5"/>
      <c r="C273" s="5"/>
      <c r="D273" s="5"/>
      <c r="E273" s="5"/>
      <c r="F273" s="5"/>
      <c r="G273" s="6"/>
      <c r="H273" s="12">
        <f t="shared" si="12"/>
        <v>0</v>
      </c>
      <c r="I273" s="12">
        <f t="shared" si="13"/>
        <v>0</v>
      </c>
      <c r="J273" s="13">
        <f t="shared" si="14"/>
        <v>0</v>
      </c>
      <c r="K273" s="12" t="str">
        <f>IF(C273="","",IFERROR(INDEX(Listen!$B$2:$B$100,MATCH(C273,Listen!$A$2:$A$100,0)),""))</f>
        <v/>
      </c>
    </row>
    <row r="274" spans="1:11" x14ac:dyDescent="0.25">
      <c r="A274" s="11"/>
      <c r="B274" s="5"/>
      <c r="C274" s="5"/>
      <c r="D274" s="5"/>
      <c r="E274" s="5"/>
      <c r="F274" s="5"/>
      <c r="G274" s="6"/>
      <c r="H274" s="12">
        <f t="shared" si="12"/>
        <v>0</v>
      </c>
      <c r="I274" s="12">
        <f t="shared" si="13"/>
        <v>0</v>
      </c>
      <c r="J274" s="13">
        <f t="shared" si="14"/>
        <v>0</v>
      </c>
      <c r="K274" s="12" t="str">
        <f>IF(C274="","",IFERROR(INDEX(Listen!$B$2:$B$100,MATCH(C274,Listen!$A$2:$A$100,0)),""))</f>
        <v/>
      </c>
    </row>
    <row r="275" spans="1:11" x14ac:dyDescent="0.25">
      <c r="A275" s="11"/>
      <c r="B275" s="5"/>
      <c r="C275" s="5"/>
      <c r="D275" s="5"/>
      <c r="E275" s="5"/>
      <c r="F275" s="5"/>
      <c r="G275" s="6"/>
      <c r="H275" s="12">
        <f t="shared" si="12"/>
        <v>0</v>
      </c>
      <c r="I275" s="12">
        <f t="shared" si="13"/>
        <v>0</v>
      </c>
      <c r="J275" s="13">
        <f t="shared" si="14"/>
        <v>0</v>
      </c>
      <c r="K275" s="12" t="str">
        <f>IF(C275="","",IFERROR(INDEX(Listen!$B$2:$B$100,MATCH(C275,Listen!$A$2:$A$100,0)),""))</f>
        <v/>
      </c>
    </row>
    <row r="276" spans="1:11" x14ac:dyDescent="0.25">
      <c r="A276" s="11"/>
      <c r="B276" s="5"/>
      <c r="C276" s="5"/>
      <c r="D276" s="5"/>
      <c r="E276" s="5"/>
      <c r="F276" s="5"/>
      <c r="G276" s="6"/>
      <c r="H276" s="12">
        <f t="shared" si="12"/>
        <v>0</v>
      </c>
      <c r="I276" s="12">
        <f t="shared" si="13"/>
        <v>0</v>
      </c>
      <c r="J276" s="13">
        <f t="shared" si="14"/>
        <v>0</v>
      </c>
      <c r="K276" s="12" t="str">
        <f>IF(C276="","",IFERROR(INDEX(Listen!$B$2:$B$100,MATCH(C276,Listen!$A$2:$A$100,0)),""))</f>
        <v/>
      </c>
    </row>
    <row r="277" spans="1:11" x14ac:dyDescent="0.25">
      <c r="A277" s="11"/>
      <c r="B277" s="5"/>
      <c r="C277" s="5"/>
      <c r="D277" s="5"/>
      <c r="E277" s="5"/>
      <c r="F277" s="5"/>
      <c r="G277" s="6"/>
      <c r="H277" s="12">
        <f t="shared" si="12"/>
        <v>0</v>
      </c>
      <c r="I277" s="12">
        <f t="shared" si="13"/>
        <v>0</v>
      </c>
      <c r="J277" s="13">
        <f t="shared" si="14"/>
        <v>0</v>
      </c>
      <c r="K277" s="12" t="str">
        <f>IF(C277="","",IFERROR(INDEX(Listen!$B$2:$B$100,MATCH(C277,Listen!$A$2:$A$100,0)),""))</f>
        <v/>
      </c>
    </row>
    <row r="278" spans="1:11" x14ac:dyDescent="0.25">
      <c r="A278" s="11"/>
      <c r="B278" s="5"/>
      <c r="C278" s="5"/>
      <c r="D278" s="5"/>
      <c r="E278" s="5"/>
      <c r="F278" s="5"/>
      <c r="G278" s="6"/>
      <c r="H278" s="12">
        <f t="shared" si="12"/>
        <v>0</v>
      </c>
      <c r="I278" s="12">
        <f t="shared" si="13"/>
        <v>0</v>
      </c>
      <c r="J278" s="13">
        <f t="shared" si="14"/>
        <v>0</v>
      </c>
      <c r="K278" s="12" t="str">
        <f>IF(C278="","",IFERROR(INDEX(Listen!$B$2:$B$100,MATCH(C278,Listen!$A$2:$A$100,0)),""))</f>
        <v/>
      </c>
    </row>
    <row r="279" spans="1:11" x14ac:dyDescent="0.25">
      <c r="A279" s="11"/>
      <c r="B279" s="5"/>
      <c r="C279" s="5"/>
      <c r="D279" s="5"/>
      <c r="E279" s="5"/>
      <c r="F279" s="5"/>
      <c r="G279" s="6"/>
      <c r="H279" s="12">
        <f t="shared" si="12"/>
        <v>0</v>
      </c>
      <c r="I279" s="12">
        <f t="shared" si="13"/>
        <v>0</v>
      </c>
      <c r="J279" s="13">
        <f t="shared" si="14"/>
        <v>0</v>
      </c>
      <c r="K279" s="12" t="str">
        <f>IF(C279="","",IFERROR(INDEX(Listen!$B$2:$B$100,MATCH(C279,Listen!$A$2:$A$100,0)),""))</f>
        <v/>
      </c>
    </row>
    <row r="280" spans="1:11" x14ac:dyDescent="0.25">
      <c r="A280" s="11"/>
      <c r="B280" s="5"/>
      <c r="C280" s="5"/>
      <c r="D280" s="5"/>
      <c r="E280" s="5"/>
      <c r="F280" s="5"/>
      <c r="G280" s="6"/>
      <c r="H280" s="12">
        <f t="shared" si="12"/>
        <v>0</v>
      </c>
      <c r="I280" s="12">
        <f t="shared" si="13"/>
        <v>0</v>
      </c>
      <c r="J280" s="13">
        <f t="shared" si="14"/>
        <v>0</v>
      </c>
      <c r="K280" s="12" t="str">
        <f>IF(C280="","",IFERROR(INDEX(Listen!$B$2:$B$100,MATCH(C280,Listen!$A$2:$A$100,0)),""))</f>
        <v/>
      </c>
    </row>
    <row r="281" spans="1:11" x14ac:dyDescent="0.25">
      <c r="A281" s="11"/>
      <c r="B281" s="5"/>
      <c r="C281" s="5"/>
      <c r="D281" s="5"/>
      <c r="E281" s="5"/>
      <c r="F281" s="5"/>
      <c r="G281" s="6"/>
      <c r="H281" s="12">
        <f t="shared" si="12"/>
        <v>0</v>
      </c>
      <c r="I281" s="12">
        <f t="shared" si="13"/>
        <v>0</v>
      </c>
      <c r="J281" s="13">
        <f t="shared" si="14"/>
        <v>0</v>
      </c>
      <c r="K281" s="12" t="str">
        <f>IF(C281="","",IFERROR(INDEX(Listen!$B$2:$B$100,MATCH(C281,Listen!$A$2:$A$100,0)),""))</f>
        <v/>
      </c>
    </row>
    <row r="282" spans="1:11" x14ac:dyDescent="0.25">
      <c r="A282" s="11"/>
      <c r="B282" s="5"/>
      <c r="C282" s="5"/>
      <c r="D282" s="5"/>
      <c r="E282" s="5"/>
      <c r="F282" s="5"/>
      <c r="G282" s="6"/>
      <c r="H282" s="12">
        <f t="shared" si="12"/>
        <v>0</v>
      </c>
      <c r="I282" s="12">
        <f t="shared" si="13"/>
        <v>0</v>
      </c>
      <c r="J282" s="13">
        <f t="shared" si="14"/>
        <v>0</v>
      </c>
      <c r="K282" s="12" t="str">
        <f>IF(C282="","",IFERROR(INDEX(Listen!$B$2:$B$100,MATCH(C282,Listen!$A$2:$A$100,0)),""))</f>
        <v/>
      </c>
    </row>
    <row r="283" spans="1:11" x14ac:dyDescent="0.25">
      <c r="A283" s="11"/>
      <c r="B283" s="5"/>
      <c r="C283" s="5"/>
      <c r="D283" s="5"/>
      <c r="E283" s="5"/>
      <c r="F283" s="5"/>
      <c r="G283" s="6"/>
      <c r="H283" s="12">
        <f t="shared" si="12"/>
        <v>0</v>
      </c>
      <c r="I283" s="12">
        <f t="shared" si="13"/>
        <v>0</v>
      </c>
      <c r="J283" s="13">
        <f t="shared" si="14"/>
        <v>0</v>
      </c>
      <c r="K283" s="12" t="str">
        <f>IF(C283="","",IFERROR(INDEX(Listen!$B$2:$B$100,MATCH(C283,Listen!$A$2:$A$100,0)),""))</f>
        <v/>
      </c>
    </row>
    <row r="284" spans="1:11" x14ac:dyDescent="0.25">
      <c r="A284" s="11"/>
      <c r="B284" s="5"/>
      <c r="C284" s="5"/>
      <c r="D284" s="5"/>
      <c r="E284" s="5"/>
      <c r="F284" s="5"/>
      <c r="G284" s="6"/>
      <c r="H284" s="12">
        <f t="shared" si="12"/>
        <v>0</v>
      </c>
      <c r="I284" s="12">
        <f t="shared" si="13"/>
        <v>0</v>
      </c>
      <c r="J284" s="13">
        <f t="shared" si="14"/>
        <v>0</v>
      </c>
      <c r="K284" s="12" t="str">
        <f>IF(C284="","",IFERROR(INDEX(Listen!$B$2:$B$100,MATCH(C284,Listen!$A$2:$A$100,0)),""))</f>
        <v/>
      </c>
    </row>
    <row r="285" spans="1:11" x14ac:dyDescent="0.25">
      <c r="A285" s="11"/>
      <c r="B285" s="5"/>
      <c r="C285" s="5"/>
      <c r="D285" s="5"/>
      <c r="E285" s="5"/>
      <c r="F285" s="5"/>
      <c r="G285" s="6"/>
      <c r="H285" s="12">
        <f t="shared" si="12"/>
        <v>0</v>
      </c>
      <c r="I285" s="12">
        <f t="shared" si="13"/>
        <v>0</v>
      </c>
      <c r="J285" s="13">
        <f t="shared" si="14"/>
        <v>0</v>
      </c>
      <c r="K285" s="12" t="str">
        <f>IF(C285="","",IFERROR(INDEX(Listen!$B$2:$B$100,MATCH(C285,Listen!$A$2:$A$100,0)),""))</f>
        <v/>
      </c>
    </row>
    <row r="286" spans="1:11" x14ac:dyDescent="0.25">
      <c r="A286" s="11"/>
      <c r="B286" s="5"/>
      <c r="C286" s="5"/>
      <c r="D286" s="5"/>
      <c r="E286" s="5"/>
      <c r="F286" s="5"/>
      <c r="G286" s="6"/>
      <c r="H286" s="12">
        <f t="shared" si="12"/>
        <v>0</v>
      </c>
      <c r="I286" s="12">
        <f t="shared" si="13"/>
        <v>0</v>
      </c>
      <c r="J286" s="13">
        <f t="shared" si="14"/>
        <v>0</v>
      </c>
      <c r="K286" s="12" t="str">
        <f>IF(C286="","",IFERROR(INDEX(Listen!$B$2:$B$100,MATCH(C286,Listen!$A$2:$A$100,0)),""))</f>
        <v/>
      </c>
    </row>
    <row r="287" spans="1:11" x14ac:dyDescent="0.25">
      <c r="A287" s="11"/>
      <c r="B287" s="5"/>
      <c r="C287" s="5"/>
      <c r="D287" s="5"/>
      <c r="E287" s="5"/>
      <c r="F287" s="5"/>
      <c r="G287" s="6"/>
      <c r="H287" s="12">
        <f t="shared" si="12"/>
        <v>0</v>
      </c>
      <c r="I287" s="12">
        <f t="shared" si="13"/>
        <v>0</v>
      </c>
      <c r="J287" s="13">
        <f t="shared" si="14"/>
        <v>0</v>
      </c>
      <c r="K287" s="12" t="str">
        <f>IF(C287="","",IFERROR(INDEX(Listen!$B$2:$B$100,MATCH(C287,Listen!$A$2:$A$100,0)),""))</f>
        <v/>
      </c>
    </row>
    <row r="288" spans="1:11" x14ac:dyDescent="0.25">
      <c r="A288" s="11"/>
      <c r="B288" s="5"/>
      <c r="C288" s="5"/>
      <c r="D288" s="5"/>
      <c r="E288" s="5"/>
      <c r="F288" s="5"/>
      <c r="G288" s="6"/>
      <c r="H288" s="12">
        <f t="shared" si="12"/>
        <v>0</v>
      </c>
      <c r="I288" s="12">
        <f t="shared" si="13"/>
        <v>0</v>
      </c>
      <c r="J288" s="13">
        <f t="shared" si="14"/>
        <v>0</v>
      </c>
      <c r="K288" s="12" t="str">
        <f>IF(C288="","",IFERROR(INDEX(Listen!$B$2:$B$100,MATCH(C288,Listen!$A$2:$A$100,0)),""))</f>
        <v/>
      </c>
    </row>
    <row r="289" spans="1:11" x14ac:dyDescent="0.25">
      <c r="A289" s="11"/>
      <c r="B289" s="5"/>
      <c r="C289" s="5"/>
      <c r="D289" s="5"/>
      <c r="E289" s="5"/>
      <c r="F289" s="5"/>
      <c r="G289" s="6"/>
      <c r="H289" s="12">
        <f t="shared" si="12"/>
        <v>0</v>
      </c>
      <c r="I289" s="12">
        <f t="shared" si="13"/>
        <v>0</v>
      </c>
      <c r="J289" s="13">
        <f t="shared" si="14"/>
        <v>0</v>
      </c>
      <c r="K289" s="12" t="str">
        <f>IF(C289="","",IFERROR(INDEX(Listen!$B$2:$B$100,MATCH(C289,Listen!$A$2:$A$100,0)),""))</f>
        <v/>
      </c>
    </row>
    <row r="290" spans="1:11" x14ac:dyDescent="0.25">
      <c r="A290" s="11"/>
      <c r="B290" s="5"/>
      <c r="C290" s="5"/>
      <c r="D290" s="5"/>
      <c r="E290" s="5"/>
      <c r="F290" s="5"/>
      <c r="G290" s="6"/>
      <c r="H290" s="12">
        <f t="shared" si="12"/>
        <v>0</v>
      </c>
      <c r="I290" s="12">
        <f t="shared" si="13"/>
        <v>0</v>
      </c>
      <c r="J290" s="13">
        <f t="shared" si="14"/>
        <v>0</v>
      </c>
      <c r="K290" s="12" t="str">
        <f>IF(C290="","",IFERROR(INDEX(Listen!$B$2:$B$100,MATCH(C290,Listen!$A$2:$A$100,0)),""))</f>
        <v/>
      </c>
    </row>
    <row r="291" spans="1:11" x14ac:dyDescent="0.25">
      <c r="A291" s="11"/>
      <c r="B291" s="5"/>
      <c r="C291" s="5"/>
      <c r="D291" s="5"/>
      <c r="E291" s="5"/>
      <c r="F291" s="5"/>
      <c r="G291" s="6"/>
      <c r="H291" s="12">
        <f t="shared" si="12"/>
        <v>0</v>
      </c>
      <c r="I291" s="12">
        <f t="shared" si="13"/>
        <v>0</v>
      </c>
      <c r="J291" s="13">
        <f t="shared" si="14"/>
        <v>0</v>
      </c>
      <c r="K291" s="12" t="str">
        <f>IF(C291="","",IFERROR(INDEX(Listen!$B$2:$B$100,MATCH(C291,Listen!$A$2:$A$100,0)),""))</f>
        <v/>
      </c>
    </row>
    <row r="292" spans="1:11" x14ac:dyDescent="0.25">
      <c r="A292" s="11"/>
      <c r="B292" s="5"/>
      <c r="C292" s="5"/>
      <c r="D292" s="5"/>
      <c r="E292" s="5"/>
      <c r="F292" s="5"/>
      <c r="G292" s="6"/>
      <c r="H292" s="12">
        <f t="shared" si="12"/>
        <v>0</v>
      </c>
      <c r="I292" s="12">
        <f t="shared" si="13"/>
        <v>0</v>
      </c>
      <c r="J292" s="13">
        <f t="shared" si="14"/>
        <v>0</v>
      </c>
      <c r="K292" s="12" t="str">
        <f>IF(C292="","",IFERROR(INDEX(Listen!$B$2:$B$100,MATCH(C292,Listen!$A$2:$A$100,0)),""))</f>
        <v/>
      </c>
    </row>
    <row r="293" spans="1:11" x14ac:dyDescent="0.25">
      <c r="A293" s="11"/>
      <c r="B293" s="5"/>
      <c r="C293" s="5"/>
      <c r="D293" s="5"/>
      <c r="E293" s="5"/>
      <c r="F293" s="5"/>
      <c r="G293" s="6"/>
      <c r="H293" s="12">
        <f t="shared" si="12"/>
        <v>0</v>
      </c>
      <c r="I293" s="12">
        <f t="shared" si="13"/>
        <v>0</v>
      </c>
      <c r="J293" s="13">
        <f t="shared" si="14"/>
        <v>0</v>
      </c>
      <c r="K293" s="12" t="str">
        <f>IF(C293="","",IFERROR(INDEX(Listen!$B$2:$B$100,MATCH(C293,Listen!$A$2:$A$100,0)),""))</f>
        <v/>
      </c>
    </row>
    <row r="294" spans="1:11" x14ac:dyDescent="0.25">
      <c r="A294" s="11"/>
      <c r="B294" s="5"/>
      <c r="C294" s="5"/>
      <c r="D294" s="5"/>
      <c r="E294" s="5"/>
      <c r="F294" s="5"/>
      <c r="G294" s="6"/>
      <c r="H294" s="12">
        <f t="shared" si="12"/>
        <v>0</v>
      </c>
      <c r="I294" s="12">
        <f t="shared" si="13"/>
        <v>0</v>
      </c>
      <c r="J294" s="13">
        <f t="shared" si="14"/>
        <v>0</v>
      </c>
      <c r="K294" s="12" t="str">
        <f>IF(C294="","",IFERROR(INDEX(Listen!$B$2:$B$100,MATCH(C294,Listen!$A$2:$A$100,0)),""))</f>
        <v/>
      </c>
    </row>
    <row r="295" spans="1:11" x14ac:dyDescent="0.25">
      <c r="A295" s="11"/>
      <c r="B295" s="5"/>
      <c r="C295" s="5"/>
      <c r="D295" s="5"/>
      <c r="E295" s="5"/>
      <c r="F295" s="5"/>
      <c r="G295" s="6"/>
      <c r="H295" s="12">
        <f t="shared" si="12"/>
        <v>0</v>
      </c>
      <c r="I295" s="12">
        <f t="shared" si="13"/>
        <v>0</v>
      </c>
      <c r="J295" s="13">
        <f t="shared" si="14"/>
        <v>0</v>
      </c>
      <c r="K295" s="12" t="str">
        <f>IF(C295="","",IFERROR(INDEX(Listen!$B$2:$B$100,MATCH(C295,Listen!$A$2:$A$100,0)),""))</f>
        <v/>
      </c>
    </row>
    <row r="296" spans="1:11" x14ac:dyDescent="0.25">
      <c r="A296" s="11"/>
      <c r="B296" s="5"/>
      <c r="C296" s="5"/>
      <c r="D296" s="5"/>
      <c r="E296" s="5"/>
      <c r="F296" s="5"/>
      <c r="G296" s="6"/>
      <c r="H296" s="12">
        <f t="shared" si="12"/>
        <v>0</v>
      </c>
      <c r="I296" s="12">
        <f t="shared" si="13"/>
        <v>0</v>
      </c>
      <c r="J296" s="13">
        <f t="shared" si="14"/>
        <v>0</v>
      </c>
      <c r="K296" s="12" t="str">
        <f>IF(C296="","",IFERROR(INDEX(Listen!$B$2:$B$100,MATCH(C296,Listen!$A$2:$A$100,0)),""))</f>
        <v/>
      </c>
    </row>
    <row r="297" spans="1:11" x14ac:dyDescent="0.25">
      <c r="A297" s="11"/>
      <c r="B297" s="5"/>
      <c r="C297" s="5"/>
      <c r="D297" s="5"/>
      <c r="E297" s="5"/>
      <c r="F297" s="5"/>
      <c r="G297" s="6"/>
      <c r="H297" s="12">
        <f t="shared" si="12"/>
        <v>0</v>
      </c>
      <c r="I297" s="12">
        <f t="shared" si="13"/>
        <v>0</v>
      </c>
      <c r="J297" s="13">
        <f t="shared" si="14"/>
        <v>0</v>
      </c>
      <c r="K297" s="12" t="str">
        <f>IF(C297="","",IFERROR(INDEX(Listen!$B$2:$B$100,MATCH(C297,Listen!$A$2:$A$100,0)),""))</f>
        <v/>
      </c>
    </row>
    <row r="298" spans="1:11" x14ac:dyDescent="0.25">
      <c r="A298" s="11"/>
      <c r="B298" s="5"/>
      <c r="C298" s="5"/>
      <c r="D298" s="5"/>
      <c r="E298" s="5"/>
      <c r="F298" s="5"/>
      <c r="G298" s="6"/>
      <c r="H298" s="12">
        <f t="shared" si="12"/>
        <v>0</v>
      </c>
      <c r="I298" s="12">
        <f t="shared" si="13"/>
        <v>0</v>
      </c>
      <c r="J298" s="13">
        <f t="shared" si="14"/>
        <v>0</v>
      </c>
      <c r="K298" s="12" t="str">
        <f>IF(C298="","",IFERROR(INDEX(Listen!$B$2:$B$100,MATCH(C298,Listen!$A$2:$A$100,0)),""))</f>
        <v/>
      </c>
    </row>
    <row r="299" spans="1:11" x14ac:dyDescent="0.25">
      <c r="A299" s="11"/>
      <c r="B299" s="5"/>
      <c r="C299" s="5"/>
      <c r="D299" s="5"/>
      <c r="E299" s="5"/>
      <c r="F299" s="5"/>
      <c r="G299" s="6"/>
      <c r="H299" s="12">
        <f t="shared" si="12"/>
        <v>0</v>
      </c>
      <c r="I299" s="12">
        <f t="shared" si="13"/>
        <v>0</v>
      </c>
      <c r="J299" s="13">
        <f t="shared" si="14"/>
        <v>0</v>
      </c>
      <c r="K299" s="12" t="str">
        <f>IF(C299="","",IFERROR(INDEX(Listen!$B$2:$B$100,MATCH(C299,Listen!$A$2:$A$100,0)),""))</f>
        <v/>
      </c>
    </row>
    <row r="300" spans="1:11" x14ac:dyDescent="0.25">
      <c r="A300" s="11"/>
      <c r="B300" s="5"/>
      <c r="C300" s="5"/>
      <c r="D300" s="5"/>
      <c r="E300" s="5"/>
      <c r="F300" s="5"/>
      <c r="G300" s="6"/>
      <c r="H300" s="12">
        <f t="shared" si="12"/>
        <v>0</v>
      </c>
      <c r="I300" s="12">
        <f t="shared" si="13"/>
        <v>0</v>
      </c>
      <c r="J300" s="13">
        <f t="shared" si="14"/>
        <v>0</v>
      </c>
      <c r="K300" s="12" t="str">
        <f>IF(C300="","",IFERROR(INDEX(Listen!$B$2:$B$100,MATCH(C300,Listen!$A$2:$A$100,0)),""))</f>
        <v/>
      </c>
    </row>
    <row r="301" spans="1:11" x14ac:dyDescent="0.25">
      <c r="A301" s="11"/>
      <c r="B301" s="5"/>
      <c r="C301" s="5"/>
      <c r="D301" s="5"/>
      <c r="E301" s="5"/>
      <c r="F301" s="5"/>
      <c r="G301" s="6"/>
      <c r="H301" s="12">
        <f t="shared" si="12"/>
        <v>0</v>
      </c>
      <c r="I301" s="12">
        <f t="shared" si="13"/>
        <v>0</v>
      </c>
      <c r="J301" s="13">
        <f t="shared" si="14"/>
        <v>0</v>
      </c>
      <c r="K301" s="12" t="str">
        <f>IF(C301="","",IFERROR(INDEX(Listen!$B$2:$B$100,MATCH(C301,Listen!$A$2:$A$100,0)),""))</f>
        <v/>
      </c>
    </row>
    <row r="302" spans="1:11" x14ac:dyDescent="0.25">
      <c r="A302" s="11"/>
      <c r="B302" s="5"/>
      <c r="C302" s="5"/>
      <c r="D302" s="5"/>
      <c r="E302" s="5"/>
      <c r="F302" s="5"/>
      <c r="G302" s="6"/>
      <c r="H302" s="12">
        <f t="shared" si="12"/>
        <v>0</v>
      </c>
      <c r="I302" s="12">
        <f t="shared" si="13"/>
        <v>0</v>
      </c>
      <c r="J302" s="13">
        <f t="shared" si="14"/>
        <v>0</v>
      </c>
      <c r="K302" s="12" t="str">
        <f>IF(C302="","",IFERROR(INDEX(Listen!$B$2:$B$100,MATCH(C302,Listen!$A$2:$A$100,0)),""))</f>
        <v/>
      </c>
    </row>
    <row r="303" spans="1:11" x14ac:dyDescent="0.25">
      <c r="A303" s="11"/>
      <c r="B303" s="5"/>
      <c r="C303" s="5"/>
      <c r="D303" s="5"/>
      <c r="E303" s="5"/>
      <c r="F303" s="5"/>
      <c r="G303" s="6"/>
      <c r="H303" s="12">
        <f t="shared" si="12"/>
        <v>0</v>
      </c>
      <c r="I303" s="12">
        <f t="shared" si="13"/>
        <v>0</v>
      </c>
      <c r="J303" s="13">
        <f t="shared" si="14"/>
        <v>0</v>
      </c>
      <c r="K303" s="12" t="str">
        <f>IF(C303="","",IFERROR(INDEX(Listen!$B$2:$B$100,MATCH(C303,Listen!$A$2:$A$100,0)),""))</f>
        <v/>
      </c>
    </row>
    <row r="304" spans="1:11" x14ac:dyDescent="0.25">
      <c r="A304" s="11"/>
      <c r="B304" s="5"/>
      <c r="C304" s="5"/>
      <c r="D304" s="5"/>
      <c r="E304" s="5"/>
      <c r="F304" s="5"/>
      <c r="G304" s="6"/>
      <c r="H304" s="12">
        <f t="shared" si="12"/>
        <v>0</v>
      </c>
      <c r="I304" s="12">
        <f t="shared" si="13"/>
        <v>0</v>
      </c>
      <c r="J304" s="13">
        <f t="shared" si="14"/>
        <v>0</v>
      </c>
      <c r="K304" s="12" t="str">
        <f>IF(C304="","",IFERROR(INDEX(Listen!$B$2:$B$100,MATCH(C304,Listen!$A$2:$A$100,0)),""))</f>
        <v/>
      </c>
    </row>
    <row r="305" spans="1:11" x14ac:dyDescent="0.25">
      <c r="A305" s="11"/>
      <c r="B305" s="5"/>
      <c r="C305" s="5"/>
      <c r="D305" s="5"/>
      <c r="E305" s="5"/>
      <c r="F305" s="5"/>
      <c r="G305" s="6"/>
      <c r="H305" s="12">
        <f t="shared" si="12"/>
        <v>0</v>
      </c>
      <c r="I305" s="12">
        <f t="shared" si="13"/>
        <v>0</v>
      </c>
      <c r="J305" s="13">
        <f t="shared" si="14"/>
        <v>0</v>
      </c>
      <c r="K305" s="12" t="str">
        <f>IF(C305="","",IFERROR(INDEX(Listen!$B$2:$B$100,MATCH(C305,Listen!$A$2:$A$100,0)),""))</f>
        <v/>
      </c>
    </row>
    <row r="306" spans="1:11" x14ac:dyDescent="0.25">
      <c r="A306" s="11"/>
      <c r="B306" s="5"/>
      <c r="C306" s="5"/>
      <c r="D306" s="5"/>
      <c r="E306" s="5"/>
      <c r="F306" s="5"/>
      <c r="G306" s="6"/>
      <c r="H306" s="12">
        <f t="shared" si="12"/>
        <v>0</v>
      </c>
      <c r="I306" s="12">
        <f t="shared" si="13"/>
        <v>0</v>
      </c>
      <c r="J306" s="13">
        <f t="shared" si="14"/>
        <v>0</v>
      </c>
      <c r="K306" s="12" t="str">
        <f>IF(C306="","",IFERROR(INDEX(Listen!$B$2:$B$100,MATCH(C306,Listen!$A$2:$A$100,0)),""))</f>
        <v/>
      </c>
    </row>
    <row r="307" spans="1:11" x14ac:dyDescent="0.25">
      <c r="A307" s="11"/>
      <c r="B307" s="5"/>
      <c r="C307" s="5"/>
      <c r="D307" s="5"/>
      <c r="E307" s="5"/>
      <c r="F307" s="5"/>
      <c r="G307" s="6"/>
      <c r="H307" s="12">
        <f t="shared" si="12"/>
        <v>0</v>
      </c>
      <c r="I307" s="12">
        <f t="shared" si="13"/>
        <v>0</v>
      </c>
      <c r="J307" s="13">
        <f t="shared" si="14"/>
        <v>0</v>
      </c>
      <c r="K307" s="12" t="str">
        <f>IF(C307="","",IFERROR(INDEX(Listen!$B$2:$B$100,MATCH(C307,Listen!$A$2:$A$100,0)),""))</f>
        <v/>
      </c>
    </row>
    <row r="308" spans="1:11" x14ac:dyDescent="0.25">
      <c r="A308" s="11"/>
      <c r="B308" s="5"/>
      <c r="C308" s="5"/>
      <c r="D308" s="5"/>
      <c r="E308" s="5"/>
      <c r="F308" s="5"/>
      <c r="G308" s="6"/>
      <c r="H308" s="12">
        <f t="shared" si="12"/>
        <v>0</v>
      </c>
      <c r="I308" s="12">
        <f t="shared" si="13"/>
        <v>0</v>
      </c>
      <c r="J308" s="13">
        <f t="shared" si="14"/>
        <v>0</v>
      </c>
      <c r="K308" s="12" t="str">
        <f>IF(C308="","",IFERROR(INDEX(Listen!$B$2:$B$100,MATCH(C308,Listen!$A$2:$A$100,0)),""))</f>
        <v/>
      </c>
    </row>
    <row r="309" spans="1:11" x14ac:dyDescent="0.25">
      <c r="A309" s="11"/>
      <c r="B309" s="5"/>
      <c r="C309" s="5"/>
      <c r="D309" s="5"/>
      <c r="E309" s="5"/>
      <c r="F309" s="5"/>
      <c r="G309" s="6"/>
      <c r="H309" s="12">
        <f t="shared" si="12"/>
        <v>0</v>
      </c>
      <c r="I309" s="12">
        <f t="shared" si="13"/>
        <v>0</v>
      </c>
      <c r="J309" s="13">
        <f t="shared" si="14"/>
        <v>0</v>
      </c>
      <c r="K309" s="12" t="str">
        <f>IF(C309="","",IFERROR(INDEX(Listen!$B$2:$B$100,MATCH(C309,Listen!$A$2:$A$100,0)),""))</f>
        <v/>
      </c>
    </row>
    <row r="310" spans="1:11" x14ac:dyDescent="0.25">
      <c r="A310" s="11"/>
      <c r="B310" s="5"/>
      <c r="C310" s="5"/>
      <c r="D310" s="5"/>
      <c r="E310" s="5"/>
      <c r="F310" s="5"/>
      <c r="G310" s="6"/>
      <c r="H310" s="12">
        <f t="shared" si="12"/>
        <v>0</v>
      </c>
      <c r="I310" s="12">
        <f t="shared" si="13"/>
        <v>0</v>
      </c>
      <c r="J310" s="13">
        <f t="shared" si="14"/>
        <v>0</v>
      </c>
      <c r="K310" s="12" t="str">
        <f>IF(C310="","",IFERROR(INDEX(Listen!$B$2:$B$100,MATCH(C310,Listen!$A$2:$A$100,0)),""))</f>
        <v/>
      </c>
    </row>
    <row r="311" spans="1:11" x14ac:dyDescent="0.25">
      <c r="A311" s="11"/>
      <c r="B311" s="5"/>
      <c r="C311" s="5"/>
      <c r="D311" s="5"/>
      <c r="E311" s="5"/>
      <c r="F311" s="5"/>
      <c r="G311" s="6"/>
      <c r="H311" s="12">
        <f t="shared" si="12"/>
        <v>0</v>
      </c>
      <c r="I311" s="12">
        <f t="shared" si="13"/>
        <v>0</v>
      </c>
      <c r="J311" s="13">
        <f t="shared" si="14"/>
        <v>0</v>
      </c>
      <c r="K311" s="12" t="str">
        <f>IF(C311="","",IFERROR(INDEX(Listen!$B$2:$B$100,MATCH(C311,Listen!$A$2:$A$100,0)),""))</f>
        <v/>
      </c>
    </row>
    <row r="312" spans="1:11" x14ac:dyDescent="0.25">
      <c r="A312" s="11"/>
      <c r="B312" s="5"/>
      <c r="C312" s="5"/>
      <c r="D312" s="5"/>
      <c r="E312" s="5"/>
      <c r="F312" s="5"/>
      <c r="G312" s="6"/>
      <c r="H312" s="12">
        <f t="shared" si="12"/>
        <v>0</v>
      </c>
      <c r="I312" s="12">
        <f t="shared" si="13"/>
        <v>0</v>
      </c>
      <c r="J312" s="13">
        <f t="shared" si="14"/>
        <v>0</v>
      </c>
      <c r="K312" s="12" t="str">
        <f>IF(C312="","",IFERROR(INDEX(Listen!$B$2:$B$100,MATCH(C312,Listen!$A$2:$A$100,0)),""))</f>
        <v/>
      </c>
    </row>
    <row r="313" spans="1:11" x14ac:dyDescent="0.25">
      <c r="A313" s="11"/>
      <c r="B313" s="5"/>
      <c r="C313" s="5"/>
      <c r="D313" s="5"/>
      <c r="E313" s="5"/>
      <c r="F313" s="5"/>
      <c r="G313" s="6"/>
      <c r="H313" s="12">
        <f t="shared" si="12"/>
        <v>0</v>
      </c>
      <c r="I313" s="12">
        <f t="shared" si="13"/>
        <v>0</v>
      </c>
      <c r="J313" s="13">
        <f t="shared" si="14"/>
        <v>0</v>
      </c>
      <c r="K313" s="12" t="str">
        <f>IF(C313="","",IFERROR(INDEX(Listen!$B$2:$B$100,MATCH(C313,Listen!$A$2:$A$100,0)),""))</f>
        <v/>
      </c>
    </row>
    <row r="314" spans="1:11" x14ac:dyDescent="0.25">
      <c r="A314" s="11"/>
      <c r="B314" s="5"/>
      <c r="C314" s="5"/>
      <c r="D314" s="5"/>
      <c r="E314" s="5"/>
      <c r="F314" s="5"/>
      <c r="G314" s="6"/>
      <c r="H314" s="12">
        <f t="shared" si="12"/>
        <v>0</v>
      </c>
      <c r="I314" s="12">
        <f t="shared" si="13"/>
        <v>0</v>
      </c>
      <c r="J314" s="13">
        <f t="shared" si="14"/>
        <v>0</v>
      </c>
      <c r="K314" s="12" t="str">
        <f>IF(C314="","",IFERROR(INDEX(Listen!$B$2:$B$100,MATCH(C314,Listen!$A$2:$A$100,0)),""))</f>
        <v/>
      </c>
    </row>
    <row r="315" spans="1:11" x14ac:dyDescent="0.25">
      <c r="A315" s="11"/>
      <c r="B315" s="5"/>
      <c r="C315" s="5"/>
      <c r="D315" s="5"/>
      <c r="E315" s="5"/>
      <c r="F315" s="5"/>
      <c r="G315" s="6"/>
      <c r="H315" s="12">
        <f t="shared" si="12"/>
        <v>0</v>
      </c>
      <c r="I315" s="12">
        <f t="shared" si="13"/>
        <v>0</v>
      </c>
      <c r="J315" s="13">
        <f t="shared" si="14"/>
        <v>0</v>
      </c>
      <c r="K315" s="12" t="str">
        <f>IF(C315="","",IFERROR(INDEX(Listen!$B$2:$B$100,MATCH(C315,Listen!$A$2:$A$100,0)),""))</f>
        <v/>
      </c>
    </row>
    <row r="316" spans="1:11" x14ac:dyDescent="0.25">
      <c r="A316" s="11"/>
      <c r="B316" s="5"/>
      <c r="C316" s="5"/>
      <c r="D316" s="5"/>
      <c r="E316" s="5"/>
      <c r="F316" s="5"/>
      <c r="G316" s="6"/>
      <c r="H316" s="12">
        <f t="shared" si="12"/>
        <v>0</v>
      </c>
      <c r="I316" s="12">
        <f t="shared" si="13"/>
        <v>0</v>
      </c>
      <c r="J316" s="13">
        <f t="shared" si="14"/>
        <v>0</v>
      </c>
      <c r="K316" s="12" t="str">
        <f>IF(C316="","",IFERROR(INDEX(Listen!$B$2:$B$100,MATCH(C316,Listen!$A$2:$A$100,0)),""))</f>
        <v/>
      </c>
    </row>
    <row r="317" spans="1:11" x14ac:dyDescent="0.25">
      <c r="A317" s="11"/>
      <c r="B317" s="5"/>
      <c r="C317" s="5"/>
      <c r="D317" s="5"/>
      <c r="E317" s="5"/>
      <c r="F317" s="5"/>
      <c r="G317" s="6"/>
      <c r="H317" s="12">
        <f t="shared" si="12"/>
        <v>0</v>
      </c>
      <c r="I317" s="12">
        <f t="shared" si="13"/>
        <v>0</v>
      </c>
      <c r="J317" s="13">
        <f t="shared" si="14"/>
        <v>0</v>
      </c>
      <c r="K317" s="12" t="str">
        <f>IF(C317="","",IFERROR(INDEX(Listen!$B$2:$B$100,MATCH(C317,Listen!$A$2:$A$100,0)),""))</f>
        <v/>
      </c>
    </row>
    <row r="318" spans="1:11" x14ac:dyDescent="0.25">
      <c r="A318" s="11"/>
      <c r="B318" s="5"/>
      <c r="C318" s="5"/>
      <c r="D318" s="5"/>
      <c r="E318" s="5"/>
      <c r="F318" s="5"/>
      <c r="G318" s="6"/>
      <c r="H318" s="12">
        <f t="shared" si="12"/>
        <v>0</v>
      </c>
      <c r="I318" s="12">
        <f t="shared" si="13"/>
        <v>0</v>
      </c>
      <c r="J318" s="13">
        <f t="shared" si="14"/>
        <v>0</v>
      </c>
      <c r="K318" s="12" t="str">
        <f>IF(C318="","",IFERROR(INDEX(Listen!$B$2:$B$100,MATCH(C318,Listen!$A$2:$A$100,0)),""))</f>
        <v/>
      </c>
    </row>
    <row r="319" spans="1:11" x14ac:dyDescent="0.25">
      <c r="A319" s="11"/>
      <c r="B319" s="5"/>
      <c r="C319" s="5"/>
      <c r="D319" s="5"/>
      <c r="E319" s="5"/>
      <c r="F319" s="5"/>
      <c r="G319" s="6"/>
      <c r="H319" s="12">
        <f t="shared" si="12"/>
        <v>0</v>
      </c>
      <c r="I319" s="12">
        <f t="shared" si="13"/>
        <v>0</v>
      </c>
      <c r="J319" s="13">
        <f t="shared" si="14"/>
        <v>0</v>
      </c>
      <c r="K319" s="12" t="str">
        <f>IF(C319="","",IFERROR(INDEX(Listen!$B$2:$B$100,MATCH(C319,Listen!$A$2:$A$100,0)),""))</f>
        <v/>
      </c>
    </row>
    <row r="320" spans="1:11" x14ac:dyDescent="0.25">
      <c r="A320" s="11"/>
      <c r="B320" s="5"/>
      <c r="C320" s="5"/>
      <c r="D320" s="5"/>
      <c r="E320" s="5"/>
      <c r="F320" s="5"/>
      <c r="G320" s="6"/>
      <c r="H320" s="12">
        <f t="shared" si="12"/>
        <v>0</v>
      </c>
      <c r="I320" s="12">
        <f t="shared" si="13"/>
        <v>0</v>
      </c>
      <c r="J320" s="13">
        <f t="shared" si="14"/>
        <v>0</v>
      </c>
      <c r="K320" s="12" t="str">
        <f>IF(C320="","",IFERROR(INDEX(Listen!$B$2:$B$100,MATCH(C320,Listen!$A$2:$A$100,0)),""))</f>
        <v/>
      </c>
    </row>
    <row r="321" spans="1:11" x14ac:dyDescent="0.25">
      <c r="A321" s="11"/>
      <c r="B321" s="5"/>
      <c r="C321" s="5"/>
      <c r="D321" s="5"/>
      <c r="E321" s="5"/>
      <c r="F321" s="5"/>
      <c r="G321" s="6"/>
      <c r="H321" s="12">
        <f t="shared" si="12"/>
        <v>0</v>
      </c>
      <c r="I321" s="12">
        <f t="shared" si="13"/>
        <v>0</v>
      </c>
      <c r="J321" s="13">
        <f t="shared" si="14"/>
        <v>0</v>
      </c>
      <c r="K321" s="12" t="str">
        <f>IF(C321="","",IFERROR(INDEX(Listen!$B$2:$B$100,MATCH(C321,Listen!$A$2:$A$100,0)),""))</f>
        <v/>
      </c>
    </row>
    <row r="322" spans="1:11" x14ac:dyDescent="0.25">
      <c r="A322" s="11"/>
      <c r="B322" s="5"/>
      <c r="C322" s="5"/>
      <c r="D322" s="5"/>
      <c r="E322" s="5"/>
      <c r="F322" s="5"/>
      <c r="G322" s="6"/>
      <c r="H322" s="12">
        <f t="shared" si="12"/>
        <v>0</v>
      </c>
      <c r="I322" s="12">
        <f t="shared" si="13"/>
        <v>0</v>
      </c>
      <c r="J322" s="13">
        <f t="shared" si="14"/>
        <v>0</v>
      </c>
      <c r="K322" s="12" t="str">
        <f>IF(C322="","",IFERROR(INDEX(Listen!$B$2:$B$100,MATCH(C322,Listen!$A$2:$A$100,0)),""))</f>
        <v/>
      </c>
    </row>
    <row r="323" spans="1:11" x14ac:dyDescent="0.25">
      <c r="A323" s="11"/>
      <c r="B323" s="5"/>
      <c r="C323" s="5"/>
      <c r="D323" s="5"/>
      <c r="E323" s="5"/>
      <c r="F323" s="5"/>
      <c r="G323" s="6"/>
      <c r="H323" s="12">
        <f t="shared" si="12"/>
        <v>0</v>
      </c>
      <c r="I323" s="12">
        <f t="shared" si="13"/>
        <v>0</v>
      </c>
      <c r="J323" s="13">
        <f t="shared" si="14"/>
        <v>0</v>
      </c>
      <c r="K323" s="12" t="str">
        <f>IF(C323="","",IFERROR(INDEX(Listen!$B$2:$B$100,MATCH(C323,Listen!$A$2:$A$100,0)),""))</f>
        <v/>
      </c>
    </row>
    <row r="324" spans="1:11" x14ac:dyDescent="0.25">
      <c r="A324" s="11"/>
      <c r="B324" s="5"/>
      <c r="C324" s="5"/>
      <c r="D324" s="5"/>
      <c r="E324" s="5"/>
      <c r="F324" s="5"/>
      <c r="G324" s="6"/>
      <c r="H324" s="12">
        <f t="shared" si="12"/>
        <v>0</v>
      </c>
      <c r="I324" s="12">
        <f t="shared" si="13"/>
        <v>0</v>
      </c>
      <c r="J324" s="13">
        <f t="shared" si="14"/>
        <v>0</v>
      </c>
      <c r="K324" s="12" t="str">
        <f>IF(C324="","",IFERROR(INDEX(Listen!$B$2:$B$100,MATCH(C324,Listen!$A$2:$A$100,0)),""))</f>
        <v/>
      </c>
    </row>
    <row r="325" spans="1:11" x14ac:dyDescent="0.25">
      <c r="A325" s="11"/>
      <c r="B325" s="5"/>
      <c r="C325" s="5"/>
      <c r="D325" s="5"/>
      <c r="E325" s="5"/>
      <c r="F325" s="5"/>
      <c r="G325" s="6"/>
      <c r="H325" s="12">
        <f t="shared" si="12"/>
        <v>0</v>
      </c>
      <c r="I325" s="12">
        <f t="shared" si="13"/>
        <v>0</v>
      </c>
      <c r="J325" s="13">
        <f t="shared" si="14"/>
        <v>0</v>
      </c>
      <c r="K325" s="12" t="str">
        <f>IF(C325="","",IFERROR(INDEX(Listen!$B$2:$B$100,MATCH(C325,Listen!$A$2:$A$100,0)),""))</f>
        <v/>
      </c>
    </row>
    <row r="326" spans="1:11" x14ac:dyDescent="0.25">
      <c r="A326" s="11"/>
      <c r="B326" s="5"/>
      <c r="C326" s="5"/>
      <c r="D326" s="5"/>
      <c r="E326" s="5"/>
      <c r="F326" s="5"/>
      <c r="G326" s="6"/>
      <c r="H326" s="12">
        <f t="shared" si="12"/>
        <v>0</v>
      </c>
      <c r="I326" s="12">
        <f t="shared" si="13"/>
        <v>0</v>
      </c>
      <c r="J326" s="13">
        <f t="shared" si="14"/>
        <v>0</v>
      </c>
      <c r="K326" s="12" t="str">
        <f>IF(C326="","",IFERROR(INDEX(Listen!$B$2:$B$100,MATCH(C326,Listen!$A$2:$A$100,0)),""))</f>
        <v/>
      </c>
    </row>
    <row r="327" spans="1:11" x14ac:dyDescent="0.25">
      <c r="A327" s="11"/>
      <c r="B327" s="5"/>
      <c r="C327" s="5"/>
      <c r="D327" s="5"/>
      <c r="E327" s="5"/>
      <c r="F327" s="5"/>
      <c r="G327" s="6"/>
      <c r="H327" s="12">
        <f t="shared" si="12"/>
        <v>0</v>
      </c>
      <c r="I327" s="12">
        <f t="shared" si="13"/>
        <v>0</v>
      </c>
      <c r="J327" s="13">
        <f t="shared" si="14"/>
        <v>0</v>
      </c>
      <c r="K327" s="12" t="str">
        <f>IF(C327="","",IFERROR(INDEX(Listen!$B$2:$B$100,MATCH(C327,Listen!$A$2:$A$100,0)),""))</f>
        <v/>
      </c>
    </row>
    <row r="328" spans="1:11" x14ac:dyDescent="0.25">
      <c r="A328" s="11"/>
      <c r="B328" s="5"/>
      <c r="C328" s="5"/>
      <c r="D328" s="5"/>
      <c r="E328" s="5"/>
      <c r="F328" s="5"/>
      <c r="G328" s="6"/>
      <c r="H328" s="12">
        <f t="shared" si="12"/>
        <v>0</v>
      </c>
      <c r="I328" s="12">
        <f t="shared" si="13"/>
        <v>0</v>
      </c>
      <c r="J328" s="13">
        <f t="shared" si="14"/>
        <v>0</v>
      </c>
      <c r="K328" s="12" t="str">
        <f>IF(C328="","",IFERROR(INDEX(Listen!$B$2:$B$100,MATCH(C328,Listen!$A$2:$A$100,0)),""))</f>
        <v/>
      </c>
    </row>
    <row r="329" spans="1:11" x14ac:dyDescent="0.25">
      <c r="A329" s="11"/>
      <c r="B329" s="5"/>
      <c r="C329" s="5"/>
      <c r="D329" s="5"/>
      <c r="E329" s="5"/>
      <c r="F329" s="5"/>
      <c r="G329" s="6"/>
      <c r="H329" s="12">
        <f t="shared" si="12"/>
        <v>0</v>
      </c>
      <c r="I329" s="12">
        <f t="shared" si="13"/>
        <v>0</v>
      </c>
      <c r="J329" s="13">
        <f t="shared" si="14"/>
        <v>0</v>
      </c>
      <c r="K329" s="12" t="str">
        <f>IF(C329="","",IFERROR(INDEX(Listen!$B$2:$B$100,MATCH(C329,Listen!$A$2:$A$100,0)),""))</f>
        <v/>
      </c>
    </row>
    <row r="330" spans="1:11" x14ac:dyDescent="0.25">
      <c r="A330" s="11"/>
      <c r="B330" s="5"/>
      <c r="C330" s="5"/>
      <c r="D330" s="5"/>
      <c r="E330" s="5"/>
      <c r="F330" s="5"/>
      <c r="G330" s="6"/>
      <c r="H330" s="12">
        <f t="shared" si="12"/>
        <v>0</v>
      </c>
      <c r="I330" s="12">
        <f t="shared" si="13"/>
        <v>0</v>
      </c>
      <c r="J330" s="13">
        <f t="shared" si="14"/>
        <v>0</v>
      </c>
      <c r="K330" s="12" t="str">
        <f>IF(C330="","",IFERROR(INDEX(Listen!$B$2:$B$100,MATCH(C330,Listen!$A$2:$A$100,0)),""))</f>
        <v/>
      </c>
    </row>
  </sheetData>
  <mergeCells count="2">
    <mergeCell ref="A1:K1"/>
    <mergeCell ref="A2:K2"/>
  </mergeCells>
  <conditionalFormatting sqref="J6:J230">
    <cfRule type="cellIs" dxfId="1" priority="1" operator="lessThan">
      <formula>0</formula>
    </cfRule>
  </conditionalFormatting>
  <conditionalFormatting sqref="J231:J330">
    <cfRule type="cellIs" dxfId="0" priority="2" operator="lessThan">
      <formula>0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xr:uid="{00000000-0002-0000-0200-000000000000}">
          <x14:formula1>
            <xm:f>Listen!$J$2:$J$6</xm:f>
          </x14:formula1>
          <xm:sqref>B6:B330</xm:sqref>
        </x14:dataValidation>
        <x14:dataValidation type="list" xr:uid="{00000000-0002-0000-0200-000001000000}">
          <x14:formula1>
            <xm:f>Listen!$A$2:$A$24</xm:f>
          </x14:formula1>
          <xm:sqref>C6:C330</xm:sqref>
        </x14:dataValidation>
        <x14:dataValidation type="list" xr:uid="{00000000-0002-0000-0200-000002000000}">
          <x14:formula1>
            <xm:f>Listen!$H$2:$H$6</xm:f>
          </x14:formula1>
          <xm:sqref>E6:E330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50"/>
  <sheetViews>
    <sheetView workbookViewId="0"/>
  </sheetViews>
  <sheetFormatPr baseColWidth="10" defaultColWidth="9" defaultRowHeight="15" x14ac:dyDescent="0.25"/>
  <cols>
    <col min="1" max="1" width="28" customWidth="1"/>
    <col min="2" max="4" width="18" customWidth="1"/>
    <col min="5" max="6" width="14" customWidth="1"/>
    <col min="7" max="8" width="18" customWidth="1"/>
  </cols>
  <sheetData>
    <row r="1" spans="1:26" ht="16.5" x14ac:dyDescent="0.35">
      <c r="A1" s="23" t="s">
        <v>151</v>
      </c>
      <c r="B1" s="18"/>
      <c r="C1" s="18"/>
      <c r="D1" s="18"/>
      <c r="E1" s="18"/>
      <c r="F1" s="18"/>
      <c r="G1" s="18"/>
      <c r="H1" s="18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1" t="s">
        <v>85</v>
      </c>
      <c r="B3" s="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2" t="s">
        <v>153</v>
      </c>
      <c r="B4" s="7">
        <f>SUMIFS($D$13:$D$24,$A$13:$A$24,"Vermögenswert")</f>
        <v>60650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2" t="s">
        <v>154</v>
      </c>
      <c r="B5" s="7">
        <f>SUMIFS($D$13:$D$24,$A$13:$A$24,"Verbindlichkeit")</f>
        <v>7120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2" t="s">
        <v>35</v>
      </c>
      <c r="B6" s="7">
        <f>B4-B5</f>
        <v>53530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2" t="s">
        <v>155</v>
      </c>
      <c r="B7" s="7">
        <f>SUMIFS($D$13:$D$24,$A$13:$A$24,"Vermögenswert",$B$13:$B$24,"Liquidität")</f>
        <v>14250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2" t="s">
        <v>156</v>
      </c>
      <c r="B8" s="16">
        <f>IFERROR(B7/SUMIFS(Planung!$C$6:$C$28,Planung!$B$6:$B$28,"Bedarf"),0)</f>
        <v>6.8509615384615383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2" t="s">
        <v>157</v>
      </c>
      <c r="B9" s="14">
        <f>AVERAGE(F29:F34)</f>
        <v>0.55813131313131314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22" t="s">
        <v>158</v>
      </c>
      <c r="B11" s="18"/>
      <c r="C11" s="18"/>
      <c r="D11" s="18"/>
      <c r="E11" s="18"/>
      <c r="F11" s="18"/>
      <c r="G11" s="18"/>
      <c r="H11" s="18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1" t="s">
        <v>97</v>
      </c>
      <c r="B12" s="1" t="s">
        <v>12</v>
      </c>
      <c r="C12" s="1" t="s">
        <v>159</v>
      </c>
      <c r="D12" s="1" t="s">
        <v>101</v>
      </c>
      <c r="E12" s="1" t="s">
        <v>160</v>
      </c>
      <c r="F12" s="1" t="s">
        <v>89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0" x14ac:dyDescent="0.25">
      <c r="A13" s="5" t="s">
        <v>161</v>
      </c>
      <c r="B13" s="5" t="s">
        <v>162</v>
      </c>
      <c r="C13" s="5" t="s">
        <v>105</v>
      </c>
      <c r="D13" s="6">
        <v>2450</v>
      </c>
      <c r="E13" s="6">
        <v>3000</v>
      </c>
      <c r="F13" s="5" t="s">
        <v>163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5" t="s">
        <v>161</v>
      </c>
      <c r="B14" s="5" t="s">
        <v>162</v>
      </c>
      <c r="C14" s="5" t="s">
        <v>110</v>
      </c>
      <c r="D14" s="6">
        <v>11800</v>
      </c>
      <c r="E14" s="6">
        <v>15000</v>
      </c>
      <c r="F14" s="5" t="s">
        <v>45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45" x14ac:dyDescent="0.25">
      <c r="A15" s="5" t="s">
        <v>161</v>
      </c>
      <c r="B15" s="5" t="s">
        <v>164</v>
      </c>
      <c r="C15" s="5" t="s">
        <v>165</v>
      </c>
      <c r="D15" s="6">
        <v>28600</v>
      </c>
      <c r="E15" s="6">
        <v>50000</v>
      </c>
      <c r="F15" s="5" t="s">
        <v>166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" x14ac:dyDescent="0.25">
      <c r="A16" s="5" t="s">
        <v>161</v>
      </c>
      <c r="B16" s="5" t="s">
        <v>117</v>
      </c>
      <c r="C16" s="5" t="s">
        <v>167</v>
      </c>
      <c r="D16" s="6">
        <v>12200</v>
      </c>
      <c r="E16" s="6">
        <v>40000</v>
      </c>
      <c r="F16" s="5" t="s">
        <v>168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0" x14ac:dyDescent="0.25">
      <c r="A17" s="5" t="s">
        <v>161</v>
      </c>
      <c r="B17" s="5" t="s">
        <v>51</v>
      </c>
      <c r="C17" s="5" t="s">
        <v>120</v>
      </c>
      <c r="D17" s="6">
        <v>2100</v>
      </c>
      <c r="E17" s="6">
        <v>3000</v>
      </c>
      <c r="F17" s="5" t="s">
        <v>169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5" t="s">
        <v>161</v>
      </c>
      <c r="B18" s="5" t="s">
        <v>170</v>
      </c>
      <c r="C18" s="5" t="s">
        <v>171</v>
      </c>
      <c r="D18" s="6">
        <v>3500</v>
      </c>
      <c r="E18" s="6">
        <v>0</v>
      </c>
      <c r="F18" s="5" t="s">
        <v>172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5" t="s">
        <v>173</v>
      </c>
      <c r="B19" s="5" t="s">
        <v>126</v>
      </c>
      <c r="C19" s="5" t="s">
        <v>174</v>
      </c>
      <c r="D19" s="6">
        <v>6400</v>
      </c>
      <c r="E19" s="6">
        <v>0</v>
      </c>
      <c r="F19" s="5" t="s">
        <v>175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0" x14ac:dyDescent="0.25">
      <c r="A20" s="5" t="s">
        <v>173</v>
      </c>
      <c r="B20" s="5" t="s">
        <v>54</v>
      </c>
      <c r="C20" s="5" t="s">
        <v>176</v>
      </c>
      <c r="D20" s="6">
        <v>720</v>
      </c>
      <c r="E20" s="6">
        <v>0</v>
      </c>
      <c r="F20" s="5" t="s">
        <v>177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5">
      <c r="A21" s="5"/>
      <c r="B21" s="5"/>
      <c r="C21" s="5"/>
      <c r="D21" s="6"/>
      <c r="E21" s="6"/>
      <c r="F21" s="5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5">
      <c r="A22" s="5"/>
      <c r="B22" s="5"/>
      <c r="C22" s="5"/>
      <c r="D22" s="6"/>
      <c r="E22" s="6"/>
      <c r="F22" s="5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5">
      <c r="A23" s="5"/>
      <c r="B23" s="5"/>
      <c r="C23" s="5"/>
      <c r="D23" s="6"/>
      <c r="E23" s="6"/>
      <c r="F23" s="5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5">
      <c r="A24" s="5"/>
      <c r="B24" s="5"/>
      <c r="C24" s="5"/>
      <c r="D24" s="6"/>
      <c r="E24" s="6"/>
      <c r="F24" s="5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22" t="s">
        <v>178</v>
      </c>
      <c r="B27" s="18"/>
      <c r="C27" s="18"/>
      <c r="D27" s="18"/>
      <c r="E27" s="18"/>
      <c r="F27" s="18"/>
      <c r="G27" s="18"/>
      <c r="H27" s="18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0" x14ac:dyDescent="0.25">
      <c r="A28" s="1" t="s">
        <v>179</v>
      </c>
      <c r="B28" s="1" t="s">
        <v>160</v>
      </c>
      <c r="C28" s="1" t="s">
        <v>180</v>
      </c>
      <c r="D28" s="1" t="s">
        <v>181</v>
      </c>
      <c r="E28" s="1" t="s">
        <v>182</v>
      </c>
      <c r="F28" s="1" t="s">
        <v>183</v>
      </c>
      <c r="G28" s="1" t="s">
        <v>184</v>
      </c>
      <c r="H28" s="1" t="s">
        <v>185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5" t="s">
        <v>45</v>
      </c>
      <c r="B29" s="6">
        <v>15000</v>
      </c>
      <c r="C29" s="6">
        <f>SUMIFS($D$13:$D$24,$B$13:$B$24,"Liquidität")</f>
        <v>14250</v>
      </c>
      <c r="D29" s="6">
        <v>250</v>
      </c>
      <c r="E29" s="11">
        <v>46387</v>
      </c>
      <c r="F29" s="17">
        <f t="shared" ref="F29:F34" si="0">IFERROR(MIN(1,C29/B29),0)</f>
        <v>0.95</v>
      </c>
      <c r="G29" s="13">
        <f t="shared" ref="G29:G34" si="1">MAX(0,B29-C29)</f>
        <v>750</v>
      </c>
      <c r="H29" s="13">
        <f t="shared" ref="H29:H34" ca="1" si="2">IFERROR(G29/MAX(1,(YEAR(E29)-YEAR(TODAY()))*12+MONTH(E29)-MONTH(TODAY())),0)</f>
        <v>107.14285714285714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5">
      <c r="A30" s="5" t="s">
        <v>186</v>
      </c>
      <c r="B30" s="6">
        <v>4000</v>
      </c>
      <c r="C30" s="6">
        <v>1800</v>
      </c>
      <c r="D30" s="6">
        <v>190</v>
      </c>
      <c r="E30" s="11">
        <v>46568</v>
      </c>
      <c r="F30" s="17">
        <f t="shared" si="0"/>
        <v>0.45</v>
      </c>
      <c r="G30" s="13">
        <f t="shared" si="1"/>
        <v>2200</v>
      </c>
      <c r="H30" s="13">
        <f t="shared" ca="1" si="2"/>
        <v>169.23076923076923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5">
      <c r="A31" s="5" t="s">
        <v>187</v>
      </c>
      <c r="B31" s="6">
        <v>30000</v>
      </c>
      <c r="C31" s="6">
        <f>SUMIFS($D$13:$D$24,$B$13:$B$24,"Investment")</f>
        <v>28600</v>
      </c>
      <c r="D31" s="6">
        <v>350</v>
      </c>
      <c r="E31" s="11">
        <v>47848</v>
      </c>
      <c r="F31" s="17">
        <f t="shared" si="0"/>
        <v>0.95333333333333337</v>
      </c>
      <c r="G31" s="13">
        <f t="shared" si="1"/>
        <v>1400</v>
      </c>
      <c r="H31" s="13">
        <f t="shared" ca="1" si="2"/>
        <v>25.454545454545453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5">
      <c r="A32" s="5" t="s">
        <v>188</v>
      </c>
      <c r="B32" s="6">
        <v>2200</v>
      </c>
      <c r="C32" s="6">
        <v>650</v>
      </c>
      <c r="D32" s="6">
        <v>65</v>
      </c>
      <c r="E32" s="11">
        <v>46477</v>
      </c>
      <c r="F32" s="17">
        <f t="shared" si="0"/>
        <v>0.29545454545454547</v>
      </c>
      <c r="G32" s="13">
        <f t="shared" si="1"/>
        <v>1550</v>
      </c>
      <c r="H32" s="13">
        <f t="shared" ca="1" si="2"/>
        <v>155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5" t="s">
        <v>189</v>
      </c>
      <c r="B33" s="6">
        <v>3000</v>
      </c>
      <c r="C33" s="6">
        <f>SUMIFS($D$13:$D$24,$B$13:$B$24,"Rücklagen")</f>
        <v>2100</v>
      </c>
      <c r="D33" s="6">
        <v>120</v>
      </c>
      <c r="E33" s="11">
        <v>46356</v>
      </c>
      <c r="F33" s="17">
        <f t="shared" si="0"/>
        <v>0.7</v>
      </c>
      <c r="G33" s="13">
        <f t="shared" si="1"/>
        <v>900</v>
      </c>
      <c r="H33" s="13">
        <f t="shared" ca="1" si="2"/>
        <v>150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5" t="s">
        <v>190</v>
      </c>
      <c r="B34" s="6">
        <v>7120</v>
      </c>
      <c r="C34" s="6">
        <v>0</v>
      </c>
      <c r="D34" s="6">
        <v>300</v>
      </c>
      <c r="E34" s="11">
        <v>46934</v>
      </c>
      <c r="F34" s="17">
        <f t="shared" si="0"/>
        <v>0</v>
      </c>
      <c r="G34" s="13">
        <f t="shared" si="1"/>
        <v>7120</v>
      </c>
      <c r="H34" s="13">
        <f t="shared" ca="1" si="2"/>
        <v>284.8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</sheetData>
  <mergeCells count="3">
    <mergeCell ref="A1:H1"/>
    <mergeCell ref="A11:H11"/>
    <mergeCell ref="A27:H27"/>
  </mergeCells>
  <conditionalFormatting sqref="F29:F34">
    <cfRule type="dataBar" priority="1">
      <dataBar>
        <cfvo type="min"/>
        <cfvo type="max"/>
        <color rgb="FF22C55E"/>
      </dataBar>
    </cfRule>
    <cfRule type="dataBar" priority="2">
      <dataBar>
        <cfvo type="min"/>
        <cfvo type="max"/>
        <color rgb="FF22C55E"/>
      </dataBar>
      <extLst>
        <ext xmlns:x14="http://schemas.microsoft.com/office/spreadsheetml/2009/9/main" uri="{B025F937-C7B1-47D3-B67F-A62EFF666E3E}">
          <x14:id>{A6ED5651-2221-0509-1BBC-825FB27BF122}</x14:id>
        </ext>
      </extLst>
    </cfRule>
  </conditionalFormatting>
  <dataValidations count="2">
    <dataValidation type="list" sqref="A13:A24" xr:uid="{00000000-0002-0000-0300-000000000000}">
      <formula1>"Vermögenswert,Verbindlichkeit"</formula1>
    </dataValidation>
    <dataValidation type="list" sqref="B13:B24" xr:uid="{00000000-0002-0000-0300-000001000000}">
      <formula1>"Liquidität,Investment,Vorsorge,Rücklagen,Sachwerte,Kredit,Kreditkarte"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6ED5651-2221-0509-1BBC-825FB27BF122}">
            <x14:dataBar>
              <x14:cfvo type="min"/>
              <x14:cfvo type="max"/>
              <x14:negativeFillColor auto="1"/>
              <x14:axisColor auto="1"/>
            </x14:dataBar>
          </x14:cfRule>
          <xm:sqref>F29:F34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250"/>
  <sheetViews>
    <sheetView workbookViewId="0"/>
  </sheetViews>
  <sheetFormatPr baseColWidth="10" defaultColWidth="9" defaultRowHeight="15" x14ac:dyDescent="0.25"/>
  <cols>
    <col min="1" max="1" width="22" customWidth="1"/>
    <col min="2" max="3" width="16" customWidth="1"/>
    <col min="4" max="4" width="34" customWidth="1"/>
    <col min="6" max="6" width="14" customWidth="1"/>
    <col min="8" max="8" width="16" customWidth="1"/>
    <col min="10" max="10" width="18" customWidth="1"/>
    <col min="12" max="12" width="18" customWidth="1"/>
  </cols>
  <sheetData>
    <row r="1" spans="1:26" x14ac:dyDescent="0.25">
      <c r="A1" s="1" t="s">
        <v>12</v>
      </c>
      <c r="B1" s="1" t="s">
        <v>64</v>
      </c>
      <c r="C1" s="1" t="s">
        <v>97</v>
      </c>
      <c r="D1" s="1" t="s">
        <v>100</v>
      </c>
      <c r="E1" s="2"/>
      <c r="F1" s="1" t="s">
        <v>5</v>
      </c>
      <c r="G1" s="2"/>
      <c r="H1" s="1" t="s">
        <v>99</v>
      </c>
      <c r="I1" s="2"/>
      <c r="J1" s="1" t="s">
        <v>191</v>
      </c>
      <c r="K1" s="2"/>
      <c r="L1" s="1" t="s">
        <v>64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2" t="s">
        <v>80</v>
      </c>
      <c r="B2" s="2" t="s">
        <v>15</v>
      </c>
      <c r="C2" s="2" t="s">
        <v>103</v>
      </c>
      <c r="D2" s="2" t="s">
        <v>192</v>
      </c>
      <c r="E2" s="2"/>
      <c r="F2" s="2" t="s">
        <v>46</v>
      </c>
      <c r="G2" s="2"/>
      <c r="H2" s="2" t="s">
        <v>105</v>
      </c>
      <c r="I2" s="2"/>
      <c r="J2" s="2" t="s">
        <v>103</v>
      </c>
      <c r="K2" s="2"/>
      <c r="L2" s="2" t="s">
        <v>15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2" t="s">
        <v>81</v>
      </c>
      <c r="B3" s="2" t="s">
        <v>15</v>
      </c>
      <c r="C3" s="2" t="s">
        <v>103</v>
      </c>
      <c r="D3" s="2" t="s">
        <v>193</v>
      </c>
      <c r="E3" s="2"/>
      <c r="F3" s="2" t="s">
        <v>48</v>
      </c>
      <c r="G3" s="2"/>
      <c r="H3" s="2" t="s">
        <v>110</v>
      </c>
      <c r="I3" s="2"/>
      <c r="J3" s="2" t="s">
        <v>112</v>
      </c>
      <c r="K3" s="2"/>
      <c r="L3" s="2" t="s">
        <v>18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2" t="s">
        <v>82</v>
      </c>
      <c r="B4" s="2" t="s">
        <v>15</v>
      </c>
      <c r="C4" s="2" t="s">
        <v>103</v>
      </c>
      <c r="D4" s="2" t="s">
        <v>194</v>
      </c>
      <c r="E4" s="2"/>
      <c r="F4" s="2" t="s">
        <v>50</v>
      </c>
      <c r="G4" s="2"/>
      <c r="H4" s="2" t="s">
        <v>108</v>
      </c>
      <c r="I4" s="2"/>
      <c r="J4" s="2" t="s">
        <v>24</v>
      </c>
      <c r="K4" s="2"/>
      <c r="L4" s="2" t="s">
        <v>21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2" t="s">
        <v>83</v>
      </c>
      <c r="B5" s="2" t="s">
        <v>15</v>
      </c>
      <c r="C5" s="2" t="s">
        <v>103</v>
      </c>
      <c r="D5" s="2" t="s">
        <v>195</v>
      </c>
      <c r="E5" s="2"/>
      <c r="F5" s="2" t="s">
        <v>52</v>
      </c>
      <c r="G5" s="2"/>
      <c r="H5" s="2" t="s">
        <v>54</v>
      </c>
      <c r="I5" s="2"/>
      <c r="J5" s="2" t="s">
        <v>125</v>
      </c>
      <c r="K5" s="2"/>
      <c r="L5" s="2" t="s">
        <v>24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2" t="s">
        <v>16</v>
      </c>
      <c r="B6" s="2" t="s">
        <v>18</v>
      </c>
      <c r="C6" s="2" t="s">
        <v>112</v>
      </c>
      <c r="D6" s="2" t="s">
        <v>196</v>
      </c>
      <c r="E6" s="2"/>
      <c r="F6" s="2" t="s">
        <v>6</v>
      </c>
      <c r="G6" s="2"/>
      <c r="H6" s="2" t="s">
        <v>197</v>
      </c>
      <c r="I6" s="2"/>
      <c r="J6" s="2" t="s">
        <v>198</v>
      </c>
      <c r="K6" s="2"/>
      <c r="L6" s="2" t="s">
        <v>27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2" t="s">
        <v>19</v>
      </c>
      <c r="B7" s="2" t="s">
        <v>18</v>
      </c>
      <c r="C7" s="2" t="s">
        <v>112</v>
      </c>
      <c r="D7" s="2" t="s">
        <v>199</v>
      </c>
      <c r="E7" s="2"/>
      <c r="F7" s="2" t="s">
        <v>55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2" t="s">
        <v>22</v>
      </c>
      <c r="B8" s="2" t="s">
        <v>18</v>
      </c>
      <c r="C8" s="2" t="s">
        <v>112</v>
      </c>
      <c r="D8" s="2" t="s">
        <v>200</v>
      </c>
      <c r="E8" s="2"/>
      <c r="F8" s="2" t="s">
        <v>56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2" t="s">
        <v>25</v>
      </c>
      <c r="B9" s="2" t="s">
        <v>18</v>
      </c>
      <c r="C9" s="2" t="s">
        <v>112</v>
      </c>
      <c r="D9" s="2" t="s">
        <v>201</v>
      </c>
      <c r="E9" s="2"/>
      <c r="F9" s="2" t="s">
        <v>57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2" t="s">
        <v>28</v>
      </c>
      <c r="B10" s="2" t="s">
        <v>18</v>
      </c>
      <c r="C10" s="2" t="s">
        <v>112</v>
      </c>
      <c r="D10" s="2" t="s">
        <v>202</v>
      </c>
      <c r="E10" s="2"/>
      <c r="F10" s="2" t="s">
        <v>58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2" t="s">
        <v>30</v>
      </c>
      <c r="B11" s="2" t="s">
        <v>18</v>
      </c>
      <c r="C11" s="2" t="s">
        <v>112</v>
      </c>
      <c r="D11" s="2" t="s">
        <v>203</v>
      </c>
      <c r="E11" s="2"/>
      <c r="F11" s="2" t="s">
        <v>59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2" t="s">
        <v>32</v>
      </c>
      <c r="B12" s="2" t="s">
        <v>18</v>
      </c>
      <c r="C12" s="2" t="s">
        <v>112</v>
      </c>
      <c r="D12" s="2" t="s">
        <v>204</v>
      </c>
      <c r="E12" s="2"/>
      <c r="F12" s="2" t="s">
        <v>60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2" t="s">
        <v>34</v>
      </c>
      <c r="B13" s="2" t="s">
        <v>21</v>
      </c>
      <c r="C13" s="2" t="s">
        <v>112</v>
      </c>
      <c r="D13" s="2" t="s">
        <v>205</v>
      </c>
      <c r="E13" s="2"/>
      <c r="F13" s="2" t="s">
        <v>61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2" t="s">
        <v>36</v>
      </c>
      <c r="B14" s="2" t="s">
        <v>21</v>
      </c>
      <c r="C14" s="2" t="s">
        <v>112</v>
      </c>
      <c r="D14" s="2" t="s">
        <v>206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2" t="s">
        <v>38</v>
      </c>
      <c r="B15" s="2" t="s">
        <v>21</v>
      </c>
      <c r="C15" s="2" t="s">
        <v>112</v>
      </c>
      <c r="D15" s="2" t="s">
        <v>207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2" t="s">
        <v>39</v>
      </c>
      <c r="B16" s="2" t="s">
        <v>21</v>
      </c>
      <c r="C16" s="2" t="s">
        <v>112</v>
      </c>
      <c r="D16" s="2" t="s">
        <v>208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2" t="s">
        <v>40</v>
      </c>
      <c r="B17" s="2" t="s">
        <v>21</v>
      </c>
      <c r="C17" s="2" t="s">
        <v>112</v>
      </c>
      <c r="D17" s="2" t="s">
        <v>209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2" t="s">
        <v>42</v>
      </c>
      <c r="B18" s="2" t="s">
        <v>21</v>
      </c>
      <c r="C18" s="2" t="s">
        <v>112</v>
      </c>
      <c r="D18" s="2" t="s">
        <v>210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2" t="s">
        <v>45</v>
      </c>
      <c r="B19" s="2" t="s">
        <v>24</v>
      </c>
      <c r="C19" s="2" t="s">
        <v>24</v>
      </c>
      <c r="D19" s="2" t="s">
        <v>211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2" t="s">
        <v>47</v>
      </c>
      <c r="B20" s="2" t="s">
        <v>24</v>
      </c>
      <c r="C20" s="2" t="s">
        <v>24</v>
      </c>
      <c r="D20" s="2" t="s">
        <v>212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5">
      <c r="A21" s="2" t="s">
        <v>49</v>
      </c>
      <c r="B21" s="2" t="s">
        <v>24</v>
      </c>
      <c r="C21" s="2" t="s">
        <v>24</v>
      </c>
      <c r="D21" s="2" t="s">
        <v>213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5">
      <c r="A22" s="2" t="s">
        <v>51</v>
      </c>
      <c r="B22" s="2" t="s">
        <v>24</v>
      </c>
      <c r="C22" s="2" t="s">
        <v>24</v>
      </c>
      <c r="D22" s="2" t="s">
        <v>214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5">
      <c r="A23" s="2" t="s">
        <v>53</v>
      </c>
      <c r="B23" s="2" t="s">
        <v>27</v>
      </c>
      <c r="C23" s="2" t="s">
        <v>125</v>
      </c>
      <c r="D23" s="2" t="s">
        <v>215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5">
      <c r="A24" s="2" t="s">
        <v>54</v>
      </c>
      <c r="B24" s="2" t="s">
        <v>27</v>
      </c>
      <c r="C24" s="2" t="s">
        <v>125</v>
      </c>
      <c r="D24" s="2" t="s">
        <v>216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Übersicht</vt:lpstr>
      <vt:lpstr>Planung</vt:lpstr>
      <vt:lpstr>Buchungen</vt:lpstr>
      <vt:lpstr>Ziele &amp; Vermögen</vt:lpstr>
      <vt:lpstr>Listen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2026-05-30T11:15:45Z</dcterms:modified>
</cp:coreProperties>
</file>