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Vorlage Cloud\lohnabrechnung\"/>
    </mc:Choice>
  </mc:AlternateContent>
  <xr:revisionPtr revIDLastSave="0" documentId="13_ncr:1_{93CE18B1-05C9-407A-8D2B-AA6A89642F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hnabrechnung" sheetId="3" r:id="rId1"/>
    <sheet name="Einstellungen" sheetId="1" r:id="rId2"/>
    <sheet name="Monatsdaten 2026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3" l="1"/>
  <c r="B27" i="3"/>
  <c r="F25" i="3"/>
  <c r="B25" i="3"/>
  <c r="F24" i="3"/>
  <c r="B24" i="3"/>
  <c r="F17" i="3"/>
  <c r="F16" i="3"/>
  <c r="B16" i="3"/>
  <c r="F15" i="3"/>
  <c r="B15" i="3"/>
  <c r="B14" i="3"/>
  <c r="B13" i="3"/>
  <c r="F10" i="3"/>
  <c r="B10" i="3"/>
  <c r="F9" i="3"/>
  <c r="B9" i="3"/>
  <c r="F8" i="3"/>
  <c r="B8" i="3"/>
  <c r="F7" i="3"/>
  <c r="B7" i="3"/>
  <c r="V18" i="2"/>
  <c r="P18" i="2"/>
  <c r="Q18" i="2" s="1"/>
  <c r="X18" i="2" s="1"/>
  <c r="N18" i="2"/>
  <c r="M18" i="2"/>
  <c r="L18" i="2"/>
  <c r="K18" i="2"/>
  <c r="J18" i="2"/>
  <c r="I18" i="2"/>
  <c r="G18" i="2"/>
  <c r="E18" i="2"/>
  <c r="O18" i="2" s="1"/>
  <c r="V17" i="2"/>
  <c r="O17" i="2"/>
  <c r="N17" i="2"/>
  <c r="P17" i="2" s="1"/>
  <c r="Q17" i="2" s="1"/>
  <c r="X17" i="2" s="1"/>
  <c r="M17" i="2"/>
  <c r="L17" i="2"/>
  <c r="K17" i="2"/>
  <c r="J17" i="2"/>
  <c r="I17" i="2"/>
  <c r="G17" i="2"/>
  <c r="F17" i="2"/>
  <c r="H17" i="2" s="1"/>
  <c r="W17" i="2" s="1"/>
  <c r="E17" i="2"/>
  <c r="M16" i="2"/>
  <c r="L16" i="2"/>
  <c r="G16" i="2"/>
  <c r="E16" i="2"/>
  <c r="K16" i="2" s="1"/>
  <c r="M15" i="2"/>
  <c r="L15" i="2"/>
  <c r="K15" i="2"/>
  <c r="J15" i="2"/>
  <c r="G15" i="2"/>
  <c r="E15" i="2"/>
  <c r="I15" i="2" s="1"/>
  <c r="V14" i="2"/>
  <c r="N14" i="2"/>
  <c r="M14" i="2"/>
  <c r="L14" i="2"/>
  <c r="K14" i="2"/>
  <c r="J14" i="2"/>
  <c r="I14" i="2"/>
  <c r="G14" i="2"/>
  <c r="E14" i="2"/>
  <c r="F14" i="2" s="1"/>
  <c r="H14" i="2" s="1"/>
  <c r="W14" i="2" s="1"/>
  <c r="V13" i="2"/>
  <c r="R13" i="2"/>
  <c r="S13" i="2" s="1"/>
  <c r="O13" i="2"/>
  <c r="N13" i="2"/>
  <c r="M13" i="2"/>
  <c r="L13" i="2"/>
  <c r="K13" i="2"/>
  <c r="J13" i="2"/>
  <c r="I13" i="2"/>
  <c r="P13" i="2" s="1"/>
  <c r="G13" i="2"/>
  <c r="F13" i="2"/>
  <c r="H13" i="2" s="1"/>
  <c r="W13" i="2" s="1"/>
  <c r="E13" i="2"/>
  <c r="Q13" i="2" s="1"/>
  <c r="X13" i="2" s="1"/>
  <c r="G12" i="2"/>
  <c r="E12" i="2"/>
  <c r="V12" i="2" s="1"/>
  <c r="O11" i="2"/>
  <c r="N11" i="2"/>
  <c r="G11" i="2"/>
  <c r="E11" i="2"/>
  <c r="V11" i="2" s="1"/>
  <c r="V10" i="2"/>
  <c r="O10" i="2"/>
  <c r="N10" i="2"/>
  <c r="M10" i="2"/>
  <c r="L10" i="2"/>
  <c r="G10" i="2"/>
  <c r="E10" i="2"/>
  <c r="V9" i="2"/>
  <c r="R9" i="2"/>
  <c r="S9" i="2" s="1"/>
  <c r="O9" i="2"/>
  <c r="N9" i="2"/>
  <c r="M9" i="2"/>
  <c r="L9" i="2"/>
  <c r="K9" i="2"/>
  <c r="J9" i="2"/>
  <c r="G9" i="2"/>
  <c r="E9" i="2"/>
  <c r="V8" i="2"/>
  <c r="R8" i="2"/>
  <c r="S8" i="2" s="1"/>
  <c r="P8" i="2"/>
  <c r="Q8" i="2" s="1"/>
  <c r="X8" i="2" s="1"/>
  <c r="N8" i="2"/>
  <c r="M8" i="2"/>
  <c r="L8" i="2"/>
  <c r="K8" i="2"/>
  <c r="J8" i="2"/>
  <c r="I8" i="2"/>
  <c r="G8" i="2"/>
  <c r="E8" i="2"/>
  <c r="O8" i="2" s="1"/>
  <c r="V7" i="2"/>
  <c r="R7" i="2"/>
  <c r="F26" i="3" s="1"/>
  <c r="O7" i="2"/>
  <c r="F19" i="3" s="1"/>
  <c r="N7" i="2"/>
  <c r="M7" i="2"/>
  <c r="L7" i="2"/>
  <c r="K7" i="2"/>
  <c r="J7" i="2"/>
  <c r="F14" i="3" s="1"/>
  <c r="I7" i="2"/>
  <c r="F13" i="3" s="1"/>
  <c r="G7" i="2"/>
  <c r="B18" i="3" s="1"/>
  <c r="F7" i="2"/>
  <c r="E7" i="2"/>
  <c r="B38" i="1"/>
  <c r="B5" i="1"/>
  <c r="F27" i="3" s="1"/>
  <c r="P15" i="2" l="1"/>
  <c r="Q15" i="2" s="1"/>
  <c r="X15" i="2" s="1"/>
  <c r="F18" i="3"/>
  <c r="P7" i="2"/>
  <c r="H7" i="2"/>
  <c r="B17" i="3"/>
  <c r="F12" i="2"/>
  <c r="N16" i="2"/>
  <c r="R18" i="2"/>
  <c r="S18" i="2" s="1"/>
  <c r="O16" i="2"/>
  <c r="F11" i="2"/>
  <c r="H11" i="2" s="1"/>
  <c r="W11" i="2" s="1"/>
  <c r="H12" i="2"/>
  <c r="W12" i="2" s="1"/>
  <c r="N15" i="2"/>
  <c r="R17" i="2"/>
  <c r="S17" i="2" s="1"/>
  <c r="S7" i="2"/>
  <c r="B26" i="3" s="1"/>
  <c r="I12" i="2"/>
  <c r="O15" i="2"/>
  <c r="F10" i="2"/>
  <c r="J12" i="2"/>
  <c r="R16" i="2"/>
  <c r="I11" i="2"/>
  <c r="K12" i="2"/>
  <c r="O14" i="2"/>
  <c r="P14" i="2" s="1"/>
  <c r="Q14" i="2" s="1"/>
  <c r="X14" i="2" s="1"/>
  <c r="S16" i="2"/>
  <c r="F9" i="2"/>
  <c r="H9" i="2" s="1"/>
  <c r="W9" i="2" s="1"/>
  <c r="H10" i="2"/>
  <c r="W10" i="2" s="1"/>
  <c r="J11" i="2"/>
  <c r="L12" i="2"/>
  <c r="R15" i="2"/>
  <c r="S15" i="2" s="1"/>
  <c r="V16" i="2"/>
  <c r="B42" i="1"/>
  <c r="B43" i="1" s="1"/>
  <c r="I10" i="2"/>
  <c r="P10" i="2" s="1"/>
  <c r="Q10" i="2" s="1"/>
  <c r="X10" i="2" s="1"/>
  <c r="K11" i="2"/>
  <c r="M12" i="2"/>
  <c r="F8" i="2"/>
  <c r="H8" i="2" s="1"/>
  <c r="W8" i="2" s="1"/>
  <c r="J10" i="2"/>
  <c r="L11" i="2"/>
  <c r="N12" i="2"/>
  <c r="R14" i="2"/>
  <c r="V15" i="2"/>
  <c r="F18" i="2"/>
  <c r="H18" i="2" s="1"/>
  <c r="W18" i="2" s="1"/>
  <c r="I9" i="2"/>
  <c r="P9" i="2" s="1"/>
  <c r="Q9" i="2" s="1"/>
  <c r="X9" i="2" s="1"/>
  <c r="K10" i="2"/>
  <c r="M11" i="2"/>
  <c r="O12" i="2"/>
  <c r="S14" i="2"/>
  <c r="R12" i="2"/>
  <c r="F16" i="2"/>
  <c r="H16" i="2" s="1"/>
  <c r="W16" i="2" s="1"/>
  <c r="S12" i="2"/>
  <c r="R11" i="2"/>
  <c r="S11" i="2" s="1"/>
  <c r="F15" i="2"/>
  <c r="I16" i="2"/>
  <c r="R10" i="2"/>
  <c r="S10" i="2" s="1"/>
  <c r="H15" i="2"/>
  <c r="W15" i="2" s="1"/>
  <c r="J16" i="2"/>
  <c r="P12" i="2" l="1"/>
  <c r="Q12" i="2" s="1"/>
  <c r="X12" i="2" s="1"/>
  <c r="P16" i="2"/>
  <c r="Q16" i="2" s="1"/>
  <c r="X16" i="2" s="1"/>
  <c r="F20" i="3"/>
  <c r="Q7" i="2"/>
  <c r="B19" i="3"/>
  <c r="F28" i="3" s="1"/>
  <c r="W7" i="2"/>
  <c r="P11" i="2"/>
  <c r="Q11" i="2" s="1"/>
  <c r="X11" i="2" s="1"/>
  <c r="F21" i="3" l="1"/>
  <c r="X7" i="2"/>
</calcChain>
</file>

<file path=xl/sharedStrings.xml><?xml version="1.0" encoding="utf-8"?>
<sst xmlns="http://schemas.openxmlformats.org/spreadsheetml/2006/main" count="156" uniqueCount="127">
  <si>
    <t>Einstellungen · Lohnabrechnung Minijob 2026</t>
  </si>
  <si>
    <t>Abrechnungsjahr</t>
  </si>
  <si>
    <t>Kurz-Anleitung</t>
  </si>
  <si>
    <t>Minijob-Grenze monatlich</t>
  </si>
  <si>
    <t>1. Stammdaten und Beitragssätze prüfen.</t>
  </si>
  <si>
    <t>Jahresentgeltgrenze</t>
  </si>
  <si>
    <t>2. In „Monatsdaten 2026“ Stundenlohn, Stunden und sonstige Bezüge eintragen.</t>
  </si>
  <si>
    <t>Gesetzlicher Mindestlohn</t>
  </si>
  <si>
    <t>3. In „Lohnabrechnung“ den Monat wählen und die Abrechnung drucken oder als PDF speichern.</t>
  </si>
  <si>
    <t>Arbeitgeber / Firma</t>
  </si>
  <si>
    <t>Musterbetrieb GmbH</t>
  </si>
  <si>
    <t>Hinweis</t>
  </si>
  <si>
    <t>Anschrift Arbeitgeber</t>
  </si>
  <si>
    <t>Beispielstraße 12, 10115 Berlin</t>
  </si>
  <si>
    <t>Diese Vorlage ist ein Rechen- und Dokumentationsmuster.</t>
  </si>
  <si>
    <t>Betriebsnummer</t>
  </si>
  <si>
    <t>12345678</t>
  </si>
  <si>
    <t>Sie ersetzt keine steuerliche oder sozialversicherungsrechtliche Prüfung.</t>
  </si>
  <si>
    <t>Steuernummer</t>
  </si>
  <si>
    <t>12/345/67890</t>
  </si>
  <si>
    <t>Gelbe Felder sind Eingaben, blaue/graue Felder sind berechnet.</t>
  </si>
  <si>
    <t>Arbeitnehmer/in</t>
  </si>
  <si>
    <t>Laura Beispiel</t>
  </si>
  <si>
    <t>Personalnummer</t>
  </si>
  <si>
    <t>MJ-2026-001</t>
  </si>
  <si>
    <t>Anschrift Arbeitnehmer/in</t>
  </si>
  <si>
    <t>Musterweg 7, 10243 Berlin</t>
  </si>
  <si>
    <t>Beschäftigungsbeginn</t>
  </si>
  <si>
    <t>01.01.2026</t>
  </si>
  <si>
    <t>Beschäftigungsart</t>
  </si>
  <si>
    <t>Gewerblicher Betrieb</t>
  </si>
  <si>
    <t>Krankenversicherung</t>
  </si>
  <si>
    <t>gesetzlich</t>
  </si>
  <si>
    <t>Rentenversicherung</t>
  </si>
  <si>
    <t>pflichtig</t>
  </si>
  <si>
    <t>Pauschsteuer trägt</t>
  </si>
  <si>
    <t>Arbeitgeber</t>
  </si>
  <si>
    <t>Zahlungsart</t>
  </si>
  <si>
    <t>Überweisung</t>
  </si>
  <si>
    <t>IBAN</t>
  </si>
  <si>
    <t>DE00 0000 0000 0000 0000 00</t>
  </si>
  <si>
    <t>Unfallversicherung gewerblich</t>
  </si>
  <si>
    <t>Beitragssätze 2026</t>
  </si>
  <si>
    <t>Satz</t>
  </si>
  <si>
    <t>KV pauschal gewerblich</t>
  </si>
  <si>
    <t>KV pauschal Privathaushalt</t>
  </si>
  <si>
    <t>RV pauschal gewerblich</t>
  </si>
  <si>
    <t>RV pauschal Privathaushalt</t>
  </si>
  <si>
    <t>Pauschsteuer</t>
  </si>
  <si>
    <t>Umlage U1</t>
  </si>
  <si>
    <t>Umlage U2</t>
  </si>
  <si>
    <t>Insolvenzgeldumlage</t>
  </si>
  <si>
    <t>Unfallversicherung Privathaushalt</t>
  </si>
  <si>
    <t>RV Arbeitnehmeranteil</t>
  </si>
  <si>
    <t>Max. Stunden bei Mindestlohn</t>
  </si>
  <si>
    <t>Jahreskontrolle</t>
  </si>
  <si>
    <t>Brutto gesamt 2026</t>
  </si>
  <si>
    <t>Status</t>
  </si>
  <si>
    <t>Monatsdaten 2026 · Minijob-Lohnabrechnung</t>
  </si>
  <si>
    <t>Eingabe: Monatliche Stunden, Stundenlohn und ggf. sonstige Bezüge eintragen. Alle Abzüge, Arbeitgeberabgaben und Kontrollen werden automatisch berechnet.</t>
  </si>
  <si>
    <t>Monat</t>
  </si>
  <si>
    <t>Arbeitsstunden</t>
  </si>
  <si>
    <t>Stundenlohn</t>
  </si>
  <si>
    <t>Sonstige Bezüge</t>
  </si>
  <si>
    <t>Bruttoentgelt</t>
  </si>
  <si>
    <t>RV AN</t>
  </si>
  <si>
    <t>Pauschsteuer AN</t>
  </si>
  <si>
    <t>Netto-Auszahlung</t>
  </si>
  <si>
    <t>KV AG</t>
  </si>
  <si>
    <t>RV AG</t>
  </si>
  <si>
    <t>Pauschsteuer AG</t>
  </si>
  <si>
    <t>U1</t>
  </si>
  <si>
    <t>U2</t>
  </si>
  <si>
    <t>Insolvenzgeld</t>
  </si>
  <si>
    <t>Unfallversicherung</t>
  </si>
  <si>
    <t>AG-Abgaben</t>
  </si>
  <si>
    <t>Arbeitgeberkosten</t>
  </si>
  <si>
    <t>Kumuliertes Jahresentgelt</t>
  </si>
  <si>
    <t>Prüfung</t>
  </si>
  <si>
    <t>Brutto</t>
  </si>
  <si>
    <t>Netto</t>
  </si>
  <si>
    <t>Januar</t>
  </si>
  <si>
    <t>Jan</t>
  </si>
  <si>
    <t>Februar</t>
  </si>
  <si>
    <t>Feb</t>
  </si>
  <si>
    <t>März</t>
  </si>
  <si>
    <t>Mrz</t>
  </si>
  <si>
    <t>April</t>
  </si>
  <si>
    <t>Apr</t>
  </si>
  <si>
    <t>Mai</t>
  </si>
  <si>
    <t>Juni</t>
  </si>
  <si>
    <t>Jun</t>
  </si>
  <si>
    <t>Juli</t>
  </si>
  <si>
    <t>Jul</t>
  </si>
  <si>
    <t>August</t>
  </si>
  <si>
    <t>Aug</t>
  </si>
  <si>
    <t>September</t>
  </si>
  <si>
    <t>Sep</t>
  </si>
  <si>
    <t>Oktober</t>
  </si>
  <si>
    <t>Okt</t>
  </si>
  <si>
    <t>November</t>
  </si>
  <si>
    <t>Nov</t>
  </si>
  <si>
    <t>Dezember</t>
  </si>
  <si>
    <t>Dez</t>
  </si>
  <si>
    <t>Lohnabrechnung Minijob 2026</t>
  </si>
  <si>
    <t>Abrechnungsmonat</t>
  </si>
  <si>
    <t>Firma</t>
  </si>
  <si>
    <t>Name</t>
  </si>
  <si>
    <t>Anschrift</t>
  </si>
  <si>
    <t>Verdienst und Auszahlung</t>
  </si>
  <si>
    <t>Arbeitgeberabgaben und Kosten</t>
  </si>
  <si>
    <t>Krankenversicherung AG</t>
  </si>
  <si>
    <t>Rentenversicherung AG</t>
  </si>
  <si>
    <t>Pauschsteuer Arbeitnehmer</t>
  </si>
  <si>
    <t>AG-Abgaben gesamt</t>
  </si>
  <si>
    <t>Arbeitgeberkosten gesamt</t>
  </si>
  <si>
    <t>Prüfung und Hinweise</t>
  </si>
  <si>
    <t>Monatsprüfung</t>
  </si>
  <si>
    <t>Jahresstand bis Monat</t>
  </si>
  <si>
    <t>Minijob-Grenze 2026</t>
  </si>
  <si>
    <t>Jahresentgeltgrenze 2026</t>
  </si>
  <si>
    <t>Auszahlung</t>
  </si>
  <si>
    <t>Vorlage zur internen Berechnung. Bitte Beitragssätze und Status vor Verwendung prüfen.</t>
  </si>
  <si>
    <t>Erstellt am</t>
  </si>
  <si>
    <t>31.01.2026</t>
  </si>
  <si>
    <t>Unterschrift Arbeitgeber</t>
  </si>
  <si>
    <t>Unterschrift Arbeitnehmer/in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</si>
</sst>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\€"/>
    <numFmt numFmtId="166" formatCode="mmmm"/>
    <numFmt numFmtId="167" formatCode="mmm"/>
    <numFmt numFmtId="168" formatCode="#,##0\ \€"/>
  </numFmts>
  <fonts count="8" x14ac:knownFonts="1">
    <font>
      <sz val="11"/>
      <name val="Carlito"/>
    </font>
    <font>
      <b/>
      <sz val="11"/>
      <name val="Carlito"/>
    </font>
    <font>
      <b/>
      <sz val="11"/>
      <color rgb="FFFFFFFF"/>
      <name val="Carlito"/>
    </font>
    <font>
      <i/>
      <sz val="11"/>
      <name val="Carlito"/>
    </font>
    <font>
      <b/>
      <sz val="10"/>
      <color rgb="FFFFFFFF"/>
      <name val="Aptos"/>
    </font>
    <font>
      <sz val="10"/>
      <name val="Aptos"/>
    </font>
    <font>
      <sz val="11"/>
      <name val="Carlito"/>
    </font>
    <font>
      <b/>
      <sz val="25"/>
      <color rgb="FFFFFFFF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F3F8FC"/>
      </patternFill>
    </fill>
    <fill>
      <patternFill patternType="solid">
        <fgColor rgb="FFFFFFFF"/>
      </patternFill>
    </fill>
    <fill>
      <patternFill patternType="solid">
        <f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1" fillId="3" borderId="0" xfId="1" applyFont="1" applyFill="1"/>
    <xf numFmtId="0" fontId="0" fillId="4" borderId="0" xfId="1" applyFont="1" applyFill="1"/>
    <xf numFmtId="0" fontId="1" fillId="5" borderId="0" xfId="1" applyFont="1" applyFill="1"/>
    <xf numFmtId="164" fontId="0" fillId="4" borderId="0" xfId="1" applyNumberFormat="1" applyFont="1" applyFill="1"/>
    <xf numFmtId="164" fontId="0" fillId="0" borderId="0" xfId="1" applyNumberFormat="1" applyFont="1"/>
    <xf numFmtId="10" fontId="0" fillId="4" borderId="0" xfId="1" applyNumberFormat="1" applyFont="1" applyFill="1"/>
    <xf numFmtId="2" fontId="0" fillId="0" borderId="0" xfId="1" applyNumberFormat="1" applyFont="1"/>
    <xf numFmtId="164" fontId="1" fillId="5" borderId="0" xfId="1" applyNumberFormat="1" applyFont="1" applyFill="1"/>
    <xf numFmtId="0" fontId="0" fillId="6" borderId="0" xfId="1" applyFont="1" applyFill="1" applyAlignment="1">
      <alignment vertical="top" wrapText="1"/>
    </xf>
    <xf numFmtId="0" fontId="2" fillId="2" borderId="0" xfId="1" applyFont="1" applyFill="1" applyAlignment="1">
      <alignment horizontal="center" vertical="center" wrapText="1"/>
    </xf>
    <xf numFmtId="2" fontId="0" fillId="4" borderId="0" xfId="1" applyNumberFormat="1" applyFont="1" applyFill="1" applyAlignment="1">
      <alignment vertical="center"/>
    </xf>
    <xf numFmtId="164" fontId="0" fillId="4" borderId="0" xfId="1" applyNumberFormat="1" applyFont="1" applyFill="1" applyAlignment="1">
      <alignment vertical="center"/>
    </xf>
    <xf numFmtId="166" fontId="0" fillId="6" borderId="0" xfId="1" applyNumberFormat="1" applyFont="1" applyFill="1" applyAlignment="1">
      <alignment vertical="center"/>
    </xf>
    <xf numFmtId="164" fontId="0" fillId="7" borderId="0" xfId="1" applyNumberFormat="1" applyFont="1" applyFill="1" applyAlignment="1">
      <alignment vertical="center"/>
    </xf>
    <xf numFmtId="164" fontId="0" fillId="8" borderId="0" xfId="1" applyNumberFormat="1" applyFont="1" applyFill="1" applyAlignment="1">
      <alignment vertical="center"/>
    </xf>
    <xf numFmtId="0" fontId="0" fillId="8" borderId="0" xfId="1" applyFont="1" applyFill="1" applyAlignment="1">
      <alignment vertical="center" wrapText="1"/>
    </xf>
    <xf numFmtId="167" fontId="0" fillId="0" borderId="0" xfId="1" applyNumberFormat="1" applyFont="1"/>
    <xf numFmtId="168" fontId="0" fillId="0" borderId="0" xfId="1" applyNumberFormat="1" applyFont="1"/>
    <xf numFmtId="0" fontId="1" fillId="8" borderId="0" xfId="1" applyFont="1" applyFill="1"/>
    <xf numFmtId="164" fontId="1" fillId="8" borderId="0" xfId="1" applyNumberFormat="1" applyFont="1" applyFill="1"/>
    <xf numFmtId="0" fontId="5" fillId="0" borderId="0" xfId="1" applyFont="1"/>
    <xf numFmtId="49" fontId="0" fillId="4" borderId="0" xfId="1" applyNumberFormat="1" applyFont="1" applyFill="1"/>
    <xf numFmtId="49" fontId="0" fillId="0" borderId="0" xfId="1" applyNumberFormat="1" applyFont="1"/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/>
    </xf>
    <xf numFmtId="0" fontId="3" fillId="6" borderId="0" xfId="1" applyFont="1" applyFill="1" applyAlignment="1">
      <alignment wrapText="1"/>
    </xf>
    <xf numFmtId="0" fontId="0" fillId="0" borderId="0" xfId="1" applyFont="1" applyAlignment="1">
      <alignment wrapText="1"/>
    </xf>
    <xf numFmtId="49" fontId="0" fillId="0" borderId="0" xfId="1" applyNumberFormat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1" applyFont="1" applyAlignment="1">
      <alignment vertical="top" wrapText="1"/>
    </xf>
    <xf numFmtId="0" fontId="7" fillId="2" borderId="0" xfId="1" applyFont="1" applyFill="1" applyAlignment="1">
      <alignment horizontal="center" vertical="center"/>
    </xf>
  </cellXfs>
  <cellStyles count="2">
    <cellStyle name="Normal" xfId="1" xr:uid="{00000000-0005-0000-0000-000000000000}"/>
    <cellStyle name="Standard" xfId="0" builtinId="0"/>
  </cellStyles>
  <dxfs count="7">
    <dxf>
      <font>
        <b/>
        <color rgb="FF9C0006"/>
      </font>
      <fill>
        <patternFill patternType="solid">
          <bgColor rgb="FFFCE4D6"/>
        </patternFill>
      </fill>
    </dxf>
    <dxf>
      <font>
        <b/>
        <color rgb="FF375623"/>
      </font>
      <fill>
        <patternFill patternType="solid">
          <bgColor rgb="FFE2F0D9"/>
        </patternFill>
      </fill>
    </dxf>
    <dxf>
      <font>
        <color rgb="FF9C0006"/>
      </font>
      <fill>
        <patternFill patternType="solid">
          <bgColor rgb="FFFCE4D6"/>
        </patternFill>
      </fill>
    </dxf>
    <dxf>
      <font>
        <color rgb="FF375623"/>
      </font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Brutto</c:v>
          </c:tx>
          <c:invertIfNegative val="1"/>
          <c:cat>
            <c:strRef>
              <c:f>'Monatsdaten 2026'!$U$7:$U$18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'Monatsdaten 2026'!$V$7:$V$18</c:f>
              <c:numCache>
                <c:formatCode>#,##0\ \€</c:formatCode>
                <c:ptCount val="12"/>
                <c:pt idx="0">
                  <c:v>593.79999999999995</c:v>
                </c:pt>
                <c:pt idx="1">
                  <c:v>541.5</c:v>
                </c:pt>
                <c:pt idx="2">
                  <c:v>597.70000000000005</c:v>
                </c:pt>
                <c:pt idx="3">
                  <c:v>560</c:v>
                </c:pt>
                <c:pt idx="4">
                  <c:v>611.6</c:v>
                </c:pt>
                <c:pt idx="5">
                  <c:v>545</c:v>
                </c:pt>
                <c:pt idx="6">
                  <c:v>602.29</c:v>
                </c:pt>
                <c:pt idx="7">
                  <c:v>529.25</c:v>
                </c:pt>
                <c:pt idx="8">
                  <c:v>589</c:v>
                </c:pt>
                <c:pt idx="9">
                  <c:v>555.75</c:v>
                </c:pt>
                <c:pt idx="10">
                  <c:v>590.75</c:v>
                </c:pt>
                <c:pt idx="11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F-4452-BA62-0B65F91FADFC}"/>
            </c:ext>
          </c:extLst>
        </c:ser>
        <c:ser>
          <c:idx val="1"/>
          <c:order val="1"/>
          <c:tx>
            <c:v>Netto</c:v>
          </c:tx>
          <c:invertIfNegative val="1"/>
          <c:cat>
            <c:strRef>
              <c:f>'Monatsdaten 2026'!$U$7:$U$18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'Monatsdaten 2026'!$W$7:$W$18</c:f>
              <c:numCache>
                <c:formatCode>#,##0\ \€</c:formatCode>
                <c:ptCount val="12"/>
                <c:pt idx="0">
                  <c:v>572.41999999999996</c:v>
                </c:pt>
                <c:pt idx="1">
                  <c:v>522.01</c:v>
                </c:pt>
                <c:pt idx="2">
                  <c:v>576.17999999999995</c:v>
                </c:pt>
                <c:pt idx="3">
                  <c:v>539.84</c:v>
                </c:pt>
                <c:pt idx="4">
                  <c:v>589.58000000000004</c:v>
                </c:pt>
                <c:pt idx="5">
                  <c:v>525.38</c:v>
                </c:pt>
                <c:pt idx="6">
                  <c:v>580.61</c:v>
                </c:pt>
                <c:pt idx="7">
                  <c:v>510.2</c:v>
                </c:pt>
                <c:pt idx="8">
                  <c:v>567.79999999999995</c:v>
                </c:pt>
                <c:pt idx="9">
                  <c:v>535.74</c:v>
                </c:pt>
                <c:pt idx="10">
                  <c:v>569.48</c:v>
                </c:pt>
                <c:pt idx="11">
                  <c:v>457.9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F-4452-BA62-0B65F91FADFC}"/>
            </c:ext>
          </c:extLst>
        </c:ser>
        <c:ser>
          <c:idx val="2"/>
          <c:order val="2"/>
          <c:tx>
            <c:v>Arbeitgeberkosten</c:v>
          </c:tx>
          <c:invertIfNegative val="1"/>
          <c:cat>
            <c:strRef>
              <c:f>'Monatsdaten 2026'!$U$7:$U$18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'Monatsdaten 2026'!$X$7:$X$18</c:f>
              <c:numCache>
                <c:formatCode>#,##0\ \€</c:formatCode>
                <c:ptCount val="12"/>
                <c:pt idx="0">
                  <c:v>786.61</c:v>
                </c:pt>
                <c:pt idx="1">
                  <c:v>717.33</c:v>
                </c:pt>
                <c:pt idx="2">
                  <c:v>791.77</c:v>
                </c:pt>
                <c:pt idx="3">
                  <c:v>741.83</c:v>
                </c:pt>
                <c:pt idx="4">
                  <c:v>810.19</c:v>
                </c:pt>
                <c:pt idx="5">
                  <c:v>721.97</c:v>
                </c:pt>
                <c:pt idx="6">
                  <c:v>797.86</c:v>
                </c:pt>
                <c:pt idx="7">
                  <c:v>701.09</c:v>
                </c:pt>
                <c:pt idx="8">
                  <c:v>780.25</c:v>
                </c:pt>
                <c:pt idx="9">
                  <c:v>736.2</c:v>
                </c:pt>
                <c:pt idx="10">
                  <c:v>782.58</c:v>
                </c:pt>
                <c:pt idx="11">
                  <c:v>629.24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0F-4452-BA62-0B65F91FA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19</xdr:col>
      <xdr:colOff>0</xdr:colOff>
      <xdr:row>38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inijobMonatsdaten2026" displayName="MinijobMonatsdaten2026" ref="A6:S18">
  <tableColumns count="19">
    <tableColumn id="1" xr3:uid="{00000000-0010-0000-0000-000001000000}" name="Monat"/>
    <tableColumn id="2" xr3:uid="{00000000-0010-0000-0000-000002000000}" name="Arbeitsstunden"/>
    <tableColumn id="3" xr3:uid="{00000000-0010-0000-0000-000003000000}" name="Stundenlohn"/>
    <tableColumn id="4" xr3:uid="{00000000-0010-0000-0000-000004000000}" name="Sonstige Bezüge"/>
    <tableColumn id="5" xr3:uid="{00000000-0010-0000-0000-000005000000}" name="Bruttoentgelt"/>
    <tableColumn id="6" xr3:uid="{00000000-0010-0000-0000-000006000000}" name="RV AN"/>
    <tableColumn id="7" xr3:uid="{00000000-0010-0000-0000-000007000000}" name="Pauschsteuer AN"/>
    <tableColumn id="8" xr3:uid="{00000000-0010-0000-0000-000008000000}" name="Netto-Auszahlung"/>
    <tableColumn id="9" xr3:uid="{00000000-0010-0000-0000-000009000000}" name="KV AG"/>
    <tableColumn id="10" xr3:uid="{00000000-0010-0000-0000-00000A000000}" name="RV AG"/>
    <tableColumn id="11" xr3:uid="{00000000-0010-0000-0000-00000B000000}" name="Pauschsteuer AG"/>
    <tableColumn id="12" xr3:uid="{00000000-0010-0000-0000-00000C000000}" name="U1"/>
    <tableColumn id="13" xr3:uid="{00000000-0010-0000-0000-00000D000000}" name="U2"/>
    <tableColumn id="14" xr3:uid="{00000000-0010-0000-0000-00000E000000}" name="Insolvenzgeld"/>
    <tableColumn id="15" xr3:uid="{00000000-0010-0000-0000-00000F000000}" name="Unfallversicherung"/>
    <tableColumn id="16" xr3:uid="{00000000-0010-0000-0000-000010000000}" name="AG-Abgaben"/>
    <tableColumn id="17" xr3:uid="{00000000-0010-0000-0000-000011000000}" name="Arbeitgeberkosten"/>
    <tableColumn id="18" xr3:uid="{00000000-0010-0000-0000-000012000000}" name="Kumuliertes Jahresentgelt"/>
    <tableColumn id="19" xr3:uid="{00000000-0010-0000-0000-000013000000}" name="Prüf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4"/>
  <sheetViews>
    <sheetView tabSelected="1" workbookViewId="0">
      <selection activeCell="N7" sqref="N7"/>
    </sheetView>
  </sheetViews>
  <sheetFormatPr baseColWidth="10" defaultColWidth="9" defaultRowHeight="15" x14ac:dyDescent="0.25"/>
  <cols>
    <col min="1" max="1" width="24" customWidth="1"/>
    <col min="2" max="2" width="22" customWidth="1"/>
    <col min="3" max="4" width="8" customWidth="1"/>
    <col min="5" max="5" width="24" customWidth="1"/>
    <col min="6" max="6" width="22" customWidth="1"/>
    <col min="7" max="8" width="8" customWidth="1"/>
  </cols>
  <sheetData>
    <row r="1" spans="1:26" ht="30" customHeight="1" x14ac:dyDescent="0.25">
      <c r="A1" s="31" t="s">
        <v>104</v>
      </c>
      <c r="B1" s="31"/>
      <c r="C1" s="31"/>
      <c r="D1" s="31"/>
      <c r="E1" s="31"/>
      <c r="F1" s="31"/>
      <c r="G1" s="31"/>
      <c r="H1" s="3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20.100000000000001" customHeight="1" x14ac:dyDescent="0.25"/>
    <row r="3" spans="1:26" ht="20.100000000000001" customHeight="1" x14ac:dyDescent="0.25">
      <c r="A3" s="1" t="s">
        <v>105</v>
      </c>
      <c r="B3" s="22" t="s">
        <v>81</v>
      </c>
    </row>
    <row r="4" spans="1:26" ht="20.100000000000001" customHeight="1" x14ac:dyDescent="0.25">
      <c r="A4" s="1" t="s">
        <v>1</v>
      </c>
      <c r="B4" s="2">
        <v>2026</v>
      </c>
    </row>
    <row r="5" spans="1:26" ht="20.100000000000001" customHeight="1" x14ac:dyDescent="0.25"/>
    <row r="6" spans="1:26" ht="20.100000000000001" customHeight="1" x14ac:dyDescent="0.25">
      <c r="A6" s="25" t="s">
        <v>36</v>
      </c>
      <c r="B6" s="25"/>
      <c r="C6" s="25"/>
      <c r="D6" s="25"/>
      <c r="E6" s="25" t="s">
        <v>21</v>
      </c>
      <c r="F6" s="25"/>
      <c r="G6" s="25"/>
      <c r="H6" s="25"/>
    </row>
    <row r="7" spans="1:26" ht="20.100000000000001" customHeight="1" x14ac:dyDescent="0.25">
      <c r="A7" s="1" t="s">
        <v>106</v>
      </c>
      <c r="B7" s="27" t="str">
        <f>Einstellungen!$B$8</f>
        <v>Musterbetrieb GmbH</v>
      </c>
      <c r="C7" s="27"/>
      <c r="D7" s="27"/>
      <c r="E7" s="1" t="s">
        <v>107</v>
      </c>
      <c r="F7" s="27" t="str">
        <f>Einstellungen!$B$13</f>
        <v>Laura Beispiel</v>
      </c>
      <c r="G7" s="27"/>
      <c r="H7" s="27"/>
    </row>
    <row r="8" spans="1:26" ht="20.100000000000001" customHeight="1" x14ac:dyDescent="0.25">
      <c r="A8" s="1" t="s">
        <v>108</v>
      </c>
      <c r="B8" s="27" t="str">
        <f>Einstellungen!$B$9</f>
        <v>Beispielstraße 12, 10115 Berlin</v>
      </c>
      <c r="C8" s="27"/>
      <c r="D8" s="27"/>
      <c r="E8" s="1" t="s">
        <v>23</v>
      </c>
      <c r="F8" s="27" t="str">
        <f>Einstellungen!$B$14</f>
        <v>MJ-2026-001</v>
      </c>
      <c r="G8" s="27"/>
      <c r="H8" s="27"/>
    </row>
    <row r="9" spans="1:26" ht="20.100000000000001" customHeight="1" x14ac:dyDescent="0.25">
      <c r="A9" s="1" t="s">
        <v>15</v>
      </c>
      <c r="B9" s="27" t="str">
        <f>Einstellungen!$B$10</f>
        <v>12345678</v>
      </c>
      <c r="C9" s="27"/>
      <c r="D9" s="27"/>
      <c r="E9" s="1" t="s">
        <v>108</v>
      </c>
      <c r="F9" s="27" t="str">
        <f>Einstellungen!$B$15</f>
        <v>Musterweg 7, 10243 Berlin</v>
      </c>
      <c r="G9" s="27"/>
      <c r="H9" s="27"/>
    </row>
    <row r="10" spans="1:26" ht="20.100000000000001" customHeight="1" x14ac:dyDescent="0.25">
      <c r="A10" s="1" t="s">
        <v>18</v>
      </c>
      <c r="B10" s="27" t="str">
        <f>Einstellungen!$B$11</f>
        <v>12/345/67890</v>
      </c>
      <c r="C10" s="27"/>
      <c r="D10" s="27"/>
      <c r="E10" s="1" t="s">
        <v>27</v>
      </c>
      <c r="F10" s="28" t="str">
        <f>Einstellungen!$B$16</f>
        <v>01.01.2026</v>
      </c>
      <c r="G10" s="27"/>
      <c r="H10" s="27"/>
    </row>
    <row r="11" spans="1:26" ht="20.100000000000001" customHeight="1" x14ac:dyDescent="0.25"/>
    <row r="12" spans="1:26" ht="20.100000000000001" customHeight="1" x14ac:dyDescent="0.25">
      <c r="A12" s="25" t="s">
        <v>109</v>
      </c>
      <c r="B12" s="25"/>
      <c r="C12" s="25"/>
      <c r="D12" s="25"/>
      <c r="E12" s="25" t="s">
        <v>110</v>
      </c>
      <c r="F12" s="25"/>
      <c r="G12" s="25"/>
      <c r="H12" s="25"/>
    </row>
    <row r="13" spans="1:26" ht="20.100000000000001" customHeight="1" x14ac:dyDescent="0.25">
      <c r="A13" s="1" t="s">
        <v>61</v>
      </c>
      <c r="B13" s="7">
        <f>INDEX('Monatsdaten 2026'!$B$7:$B$18,MATCH($B$3,'Monatsdaten 2026'!$A$7:$A$18,0))</f>
        <v>42</v>
      </c>
      <c r="E13" s="1" t="s">
        <v>111</v>
      </c>
      <c r="F13" s="5">
        <f>INDEX('Monatsdaten 2026'!$I$7:$I$18,MATCH($B$3,'Monatsdaten 2026'!$A$7:$A$18,0))</f>
        <v>77.19</v>
      </c>
    </row>
    <row r="14" spans="1:26" ht="20.100000000000001" customHeight="1" x14ac:dyDescent="0.25">
      <c r="A14" s="1" t="s">
        <v>62</v>
      </c>
      <c r="B14" s="5">
        <f>INDEX('Monatsdaten 2026'!$C$7:$C$18,MATCH($B$3,'Monatsdaten 2026'!$A$7:$A$18,0))</f>
        <v>13.9</v>
      </c>
      <c r="E14" s="1" t="s">
        <v>112</v>
      </c>
      <c r="F14" s="5">
        <f>INDEX('Monatsdaten 2026'!$J$7:$J$18,MATCH($B$3,'Monatsdaten 2026'!$A$7:$A$18,0))</f>
        <v>89.07</v>
      </c>
    </row>
    <row r="15" spans="1:26" ht="20.100000000000001" customHeight="1" x14ac:dyDescent="0.25">
      <c r="A15" s="1" t="s">
        <v>63</v>
      </c>
      <c r="B15" s="5">
        <f>INDEX('Monatsdaten 2026'!$D$7:$D$18,MATCH($B$3,'Monatsdaten 2026'!$A$7:$A$18,0))</f>
        <v>10</v>
      </c>
      <c r="E15" s="1" t="s">
        <v>70</v>
      </c>
      <c r="F15" s="5">
        <f>INDEX('Monatsdaten 2026'!$K$7:$K$18,MATCH($B$3,'Monatsdaten 2026'!$A$7:$A$18,0))</f>
        <v>11.88</v>
      </c>
    </row>
    <row r="16" spans="1:26" ht="20.100000000000001" customHeight="1" x14ac:dyDescent="0.25">
      <c r="A16" s="19" t="s">
        <v>64</v>
      </c>
      <c r="B16" s="20">
        <f>INDEX('Monatsdaten 2026'!$E$7:$E$18,MATCH($B$3,'Monatsdaten 2026'!$A$7:$A$18,0))</f>
        <v>593.79999999999995</v>
      </c>
      <c r="E16" s="1" t="s">
        <v>49</v>
      </c>
      <c r="F16" s="5">
        <f>INDEX('Monatsdaten 2026'!$L$7:$L$18,MATCH($B$3,'Monatsdaten 2026'!$A$7:$A$18,0))</f>
        <v>4.75</v>
      </c>
    </row>
    <row r="17" spans="1:8" ht="20.100000000000001" customHeight="1" x14ac:dyDescent="0.25">
      <c r="A17" s="1" t="s">
        <v>53</v>
      </c>
      <c r="B17" s="5">
        <f>INDEX('Monatsdaten 2026'!$F$7:$F$18,MATCH($B$3,'Monatsdaten 2026'!$A$7:$A$18,0))</f>
        <v>21.38</v>
      </c>
      <c r="E17" s="1" t="s">
        <v>50</v>
      </c>
      <c r="F17" s="5">
        <f>INDEX('Monatsdaten 2026'!$M$7:$M$18,MATCH($B$3,'Monatsdaten 2026'!$A$7:$A$18,0))</f>
        <v>1.31</v>
      </c>
    </row>
    <row r="18" spans="1:8" ht="20.100000000000001" customHeight="1" x14ac:dyDescent="0.25">
      <c r="A18" s="1" t="s">
        <v>113</v>
      </c>
      <c r="B18" s="5">
        <f>INDEX('Monatsdaten 2026'!$G$7:$G$18,MATCH($B$3,'Monatsdaten 2026'!$A$7:$A$18,0))</f>
        <v>0</v>
      </c>
      <c r="E18" s="1" t="s">
        <v>51</v>
      </c>
      <c r="F18" s="5">
        <f>INDEX('Monatsdaten 2026'!$N$7:$N$18,MATCH($B$3,'Monatsdaten 2026'!$A$7:$A$18,0))</f>
        <v>0.89</v>
      </c>
    </row>
    <row r="19" spans="1:8" ht="20.100000000000001" customHeight="1" x14ac:dyDescent="0.25">
      <c r="A19" s="3" t="s">
        <v>67</v>
      </c>
      <c r="B19" s="8">
        <f>INDEX('Monatsdaten 2026'!$H$7:$H$18,MATCH($B$3,'Monatsdaten 2026'!$A$7:$A$18,0))</f>
        <v>572.41999999999996</v>
      </c>
      <c r="E19" s="1" t="s">
        <v>74</v>
      </c>
      <c r="F19" s="5">
        <f>INDEX('Monatsdaten 2026'!$O$7:$O$18,MATCH($B$3,'Monatsdaten 2026'!$A$7:$A$18,0))</f>
        <v>7.72</v>
      </c>
    </row>
    <row r="20" spans="1:8" ht="20.100000000000001" customHeight="1" x14ac:dyDescent="0.25">
      <c r="E20" s="19" t="s">
        <v>114</v>
      </c>
      <c r="F20" s="20">
        <f>INDEX('Monatsdaten 2026'!$P$7:$P$18,MATCH($B$3,'Monatsdaten 2026'!$A$7:$A$18,0))</f>
        <v>192.81</v>
      </c>
    </row>
    <row r="21" spans="1:8" ht="20.100000000000001" customHeight="1" x14ac:dyDescent="0.25">
      <c r="E21" s="19" t="s">
        <v>115</v>
      </c>
      <c r="F21" s="20">
        <f>INDEX('Monatsdaten 2026'!$Q$7:$Q$18,MATCH($B$3,'Monatsdaten 2026'!$A$7:$A$18,0))</f>
        <v>786.61</v>
      </c>
    </row>
    <row r="22" spans="1:8" ht="20.100000000000001" customHeight="1" x14ac:dyDescent="0.25"/>
    <row r="23" spans="1:8" ht="21.95" customHeight="1" x14ac:dyDescent="0.25">
      <c r="A23" s="25" t="s">
        <v>116</v>
      </c>
      <c r="B23" s="25"/>
      <c r="C23" s="25"/>
      <c r="D23" s="25"/>
      <c r="E23" s="25"/>
      <c r="F23" s="25"/>
      <c r="G23" s="25"/>
      <c r="H23" s="25"/>
    </row>
    <row r="24" spans="1:8" ht="20.100000000000001" customHeight="1" x14ac:dyDescent="0.25">
      <c r="A24" s="1" t="s">
        <v>29</v>
      </c>
      <c r="B24" s="27" t="str">
        <f>Einstellungen!$B$18</f>
        <v>Gewerblicher Betrieb</v>
      </c>
      <c r="C24" s="27"/>
      <c r="D24" s="27"/>
      <c r="E24" s="1" t="s">
        <v>31</v>
      </c>
      <c r="F24" s="27" t="str">
        <f>Einstellungen!$B$19</f>
        <v>gesetzlich</v>
      </c>
      <c r="G24" s="27"/>
      <c r="H24" s="27"/>
    </row>
    <row r="25" spans="1:8" ht="20.100000000000001" customHeight="1" x14ac:dyDescent="0.25">
      <c r="A25" s="1" t="s">
        <v>33</v>
      </c>
      <c r="B25" s="27" t="str">
        <f>Einstellungen!$B$20</f>
        <v>pflichtig</v>
      </c>
      <c r="C25" s="27"/>
      <c r="D25" s="27"/>
      <c r="E25" s="1" t="s">
        <v>35</v>
      </c>
      <c r="F25" s="27" t="str">
        <f>Einstellungen!$B$21</f>
        <v>Arbeitgeber</v>
      </c>
      <c r="G25" s="27"/>
      <c r="H25" s="27"/>
    </row>
    <row r="26" spans="1:8" ht="20.100000000000001" customHeight="1" x14ac:dyDescent="0.25">
      <c r="A26" s="1" t="s">
        <v>117</v>
      </c>
      <c r="B26" s="27" t="str">
        <f>INDEX('Monatsdaten 2026'!$S$7:$S$18,MATCH($B$3,'Monatsdaten 2026'!$A$7:$A$18,0))</f>
        <v>OK</v>
      </c>
      <c r="C26" s="27"/>
      <c r="D26" s="27"/>
      <c r="E26" s="1" t="s">
        <v>118</v>
      </c>
      <c r="F26" s="29">
        <f>INDEX('Monatsdaten 2026'!$R$7:$R$18,MATCH($B$3,'Monatsdaten 2026'!$A$7:$A$18,0))</f>
        <v>593.79999999999995</v>
      </c>
      <c r="G26" s="27"/>
      <c r="H26" s="27"/>
    </row>
    <row r="27" spans="1:8" ht="20.100000000000001" customHeight="1" x14ac:dyDescent="0.25">
      <c r="A27" s="1" t="s">
        <v>119</v>
      </c>
      <c r="B27" s="29">
        <f>Einstellungen!$B$4</f>
        <v>603</v>
      </c>
      <c r="C27" s="27"/>
      <c r="D27" s="27"/>
      <c r="E27" s="1" t="s">
        <v>120</v>
      </c>
      <c r="F27" s="29">
        <f>Einstellungen!$B$5</f>
        <v>7236</v>
      </c>
      <c r="G27" s="27"/>
      <c r="H27" s="27"/>
    </row>
    <row r="28" spans="1:8" ht="20.100000000000001" customHeight="1" x14ac:dyDescent="0.25">
      <c r="A28" s="1" t="s">
        <v>37</v>
      </c>
      <c r="B28" s="27" t="str">
        <f>Einstellungen!$B$22</f>
        <v>Überweisung</v>
      </c>
      <c r="C28" s="27"/>
      <c r="D28" s="27"/>
      <c r="E28" s="1" t="s">
        <v>121</v>
      </c>
      <c r="F28" s="29">
        <f>B19</f>
        <v>572.41999999999996</v>
      </c>
      <c r="G28" s="27"/>
      <c r="H28" s="27"/>
    </row>
    <row r="29" spans="1:8" ht="36" customHeight="1" x14ac:dyDescent="0.25">
      <c r="A29" s="1" t="s">
        <v>11</v>
      </c>
      <c r="B29" s="30" t="s">
        <v>122</v>
      </c>
      <c r="C29" s="30"/>
      <c r="D29" s="30"/>
      <c r="E29" s="30"/>
      <c r="F29" s="30"/>
      <c r="G29" s="30"/>
      <c r="H29" s="30"/>
    </row>
    <row r="30" spans="1:8" ht="20.100000000000001" customHeight="1" x14ac:dyDescent="0.25"/>
    <row r="31" spans="1:8" ht="20.100000000000001" customHeight="1" x14ac:dyDescent="0.25"/>
    <row r="32" spans="1:8" ht="20.100000000000001" customHeight="1" x14ac:dyDescent="0.25">
      <c r="A32" s="1" t="s">
        <v>123</v>
      </c>
      <c r="B32" s="23" t="s">
        <v>124</v>
      </c>
    </row>
    <row r="33" spans="1:1" ht="20.100000000000001" customHeight="1" x14ac:dyDescent="0.25">
      <c r="A33" s="1" t="s">
        <v>125</v>
      </c>
    </row>
    <row r="34" spans="1:1" ht="24" customHeight="1" x14ac:dyDescent="0.25">
      <c r="A34" s="1" t="s">
        <v>126</v>
      </c>
    </row>
  </sheetData>
  <mergeCells count="25">
    <mergeCell ref="B29:H29"/>
    <mergeCell ref="F24:H24"/>
    <mergeCell ref="F25:H25"/>
    <mergeCell ref="F26:H26"/>
    <mergeCell ref="F27:H27"/>
    <mergeCell ref="F28:H28"/>
    <mergeCell ref="B24:D24"/>
    <mergeCell ref="B25:D25"/>
    <mergeCell ref="B26:D26"/>
    <mergeCell ref="B27:D27"/>
    <mergeCell ref="B28:D28"/>
    <mergeCell ref="A23:H23"/>
    <mergeCell ref="B7:D7"/>
    <mergeCell ref="B8:D8"/>
    <mergeCell ref="B9:D9"/>
    <mergeCell ref="B10:D10"/>
    <mergeCell ref="F7:H7"/>
    <mergeCell ref="F8:H8"/>
    <mergeCell ref="F9:H9"/>
    <mergeCell ref="F10:H10"/>
    <mergeCell ref="A1:H1"/>
    <mergeCell ref="A6:D6"/>
    <mergeCell ref="E6:H6"/>
    <mergeCell ref="A12:D12"/>
    <mergeCell ref="E12:H12"/>
  </mergeCells>
  <conditionalFormatting sqref="B26">
    <cfRule type="expression" dxfId="1" priority="1">
      <formula>$B$26="OK"</formula>
    </cfRule>
    <cfRule type="expression" dxfId="0" priority="2">
      <formula>$B$26&lt;&gt;"OK"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200-000000000000}">
          <x14:formula1>
            <xm:f>'Monatsdaten 2026'!$A$7:$A$18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"/>
  <sheetViews>
    <sheetView workbookViewId="0"/>
  </sheetViews>
  <sheetFormatPr baseColWidth="10" defaultColWidth="9" defaultRowHeight="15" x14ac:dyDescent="0.25"/>
  <cols>
    <col min="1" max="1" width="28" customWidth="1"/>
    <col min="2" max="2" width="32" customWidth="1"/>
    <col min="3" max="3" width="3" customWidth="1"/>
    <col min="4" max="6" width="22" customWidth="1"/>
  </cols>
  <sheetData>
    <row r="1" spans="1:26" ht="30" customHeight="1" x14ac:dyDescent="0.25">
      <c r="A1" s="24" t="s">
        <v>0</v>
      </c>
      <c r="B1" s="24"/>
      <c r="C1" s="24"/>
      <c r="D1" s="24"/>
      <c r="E1" s="24"/>
      <c r="F1" s="24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3" spans="1:26" x14ac:dyDescent="0.25">
      <c r="A3" s="1" t="s">
        <v>1</v>
      </c>
      <c r="B3" s="2">
        <v>2026</v>
      </c>
      <c r="D3" s="25" t="s">
        <v>2</v>
      </c>
      <c r="E3" s="25"/>
      <c r="F3" s="25"/>
    </row>
    <row r="4" spans="1:26" ht="30" x14ac:dyDescent="0.25">
      <c r="A4" s="1" t="s">
        <v>3</v>
      </c>
      <c r="B4" s="4">
        <v>603</v>
      </c>
      <c r="D4" s="9" t="s">
        <v>4</v>
      </c>
      <c r="E4" s="9"/>
      <c r="F4" s="9"/>
    </row>
    <row r="5" spans="1:26" ht="45" x14ac:dyDescent="0.25">
      <c r="A5" s="1" t="s">
        <v>5</v>
      </c>
      <c r="B5" s="5">
        <f>B4*12</f>
        <v>7236</v>
      </c>
      <c r="D5" s="9" t="s">
        <v>6</v>
      </c>
      <c r="E5" s="9"/>
      <c r="F5" s="9"/>
    </row>
    <row r="6" spans="1:26" ht="60" x14ac:dyDescent="0.25">
      <c r="A6" s="1" t="s">
        <v>7</v>
      </c>
      <c r="B6" s="4">
        <v>13.9</v>
      </c>
      <c r="D6" s="9" t="s">
        <v>8</v>
      </c>
      <c r="E6" s="9"/>
      <c r="F6" s="9"/>
    </row>
    <row r="7" spans="1:26" x14ac:dyDescent="0.25">
      <c r="D7" s="9"/>
      <c r="E7" s="9"/>
      <c r="F7" s="9"/>
    </row>
    <row r="8" spans="1:26" x14ac:dyDescent="0.25">
      <c r="A8" s="1" t="s">
        <v>9</v>
      </c>
      <c r="B8" s="2" t="s">
        <v>10</v>
      </c>
      <c r="D8" s="9" t="s">
        <v>11</v>
      </c>
      <c r="E8" s="9"/>
      <c r="F8" s="9"/>
    </row>
    <row r="9" spans="1:26" ht="45" x14ac:dyDescent="0.25">
      <c r="A9" s="1" t="s">
        <v>12</v>
      </c>
      <c r="B9" s="2" t="s">
        <v>13</v>
      </c>
      <c r="D9" s="9" t="s">
        <v>14</v>
      </c>
      <c r="E9" s="9"/>
      <c r="F9" s="9"/>
    </row>
    <row r="10" spans="1:26" ht="60" x14ac:dyDescent="0.25">
      <c r="A10" s="1" t="s">
        <v>15</v>
      </c>
      <c r="B10" s="2" t="s">
        <v>16</v>
      </c>
      <c r="D10" s="9" t="s">
        <v>17</v>
      </c>
      <c r="E10" s="9"/>
      <c r="F10" s="9"/>
    </row>
    <row r="11" spans="1:26" ht="45" x14ac:dyDescent="0.25">
      <c r="A11" s="1" t="s">
        <v>18</v>
      </c>
      <c r="B11" s="2" t="s">
        <v>19</v>
      </c>
      <c r="D11" s="9" t="s">
        <v>20</v>
      </c>
      <c r="E11" s="9"/>
      <c r="F11" s="9"/>
    </row>
    <row r="12" spans="1:26" x14ac:dyDescent="0.25">
      <c r="A12" s="1"/>
      <c r="B12" s="2"/>
      <c r="D12" s="9"/>
      <c r="E12" s="9"/>
      <c r="F12" s="9"/>
    </row>
    <row r="13" spans="1:26" x14ac:dyDescent="0.25">
      <c r="A13" s="1" t="s">
        <v>21</v>
      </c>
      <c r="B13" s="2" t="s">
        <v>22</v>
      </c>
      <c r="D13" s="9"/>
      <c r="E13" s="9"/>
      <c r="F13" s="9"/>
    </row>
    <row r="14" spans="1:26" x14ac:dyDescent="0.25">
      <c r="A14" s="1" t="s">
        <v>23</v>
      </c>
      <c r="B14" s="2" t="s">
        <v>24</v>
      </c>
    </row>
    <row r="15" spans="1:26" x14ac:dyDescent="0.25">
      <c r="A15" s="1" t="s">
        <v>25</v>
      </c>
      <c r="B15" s="2" t="s">
        <v>26</v>
      </c>
    </row>
    <row r="16" spans="1:26" x14ac:dyDescent="0.25">
      <c r="A16" s="1" t="s">
        <v>27</v>
      </c>
      <c r="B16" s="22" t="s">
        <v>28</v>
      </c>
    </row>
    <row r="18" spans="1:2" x14ac:dyDescent="0.25">
      <c r="A18" s="1" t="s">
        <v>29</v>
      </c>
      <c r="B18" s="2" t="s">
        <v>30</v>
      </c>
    </row>
    <row r="19" spans="1:2" x14ac:dyDescent="0.25">
      <c r="A19" s="1" t="s">
        <v>31</v>
      </c>
      <c r="B19" s="2" t="s">
        <v>32</v>
      </c>
    </row>
    <row r="20" spans="1:2" x14ac:dyDescent="0.25">
      <c r="A20" s="1" t="s">
        <v>33</v>
      </c>
      <c r="B20" s="2" t="s">
        <v>34</v>
      </c>
    </row>
    <row r="21" spans="1:2" x14ac:dyDescent="0.25">
      <c r="A21" s="1" t="s">
        <v>35</v>
      </c>
      <c r="B21" s="2" t="s">
        <v>36</v>
      </c>
    </row>
    <row r="22" spans="1:2" x14ac:dyDescent="0.25">
      <c r="A22" s="1" t="s">
        <v>37</v>
      </c>
      <c r="B22" s="2" t="s">
        <v>38</v>
      </c>
    </row>
    <row r="23" spans="1:2" x14ac:dyDescent="0.25">
      <c r="A23" s="1" t="s">
        <v>39</v>
      </c>
      <c r="B23" s="2" t="s">
        <v>40</v>
      </c>
    </row>
    <row r="24" spans="1:2" x14ac:dyDescent="0.25">
      <c r="A24" s="1" t="s">
        <v>41</v>
      </c>
      <c r="B24" s="6">
        <v>1.2999999999999999E-2</v>
      </c>
    </row>
    <row r="27" spans="1:2" x14ac:dyDescent="0.25">
      <c r="A27" s="1" t="s">
        <v>42</v>
      </c>
      <c r="B27" s="1" t="s">
        <v>43</v>
      </c>
    </row>
    <row r="28" spans="1:2" x14ac:dyDescent="0.25">
      <c r="A28" t="s">
        <v>44</v>
      </c>
      <c r="B28" s="6">
        <v>0.13</v>
      </c>
    </row>
    <row r="29" spans="1:2" x14ac:dyDescent="0.25">
      <c r="A29" t="s">
        <v>45</v>
      </c>
      <c r="B29" s="6">
        <v>0.05</v>
      </c>
    </row>
    <row r="30" spans="1:2" x14ac:dyDescent="0.25">
      <c r="A30" t="s">
        <v>46</v>
      </c>
      <c r="B30" s="6">
        <v>0.15</v>
      </c>
    </row>
    <row r="31" spans="1:2" x14ac:dyDescent="0.25">
      <c r="A31" t="s">
        <v>47</v>
      </c>
      <c r="B31" s="6">
        <v>0.05</v>
      </c>
    </row>
    <row r="32" spans="1:2" x14ac:dyDescent="0.25">
      <c r="A32" t="s">
        <v>48</v>
      </c>
      <c r="B32" s="6">
        <v>0.02</v>
      </c>
    </row>
    <row r="33" spans="1:2" x14ac:dyDescent="0.25">
      <c r="A33" t="s">
        <v>49</v>
      </c>
      <c r="B33" s="6">
        <v>8.0000000000000002E-3</v>
      </c>
    </row>
    <row r="34" spans="1:2" x14ac:dyDescent="0.25">
      <c r="A34" t="s">
        <v>50</v>
      </c>
      <c r="B34" s="6">
        <v>2.2000000000000001E-3</v>
      </c>
    </row>
    <row r="35" spans="1:2" x14ac:dyDescent="0.25">
      <c r="A35" t="s">
        <v>51</v>
      </c>
      <c r="B35" s="6">
        <v>1.5E-3</v>
      </c>
    </row>
    <row r="36" spans="1:2" x14ac:dyDescent="0.25">
      <c r="A36" t="s">
        <v>52</v>
      </c>
      <c r="B36" s="6">
        <v>1.6E-2</v>
      </c>
    </row>
    <row r="37" spans="1:2" x14ac:dyDescent="0.25">
      <c r="A37" t="s">
        <v>53</v>
      </c>
      <c r="B37" s="6">
        <v>3.5999999999999997E-2</v>
      </c>
    </row>
    <row r="38" spans="1:2" x14ac:dyDescent="0.25">
      <c r="A38" t="s">
        <v>54</v>
      </c>
      <c r="B38" s="7">
        <f>B4/B6</f>
        <v>43.381294964028775</v>
      </c>
    </row>
    <row r="41" spans="1:2" x14ac:dyDescent="0.25">
      <c r="A41" s="1" t="s">
        <v>55</v>
      </c>
      <c r="B41" s="3"/>
    </row>
    <row r="42" spans="1:2" x14ac:dyDescent="0.25">
      <c r="A42" s="1" t="s">
        <v>56</v>
      </c>
      <c r="B42" s="8">
        <f>SUM('Monatsdaten 2026'!$E$7:$E$18)</f>
        <v>6791.6399999999994</v>
      </c>
    </row>
    <row r="43" spans="1:2" x14ac:dyDescent="0.25">
      <c r="A43" s="1" t="s">
        <v>57</v>
      </c>
      <c r="B43" s="3" t="str">
        <f>IF(B42&gt;B5,"Jahresgrenze überschritten","Jahresgrenze OK")</f>
        <v>Jahresgrenze OK</v>
      </c>
    </row>
  </sheetData>
  <mergeCells count="2">
    <mergeCell ref="A1:F1"/>
    <mergeCell ref="D3:F3"/>
  </mergeCells>
  <dataValidations count="4">
    <dataValidation type="list" sqref="B18" xr:uid="{00000000-0002-0000-0000-000000000000}">
      <formula1>"Gewerblicher Betrieb,Privathaushalt"</formula1>
    </dataValidation>
    <dataValidation type="list" sqref="B19" xr:uid="{00000000-0002-0000-0000-000001000000}">
      <formula1>"gesetzlich,privat"</formula1>
    </dataValidation>
    <dataValidation type="list" sqref="B20" xr:uid="{00000000-0002-0000-0000-000002000000}">
      <formula1>"pflichtig,befreit"</formula1>
    </dataValidation>
    <dataValidation type="list" sqref="B21" xr:uid="{00000000-0002-0000-0000-000003000000}">
      <formula1>"Arbeitgeber,Arbeitnehmer"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"/>
  <sheetViews>
    <sheetView workbookViewId="0"/>
  </sheetViews>
  <sheetFormatPr baseColWidth="10" defaultColWidth="9" defaultRowHeight="15" x14ac:dyDescent="0.25"/>
  <cols>
    <col min="1" max="1" width="14" customWidth="1"/>
    <col min="2" max="3" width="12" customWidth="1"/>
    <col min="4" max="5" width="14" customWidth="1"/>
    <col min="6" max="6" width="12" customWidth="1"/>
    <col min="7" max="8" width="14" customWidth="1"/>
    <col min="9" max="10" width="12" customWidth="1"/>
    <col min="11" max="11" width="14" customWidth="1"/>
    <col min="12" max="13" width="9" customWidth="1"/>
    <col min="14" max="14" width="13" customWidth="1"/>
    <col min="15" max="15" width="15" customWidth="1"/>
    <col min="16" max="16" width="13" customWidth="1"/>
    <col min="17" max="17" width="15" customWidth="1"/>
    <col min="18" max="18" width="17" customWidth="1"/>
    <col min="19" max="19" width="22" customWidth="1"/>
    <col min="21" max="23" width="12" customWidth="1"/>
    <col min="24" max="24" width="17" customWidth="1"/>
  </cols>
  <sheetData>
    <row r="1" spans="1:26" ht="30" customHeight="1" x14ac:dyDescent="0.25">
      <c r="A1" s="24" t="s">
        <v>58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1"/>
      <c r="U1" s="21"/>
      <c r="V1" s="21"/>
      <c r="W1" s="21"/>
      <c r="X1" s="21"/>
      <c r="Y1" s="21"/>
      <c r="Z1" s="21"/>
    </row>
    <row r="3" spans="1:26" x14ac:dyDescent="0.25">
      <c r="A3" s="26" t="s">
        <v>59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6" spans="1:26" ht="36" customHeight="1" x14ac:dyDescent="0.25">
      <c r="A6" s="10" t="s">
        <v>60</v>
      </c>
      <c r="B6" s="10" t="s">
        <v>61</v>
      </c>
      <c r="C6" s="10" t="s">
        <v>62</v>
      </c>
      <c r="D6" s="10" t="s">
        <v>63</v>
      </c>
      <c r="E6" s="10" t="s">
        <v>64</v>
      </c>
      <c r="F6" s="10" t="s">
        <v>65</v>
      </c>
      <c r="G6" s="10" t="s">
        <v>66</v>
      </c>
      <c r="H6" s="10" t="s">
        <v>67</v>
      </c>
      <c r="I6" s="10" t="s">
        <v>68</v>
      </c>
      <c r="J6" s="10" t="s">
        <v>69</v>
      </c>
      <c r="K6" s="10" t="s">
        <v>70</v>
      </c>
      <c r="L6" s="10" t="s">
        <v>71</v>
      </c>
      <c r="M6" s="10" t="s">
        <v>72</v>
      </c>
      <c r="N6" s="10" t="s">
        <v>73</v>
      </c>
      <c r="O6" s="10" t="s">
        <v>74</v>
      </c>
      <c r="P6" s="10" t="s">
        <v>75</v>
      </c>
      <c r="Q6" s="10" t="s">
        <v>76</v>
      </c>
      <c r="R6" s="10" t="s">
        <v>77</v>
      </c>
      <c r="S6" s="10" t="s">
        <v>78</v>
      </c>
      <c r="U6" s="1" t="s">
        <v>60</v>
      </c>
      <c r="V6" s="1" t="s">
        <v>79</v>
      </c>
      <c r="W6" s="1" t="s">
        <v>80</v>
      </c>
      <c r="X6" s="1" t="s">
        <v>76</v>
      </c>
    </row>
    <row r="7" spans="1:26" x14ac:dyDescent="0.25">
      <c r="A7" s="13" t="s">
        <v>81</v>
      </c>
      <c r="B7" s="11">
        <v>42</v>
      </c>
      <c r="C7" s="12">
        <v>13.9</v>
      </c>
      <c r="D7" s="12">
        <v>10</v>
      </c>
      <c r="E7" s="14">
        <f t="shared" ref="E7:E18" si="0">ROUND(B7*C7+D7,2)</f>
        <v>593.79999999999995</v>
      </c>
      <c r="F7" s="14">
        <f>ROUND(IF(Einstellungen!$B$20="pflichtig",E7*Einstellungen!$B$37,0),2)</f>
        <v>21.38</v>
      </c>
      <c r="G7" s="14">
        <f>ROUND(IF(Einstellungen!$B$21="Arbeitnehmer",E7*Einstellungen!$B$32,0),2)</f>
        <v>0</v>
      </c>
      <c r="H7" s="14">
        <f t="shared" ref="H7:H18" si="1">ROUND(E7-F7-G7,2)</f>
        <v>572.41999999999996</v>
      </c>
      <c r="I7" s="14">
        <f>ROUND(IF(Einstellungen!$B$19="gesetzlich",IF(Einstellungen!$B$18="Gewerblicher Betrieb",E7*Einstellungen!$B$28,E7*Einstellungen!$B$29),0),2)</f>
        <v>77.19</v>
      </c>
      <c r="J7" s="14">
        <f>ROUND(IF(Einstellungen!$B$18="Gewerblicher Betrieb",E7*Einstellungen!$B$30,E7*Einstellungen!$B$31),2)</f>
        <v>89.07</v>
      </c>
      <c r="K7" s="14">
        <f>ROUND(IF(Einstellungen!$B$21="Arbeitgeber",E7*Einstellungen!$B$32,0),2)</f>
        <v>11.88</v>
      </c>
      <c r="L7" s="14">
        <f>ROUND(E7*Einstellungen!$B$33,2)</f>
        <v>4.75</v>
      </c>
      <c r="M7" s="14">
        <f>ROUND(E7*Einstellungen!$B$34,2)</f>
        <v>1.31</v>
      </c>
      <c r="N7" s="14">
        <f>ROUND(IF(Einstellungen!$B$18="Gewerblicher Betrieb",E7*Einstellungen!$B$35,0),2)</f>
        <v>0.89</v>
      </c>
      <c r="O7" s="14">
        <f>ROUND(IF(Einstellungen!$B$18="Gewerblicher Betrieb",E7*Einstellungen!$B$24,E7*Einstellungen!$B$36),2)</f>
        <v>7.72</v>
      </c>
      <c r="P7" s="14">
        <f t="shared" ref="P7:P18" si="2">ROUND(SUM(I7:O7),2)</f>
        <v>192.81</v>
      </c>
      <c r="Q7" s="14">
        <f t="shared" ref="Q7:Q18" si="3">ROUND(E7+P7,2)</f>
        <v>786.61</v>
      </c>
      <c r="R7" s="15">
        <f>SUM($E$7:E7)</f>
        <v>593.79999999999995</v>
      </c>
      <c r="S7" s="16" t="str">
        <f>IF(E7=0,"Offen",IF(C7&lt;Einstellungen!$B$6,"Mindestlohn prüfen",IF(R7&gt;Einstellungen!$B$5,"Jahresgrenze prüfen",IF(E7&gt;Einstellungen!$B$4,"Monat &gt; 603 €, Jahr prüfen","OK"))))</f>
        <v>OK</v>
      </c>
      <c r="U7" s="17" t="s">
        <v>82</v>
      </c>
      <c r="V7" s="18">
        <f t="shared" ref="V7:V18" si="4">E7</f>
        <v>593.79999999999995</v>
      </c>
      <c r="W7" s="18">
        <f t="shared" ref="W7:W18" si="5">H7</f>
        <v>572.41999999999996</v>
      </c>
      <c r="X7" s="18">
        <f t="shared" ref="X7:X18" si="6">Q7</f>
        <v>786.61</v>
      </c>
    </row>
    <row r="8" spans="1:26" x14ac:dyDescent="0.25">
      <c r="A8" s="13" t="s">
        <v>83</v>
      </c>
      <c r="B8" s="11">
        <v>38</v>
      </c>
      <c r="C8" s="12">
        <v>14.25</v>
      </c>
      <c r="D8" s="12">
        <v>0</v>
      </c>
      <c r="E8" s="14">
        <f t="shared" si="0"/>
        <v>541.5</v>
      </c>
      <c r="F8" s="14">
        <f>ROUND(IF(Einstellungen!$B$20="pflichtig",E8*Einstellungen!$B$37,0),2)</f>
        <v>19.489999999999998</v>
      </c>
      <c r="G8" s="14">
        <f>ROUND(IF(Einstellungen!$B$21="Arbeitnehmer",E8*Einstellungen!$B$32,0),2)</f>
        <v>0</v>
      </c>
      <c r="H8" s="14">
        <f t="shared" si="1"/>
        <v>522.01</v>
      </c>
      <c r="I8" s="14">
        <f>ROUND(IF(Einstellungen!$B$19="gesetzlich",IF(Einstellungen!$B$18="Gewerblicher Betrieb",E8*Einstellungen!$B$28,E8*Einstellungen!$B$29),0),2)</f>
        <v>70.400000000000006</v>
      </c>
      <c r="J8" s="14">
        <f>ROUND(IF(Einstellungen!$B$18="Gewerblicher Betrieb",E8*Einstellungen!$B$30,E8*Einstellungen!$B$31),2)</f>
        <v>81.23</v>
      </c>
      <c r="K8" s="14">
        <f>ROUND(IF(Einstellungen!$B$21="Arbeitgeber",E8*Einstellungen!$B$32,0),2)</f>
        <v>10.83</v>
      </c>
      <c r="L8" s="14">
        <f>ROUND(E8*Einstellungen!$B$33,2)</f>
        <v>4.33</v>
      </c>
      <c r="M8" s="14">
        <f>ROUND(E8*Einstellungen!$B$34,2)</f>
        <v>1.19</v>
      </c>
      <c r="N8" s="14">
        <f>ROUND(IF(Einstellungen!$B$18="Gewerblicher Betrieb",E8*Einstellungen!$B$35,0),2)</f>
        <v>0.81</v>
      </c>
      <c r="O8" s="14">
        <f>ROUND(IF(Einstellungen!$B$18="Gewerblicher Betrieb",E8*Einstellungen!$B$24,E8*Einstellungen!$B$36),2)</f>
        <v>7.04</v>
      </c>
      <c r="P8" s="14">
        <f t="shared" si="2"/>
        <v>175.83</v>
      </c>
      <c r="Q8" s="14">
        <f t="shared" si="3"/>
        <v>717.33</v>
      </c>
      <c r="R8" s="15">
        <f>SUM($E$7:E8)</f>
        <v>1135.3</v>
      </c>
      <c r="S8" s="16" t="str">
        <f>IF(E8=0,"Offen",IF(C8&lt;Einstellungen!$B$6,"Mindestlohn prüfen",IF(R8&gt;Einstellungen!$B$5,"Jahresgrenze prüfen",IF(E8&gt;Einstellungen!$B$4,"Monat &gt; 603 €, Jahr prüfen","OK"))))</f>
        <v>OK</v>
      </c>
      <c r="U8" s="17" t="s">
        <v>84</v>
      </c>
      <c r="V8" s="18">
        <f t="shared" si="4"/>
        <v>541.5</v>
      </c>
      <c r="W8" s="18">
        <f t="shared" si="5"/>
        <v>522.01</v>
      </c>
      <c r="X8" s="18">
        <f t="shared" si="6"/>
        <v>717.33</v>
      </c>
    </row>
    <row r="9" spans="1:26" x14ac:dyDescent="0.25">
      <c r="A9" s="13" t="s">
        <v>85</v>
      </c>
      <c r="B9" s="11">
        <v>43</v>
      </c>
      <c r="C9" s="12">
        <v>13.9</v>
      </c>
      <c r="D9" s="12">
        <v>0</v>
      </c>
      <c r="E9" s="14">
        <f t="shared" si="0"/>
        <v>597.70000000000005</v>
      </c>
      <c r="F9" s="14">
        <f>ROUND(IF(Einstellungen!$B$20="pflichtig",E9*Einstellungen!$B$37,0),2)</f>
        <v>21.52</v>
      </c>
      <c r="G9" s="14">
        <f>ROUND(IF(Einstellungen!$B$21="Arbeitnehmer",E9*Einstellungen!$B$32,0),2)</f>
        <v>0</v>
      </c>
      <c r="H9" s="14">
        <f t="shared" si="1"/>
        <v>576.17999999999995</v>
      </c>
      <c r="I9" s="14">
        <f>ROUND(IF(Einstellungen!$B$19="gesetzlich",IF(Einstellungen!$B$18="Gewerblicher Betrieb",E9*Einstellungen!$B$28,E9*Einstellungen!$B$29),0),2)</f>
        <v>77.7</v>
      </c>
      <c r="J9" s="14">
        <f>ROUND(IF(Einstellungen!$B$18="Gewerblicher Betrieb",E9*Einstellungen!$B$30,E9*Einstellungen!$B$31),2)</f>
        <v>89.66</v>
      </c>
      <c r="K9" s="14">
        <f>ROUND(IF(Einstellungen!$B$21="Arbeitgeber",E9*Einstellungen!$B$32,0),2)</f>
        <v>11.95</v>
      </c>
      <c r="L9" s="14">
        <f>ROUND(E9*Einstellungen!$B$33,2)</f>
        <v>4.78</v>
      </c>
      <c r="M9" s="14">
        <f>ROUND(E9*Einstellungen!$B$34,2)</f>
        <v>1.31</v>
      </c>
      <c r="N9" s="14">
        <f>ROUND(IF(Einstellungen!$B$18="Gewerblicher Betrieb",E9*Einstellungen!$B$35,0),2)</f>
        <v>0.9</v>
      </c>
      <c r="O9" s="14">
        <f>ROUND(IF(Einstellungen!$B$18="Gewerblicher Betrieb",E9*Einstellungen!$B$24,E9*Einstellungen!$B$36),2)</f>
        <v>7.77</v>
      </c>
      <c r="P9" s="14">
        <f t="shared" si="2"/>
        <v>194.07</v>
      </c>
      <c r="Q9" s="14">
        <f t="shared" si="3"/>
        <v>791.77</v>
      </c>
      <c r="R9" s="15">
        <f>SUM($E$7:E9)</f>
        <v>1733</v>
      </c>
      <c r="S9" s="16" t="str">
        <f>IF(E9=0,"Offen",IF(C9&lt;Einstellungen!$B$6,"Mindestlohn prüfen",IF(R9&gt;Einstellungen!$B$5,"Jahresgrenze prüfen",IF(E9&gt;Einstellungen!$B$4,"Monat &gt; 603 €, Jahr prüfen","OK"))))</f>
        <v>OK</v>
      </c>
      <c r="U9" s="17" t="s">
        <v>86</v>
      </c>
      <c r="V9" s="18">
        <f t="shared" si="4"/>
        <v>597.70000000000005</v>
      </c>
      <c r="W9" s="18">
        <f t="shared" si="5"/>
        <v>576.17999999999995</v>
      </c>
      <c r="X9" s="18">
        <f t="shared" si="6"/>
        <v>791.77</v>
      </c>
    </row>
    <row r="10" spans="1:26" x14ac:dyDescent="0.25">
      <c r="A10" s="13" t="s">
        <v>87</v>
      </c>
      <c r="B10" s="11">
        <v>40</v>
      </c>
      <c r="C10" s="12">
        <v>14</v>
      </c>
      <c r="D10" s="12">
        <v>0</v>
      </c>
      <c r="E10" s="14">
        <f t="shared" si="0"/>
        <v>560</v>
      </c>
      <c r="F10" s="14">
        <f>ROUND(IF(Einstellungen!$B$20="pflichtig",E10*Einstellungen!$B$37,0),2)</f>
        <v>20.16</v>
      </c>
      <c r="G10" s="14">
        <f>ROUND(IF(Einstellungen!$B$21="Arbeitnehmer",E10*Einstellungen!$B$32,0),2)</f>
        <v>0</v>
      </c>
      <c r="H10" s="14">
        <f t="shared" si="1"/>
        <v>539.84</v>
      </c>
      <c r="I10" s="14">
        <f>ROUND(IF(Einstellungen!$B$19="gesetzlich",IF(Einstellungen!$B$18="Gewerblicher Betrieb",E10*Einstellungen!$B$28,E10*Einstellungen!$B$29),0),2)</f>
        <v>72.8</v>
      </c>
      <c r="J10" s="14">
        <f>ROUND(IF(Einstellungen!$B$18="Gewerblicher Betrieb",E10*Einstellungen!$B$30,E10*Einstellungen!$B$31),2)</f>
        <v>84</v>
      </c>
      <c r="K10" s="14">
        <f>ROUND(IF(Einstellungen!$B$21="Arbeitgeber",E10*Einstellungen!$B$32,0),2)</f>
        <v>11.2</v>
      </c>
      <c r="L10" s="14">
        <f>ROUND(E10*Einstellungen!$B$33,2)</f>
        <v>4.4800000000000004</v>
      </c>
      <c r="M10" s="14">
        <f>ROUND(E10*Einstellungen!$B$34,2)</f>
        <v>1.23</v>
      </c>
      <c r="N10" s="14">
        <f>ROUND(IF(Einstellungen!$B$18="Gewerblicher Betrieb",E10*Einstellungen!$B$35,0),2)</f>
        <v>0.84</v>
      </c>
      <c r="O10" s="14">
        <f>ROUND(IF(Einstellungen!$B$18="Gewerblicher Betrieb",E10*Einstellungen!$B$24,E10*Einstellungen!$B$36),2)</f>
        <v>7.28</v>
      </c>
      <c r="P10" s="14">
        <f t="shared" si="2"/>
        <v>181.83</v>
      </c>
      <c r="Q10" s="14">
        <f t="shared" si="3"/>
        <v>741.83</v>
      </c>
      <c r="R10" s="15">
        <f>SUM($E$7:E10)</f>
        <v>2293</v>
      </c>
      <c r="S10" s="16" t="str">
        <f>IF(E10=0,"Offen",IF(C10&lt;Einstellungen!$B$6,"Mindestlohn prüfen",IF(R10&gt;Einstellungen!$B$5,"Jahresgrenze prüfen",IF(E10&gt;Einstellungen!$B$4,"Monat &gt; 603 €, Jahr prüfen","OK"))))</f>
        <v>OK</v>
      </c>
      <c r="U10" s="17" t="s">
        <v>88</v>
      </c>
      <c r="V10" s="18">
        <f t="shared" si="4"/>
        <v>560</v>
      </c>
      <c r="W10" s="18">
        <f t="shared" si="5"/>
        <v>539.84</v>
      </c>
      <c r="X10" s="18">
        <f t="shared" si="6"/>
        <v>741.83</v>
      </c>
    </row>
    <row r="11" spans="1:26" x14ac:dyDescent="0.25">
      <c r="A11" s="13" t="s">
        <v>89</v>
      </c>
      <c r="B11" s="11">
        <v>44</v>
      </c>
      <c r="C11" s="12">
        <v>13.9</v>
      </c>
      <c r="D11" s="12">
        <v>0</v>
      </c>
      <c r="E11" s="14">
        <f t="shared" si="0"/>
        <v>611.6</v>
      </c>
      <c r="F11" s="14">
        <f>ROUND(IF(Einstellungen!$B$20="pflichtig",E11*Einstellungen!$B$37,0),2)</f>
        <v>22.02</v>
      </c>
      <c r="G11" s="14">
        <f>ROUND(IF(Einstellungen!$B$21="Arbeitnehmer",E11*Einstellungen!$B$32,0),2)</f>
        <v>0</v>
      </c>
      <c r="H11" s="14">
        <f t="shared" si="1"/>
        <v>589.58000000000004</v>
      </c>
      <c r="I11" s="14">
        <f>ROUND(IF(Einstellungen!$B$19="gesetzlich",IF(Einstellungen!$B$18="Gewerblicher Betrieb",E11*Einstellungen!$B$28,E11*Einstellungen!$B$29),0),2)</f>
        <v>79.510000000000005</v>
      </c>
      <c r="J11" s="14">
        <f>ROUND(IF(Einstellungen!$B$18="Gewerblicher Betrieb",E11*Einstellungen!$B$30,E11*Einstellungen!$B$31),2)</f>
        <v>91.74</v>
      </c>
      <c r="K11" s="14">
        <f>ROUND(IF(Einstellungen!$B$21="Arbeitgeber",E11*Einstellungen!$B$32,0),2)</f>
        <v>12.23</v>
      </c>
      <c r="L11" s="14">
        <f>ROUND(E11*Einstellungen!$B$33,2)</f>
        <v>4.8899999999999997</v>
      </c>
      <c r="M11" s="14">
        <f>ROUND(E11*Einstellungen!$B$34,2)</f>
        <v>1.35</v>
      </c>
      <c r="N11" s="14">
        <f>ROUND(IF(Einstellungen!$B$18="Gewerblicher Betrieb",E11*Einstellungen!$B$35,0),2)</f>
        <v>0.92</v>
      </c>
      <c r="O11" s="14">
        <f>ROUND(IF(Einstellungen!$B$18="Gewerblicher Betrieb",E11*Einstellungen!$B$24,E11*Einstellungen!$B$36),2)</f>
        <v>7.95</v>
      </c>
      <c r="P11" s="14">
        <f t="shared" si="2"/>
        <v>198.59</v>
      </c>
      <c r="Q11" s="14">
        <f t="shared" si="3"/>
        <v>810.19</v>
      </c>
      <c r="R11" s="15">
        <f>SUM($E$7:E11)</f>
        <v>2904.6</v>
      </c>
      <c r="S11" s="16" t="str">
        <f>IF(E11=0,"Offen",IF(C11&lt;Einstellungen!$B$6,"Mindestlohn prüfen",IF(R11&gt;Einstellungen!$B$5,"Jahresgrenze prüfen",IF(E11&gt;Einstellungen!$B$4,"Monat &gt; 603 €, Jahr prüfen","OK"))))</f>
        <v>Monat &gt; 603 €, Jahr prüfen</v>
      </c>
      <c r="U11" s="17" t="s">
        <v>89</v>
      </c>
      <c r="V11" s="18">
        <f t="shared" si="4"/>
        <v>611.6</v>
      </c>
      <c r="W11" s="18">
        <f t="shared" si="5"/>
        <v>589.58000000000004</v>
      </c>
      <c r="X11" s="18">
        <f t="shared" si="6"/>
        <v>810.19</v>
      </c>
    </row>
    <row r="12" spans="1:26" x14ac:dyDescent="0.25">
      <c r="A12" s="13" t="s">
        <v>90</v>
      </c>
      <c r="B12" s="11">
        <v>35</v>
      </c>
      <c r="C12" s="12">
        <v>15</v>
      </c>
      <c r="D12" s="12">
        <v>20</v>
      </c>
      <c r="E12" s="14">
        <f t="shared" si="0"/>
        <v>545</v>
      </c>
      <c r="F12" s="14">
        <f>ROUND(IF(Einstellungen!$B$20="pflichtig",E12*Einstellungen!$B$37,0),2)</f>
        <v>19.62</v>
      </c>
      <c r="G12" s="14">
        <f>ROUND(IF(Einstellungen!$B$21="Arbeitnehmer",E12*Einstellungen!$B$32,0),2)</f>
        <v>0</v>
      </c>
      <c r="H12" s="14">
        <f t="shared" si="1"/>
        <v>525.38</v>
      </c>
      <c r="I12" s="14">
        <f>ROUND(IF(Einstellungen!$B$19="gesetzlich",IF(Einstellungen!$B$18="Gewerblicher Betrieb",E12*Einstellungen!$B$28,E12*Einstellungen!$B$29),0),2)</f>
        <v>70.849999999999994</v>
      </c>
      <c r="J12" s="14">
        <f>ROUND(IF(Einstellungen!$B$18="Gewerblicher Betrieb",E12*Einstellungen!$B$30,E12*Einstellungen!$B$31),2)</f>
        <v>81.75</v>
      </c>
      <c r="K12" s="14">
        <f>ROUND(IF(Einstellungen!$B$21="Arbeitgeber",E12*Einstellungen!$B$32,0),2)</f>
        <v>10.9</v>
      </c>
      <c r="L12" s="14">
        <f>ROUND(E12*Einstellungen!$B$33,2)</f>
        <v>4.3600000000000003</v>
      </c>
      <c r="M12" s="14">
        <f>ROUND(E12*Einstellungen!$B$34,2)</f>
        <v>1.2</v>
      </c>
      <c r="N12" s="14">
        <f>ROUND(IF(Einstellungen!$B$18="Gewerblicher Betrieb",E12*Einstellungen!$B$35,0),2)</f>
        <v>0.82</v>
      </c>
      <c r="O12" s="14">
        <f>ROUND(IF(Einstellungen!$B$18="Gewerblicher Betrieb",E12*Einstellungen!$B$24,E12*Einstellungen!$B$36),2)</f>
        <v>7.09</v>
      </c>
      <c r="P12" s="14">
        <f t="shared" si="2"/>
        <v>176.97</v>
      </c>
      <c r="Q12" s="14">
        <f t="shared" si="3"/>
        <v>721.97</v>
      </c>
      <c r="R12" s="15">
        <f>SUM($E$7:E12)</f>
        <v>3449.6</v>
      </c>
      <c r="S12" s="16" t="str">
        <f>IF(E12=0,"Offen",IF(C12&lt;Einstellungen!$B$6,"Mindestlohn prüfen",IF(R12&gt;Einstellungen!$B$5,"Jahresgrenze prüfen",IF(E12&gt;Einstellungen!$B$4,"Monat &gt; 603 €, Jahr prüfen","OK"))))</f>
        <v>OK</v>
      </c>
      <c r="U12" s="17" t="s">
        <v>91</v>
      </c>
      <c r="V12" s="18">
        <f t="shared" si="4"/>
        <v>545</v>
      </c>
      <c r="W12" s="18">
        <f t="shared" si="5"/>
        <v>525.38</v>
      </c>
      <c r="X12" s="18">
        <f t="shared" si="6"/>
        <v>721.97</v>
      </c>
    </row>
    <row r="13" spans="1:26" x14ac:dyDescent="0.25">
      <c r="A13" s="13" t="s">
        <v>92</v>
      </c>
      <c r="B13" s="11">
        <v>43.33</v>
      </c>
      <c r="C13" s="12">
        <v>13.9</v>
      </c>
      <c r="D13" s="12">
        <v>0</v>
      </c>
      <c r="E13" s="14">
        <f t="shared" si="0"/>
        <v>602.29</v>
      </c>
      <c r="F13" s="14">
        <f>ROUND(IF(Einstellungen!$B$20="pflichtig",E13*Einstellungen!$B$37,0),2)</f>
        <v>21.68</v>
      </c>
      <c r="G13" s="14">
        <f>ROUND(IF(Einstellungen!$B$21="Arbeitnehmer",E13*Einstellungen!$B$32,0),2)</f>
        <v>0</v>
      </c>
      <c r="H13" s="14">
        <f t="shared" si="1"/>
        <v>580.61</v>
      </c>
      <c r="I13" s="14">
        <f>ROUND(IF(Einstellungen!$B$19="gesetzlich",IF(Einstellungen!$B$18="Gewerblicher Betrieb",E13*Einstellungen!$B$28,E13*Einstellungen!$B$29),0),2)</f>
        <v>78.3</v>
      </c>
      <c r="J13" s="14">
        <f>ROUND(IF(Einstellungen!$B$18="Gewerblicher Betrieb",E13*Einstellungen!$B$30,E13*Einstellungen!$B$31),2)</f>
        <v>90.34</v>
      </c>
      <c r="K13" s="14">
        <f>ROUND(IF(Einstellungen!$B$21="Arbeitgeber",E13*Einstellungen!$B$32,0),2)</f>
        <v>12.05</v>
      </c>
      <c r="L13" s="14">
        <f>ROUND(E13*Einstellungen!$B$33,2)</f>
        <v>4.82</v>
      </c>
      <c r="M13" s="14">
        <f>ROUND(E13*Einstellungen!$B$34,2)</f>
        <v>1.33</v>
      </c>
      <c r="N13" s="14">
        <f>ROUND(IF(Einstellungen!$B$18="Gewerblicher Betrieb",E13*Einstellungen!$B$35,0),2)</f>
        <v>0.9</v>
      </c>
      <c r="O13" s="14">
        <f>ROUND(IF(Einstellungen!$B$18="Gewerblicher Betrieb",E13*Einstellungen!$B$24,E13*Einstellungen!$B$36),2)</f>
        <v>7.83</v>
      </c>
      <c r="P13" s="14">
        <f t="shared" si="2"/>
        <v>195.57</v>
      </c>
      <c r="Q13" s="14">
        <f t="shared" si="3"/>
        <v>797.86</v>
      </c>
      <c r="R13" s="15">
        <f>SUM($E$7:E13)</f>
        <v>4051.89</v>
      </c>
      <c r="S13" s="16" t="str">
        <f>IF(E13=0,"Offen",IF(C13&lt;Einstellungen!$B$6,"Mindestlohn prüfen",IF(R13&gt;Einstellungen!$B$5,"Jahresgrenze prüfen",IF(E13&gt;Einstellungen!$B$4,"Monat &gt; 603 €, Jahr prüfen","OK"))))</f>
        <v>OK</v>
      </c>
      <c r="U13" s="17" t="s">
        <v>93</v>
      </c>
      <c r="V13" s="18">
        <f t="shared" si="4"/>
        <v>602.29</v>
      </c>
      <c r="W13" s="18">
        <f t="shared" si="5"/>
        <v>580.61</v>
      </c>
      <c r="X13" s="18">
        <f t="shared" si="6"/>
        <v>797.86</v>
      </c>
    </row>
    <row r="14" spans="1:26" x14ac:dyDescent="0.25">
      <c r="A14" s="13" t="s">
        <v>94</v>
      </c>
      <c r="B14" s="11">
        <v>36.5</v>
      </c>
      <c r="C14" s="12">
        <v>14.5</v>
      </c>
      <c r="D14" s="12">
        <v>0</v>
      </c>
      <c r="E14" s="14">
        <f t="shared" si="0"/>
        <v>529.25</v>
      </c>
      <c r="F14" s="14">
        <f>ROUND(IF(Einstellungen!$B$20="pflichtig",E14*Einstellungen!$B$37,0),2)</f>
        <v>19.05</v>
      </c>
      <c r="G14" s="14">
        <f>ROUND(IF(Einstellungen!$B$21="Arbeitnehmer",E14*Einstellungen!$B$32,0),2)</f>
        <v>0</v>
      </c>
      <c r="H14" s="14">
        <f t="shared" si="1"/>
        <v>510.2</v>
      </c>
      <c r="I14" s="14">
        <f>ROUND(IF(Einstellungen!$B$19="gesetzlich",IF(Einstellungen!$B$18="Gewerblicher Betrieb",E14*Einstellungen!$B$28,E14*Einstellungen!$B$29),0),2)</f>
        <v>68.8</v>
      </c>
      <c r="J14" s="14">
        <f>ROUND(IF(Einstellungen!$B$18="Gewerblicher Betrieb",E14*Einstellungen!$B$30,E14*Einstellungen!$B$31),2)</f>
        <v>79.39</v>
      </c>
      <c r="K14" s="14">
        <f>ROUND(IF(Einstellungen!$B$21="Arbeitgeber",E14*Einstellungen!$B$32,0),2)</f>
        <v>10.59</v>
      </c>
      <c r="L14" s="14">
        <f>ROUND(E14*Einstellungen!$B$33,2)</f>
        <v>4.2300000000000004</v>
      </c>
      <c r="M14" s="14">
        <f>ROUND(E14*Einstellungen!$B$34,2)</f>
        <v>1.1599999999999999</v>
      </c>
      <c r="N14" s="14">
        <f>ROUND(IF(Einstellungen!$B$18="Gewerblicher Betrieb",E14*Einstellungen!$B$35,0),2)</f>
        <v>0.79</v>
      </c>
      <c r="O14" s="14">
        <f>ROUND(IF(Einstellungen!$B$18="Gewerblicher Betrieb",E14*Einstellungen!$B$24,E14*Einstellungen!$B$36),2)</f>
        <v>6.88</v>
      </c>
      <c r="P14" s="14">
        <f t="shared" si="2"/>
        <v>171.84</v>
      </c>
      <c r="Q14" s="14">
        <f t="shared" si="3"/>
        <v>701.09</v>
      </c>
      <c r="R14" s="15">
        <f>SUM($E$7:E14)</f>
        <v>4581.1399999999994</v>
      </c>
      <c r="S14" s="16" t="str">
        <f>IF(E14=0,"Offen",IF(C14&lt;Einstellungen!$B$6,"Mindestlohn prüfen",IF(R14&gt;Einstellungen!$B$5,"Jahresgrenze prüfen",IF(E14&gt;Einstellungen!$B$4,"Monat &gt; 603 €, Jahr prüfen","OK"))))</f>
        <v>OK</v>
      </c>
      <c r="U14" s="17" t="s">
        <v>95</v>
      </c>
      <c r="V14" s="18">
        <f t="shared" si="4"/>
        <v>529.25</v>
      </c>
      <c r="W14" s="18">
        <f t="shared" si="5"/>
        <v>510.2</v>
      </c>
      <c r="X14" s="18">
        <f t="shared" si="6"/>
        <v>701.09</v>
      </c>
    </row>
    <row r="15" spans="1:26" x14ac:dyDescent="0.25">
      <c r="A15" s="13" t="s">
        <v>96</v>
      </c>
      <c r="B15" s="11">
        <v>41</v>
      </c>
      <c r="C15" s="12">
        <v>14</v>
      </c>
      <c r="D15" s="12">
        <v>15</v>
      </c>
      <c r="E15" s="14">
        <f t="shared" si="0"/>
        <v>589</v>
      </c>
      <c r="F15" s="14">
        <f>ROUND(IF(Einstellungen!$B$20="pflichtig",E15*Einstellungen!$B$37,0),2)</f>
        <v>21.2</v>
      </c>
      <c r="G15" s="14">
        <f>ROUND(IF(Einstellungen!$B$21="Arbeitnehmer",E15*Einstellungen!$B$32,0),2)</f>
        <v>0</v>
      </c>
      <c r="H15" s="14">
        <f t="shared" si="1"/>
        <v>567.79999999999995</v>
      </c>
      <c r="I15" s="14">
        <f>ROUND(IF(Einstellungen!$B$19="gesetzlich",IF(Einstellungen!$B$18="Gewerblicher Betrieb",E15*Einstellungen!$B$28,E15*Einstellungen!$B$29),0),2)</f>
        <v>76.569999999999993</v>
      </c>
      <c r="J15" s="14">
        <f>ROUND(IF(Einstellungen!$B$18="Gewerblicher Betrieb",E15*Einstellungen!$B$30,E15*Einstellungen!$B$31),2)</f>
        <v>88.35</v>
      </c>
      <c r="K15" s="14">
        <f>ROUND(IF(Einstellungen!$B$21="Arbeitgeber",E15*Einstellungen!$B$32,0),2)</f>
        <v>11.78</v>
      </c>
      <c r="L15" s="14">
        <f>ROUND(E15*Einstellungen!$B$33,2)</f>
        <v>4.71</v>
      </c>
      <c r="M15" s="14">
        <f>ROUND(E15*Einstellungen!$B$34,2)</f>
        <v>1.3</v>
      </c>
      <c r="N15" s="14">
        <f>ROUND(IF(Einstellungen!$B$18="Gewerblicher Betrieb",E15*Einstellungen!$B$35,0),2)</f>
        <v>0.88</v>
      </c>
      <c r="O15" s="14">
        <f>ROUND(IF(Einstellungen!$B$18="Gewerblicher Betrieb",E15*Einstellungen!$B$24,E15*Einstellungen!$B$36),2)</f>
        <v>7.66</v>
      </c>
      <c r="P15" s="14">
        <f t="shared" si="2"/>
        <v>191.25</v>
      </c>
      <c r="Q15" s="14">
        <f t="shared" si="3"/>
        <v>780.25</v>
      </c>
      <c r="R15" s="15">
        <f>SUM($E$7:E15)</f>
        <v>5170.1399999999994</v>
      </c>
      <c r="S15" s="16" t="str">
        <f>IF(E15=0,"Offen",IF(C15&lt;Einstellungen!$B$6,"Mindestlohn prüfen",IF(R15&gt;Einstellungen!$B$5,"Jahresgrenze prüfen",IF(E15&gt;Einstellungen!$B$4,"Monat &gt; 603 €, Jahr prüfen","OK"))))</f>
        <v>OK</v>
      </c>
      <c r="U15" s="17" t="s">
        <v>97</v>
      </c>
      <c r="V15" s="18">
        <f t="shared" si="4"/>
        <v>589</v>
      </c>
      <c r="W15" s="18">
        <f t="shared" si="5"/>
        <v>567.79999999999995</v>
      </c>
      <c r="X15" s="18">
        <f t="shared" si="6"/>
        <v>780.25</v>
      </c>
    </row>
    <row r="16" spans="1:26" x14ac:dyDescent="0.25">
      <c r="A16" s="13" t="s">
        <v>98</v>
      </c>
      <c r="B16" s="11">
        <v>39</v>
      </c>
      <c r="C16" s="12">
        <v>14.25</v>
      </c>
      <c r="D16" s="12">
        <v>0</v>
      </c>
      <c r="E16" s="14">
        <f t="shared" si="0"/>
        <v>555.75</v>
      </c>
      <c r="F16" s="14">
        <f>ROUND(IF(Einstellungen!$B$20="pflichtig",E16*Einstellungen!$B$37,0),2)</f>
        <v>20.010000000000002</v>
      </c>
      <c r="G16" s="14">
        <f>ROUND(IF(Einstellungen!$B$21="Arbeitnehmer",E16*Einstellungen!$B$32,0),2)</f>
        <v>0</v>
      </c>
      <c r="H16" s="14">
        <f t="shared" si="1"/>
        <v>535.74</v>
      </c>
      <c r="I16" s="14">
        <f>ROUND(IF(Einstellungen!$B$19="gesetzlich",IF(Einstellungen!$B$18="Gewerblicher Betrieb",E16*Einstellungen!$B$28,E16*Einstellungen!$B$29),0),2)</f>
        <v>72.25</v>
      </c>
      <c r="J16" s="14">
        <f>ROUND(IF(Einstellungen!$B$18="Gewerblicher Betrieb",E16*Einstellungen!$B$30,E16*Einstellungen!$B$31),2)</f>
        <v>83.36</v>
      </c>
      <c r="K16" s="14">
        <f>ROUND(IF(Einstellungen!$B$21="Arbeitgeber",E16*Einstellungen!$B$32,0),2)</f>
        <v>11.12</v>
      </c>
      <c r="L16" s="14">
        <f>ROUND(E16*Einstellungen!$B$33,2)</f>
        <v>4.45</v>
      </c>
      <c r="M16" s="14">
        <f>ROUND(E16*Einstellungen!$B$34,2)</f>
        <v>1.22</v>
      </c>
      <c r="N16" s="14">
        <f>ROUND(IF(Einstellungen!$B$18="Gewerblicher Betrieb",E16*Einstellungen!$B$35,0),2)</f>
        <v>0.83</v>
      </c>
      <c r="O16" s="14">
        <f>ROUND(IF(Einstellungen!$B$18="Gewerblicher Betrieb",E16*Einstellungen!$B$24,E16*Einstellungen!$B$36),2)</f>
        <v>7.22</v>
      </c>
      <c r="P16" s="14">
        <f t="shared" si="2"/>
        <v>180.45</v>
      </c>
      <c r="Q16" s="14">
        <f t="shared" si="3"/>
        <v>736.2</v>
      </c>
      <c r="R16" s="15">
        <f>SUM($E$7:E16)</f>
        <v>5725.8899999999994</v>
      </c>
      <c r="S16" s="16" t="str">
        <f>IF(E16=0,"Offen",IF(C16&lt;Einstellungen!$B$6,"Mindestlohn prüfen",IF(R16&gt;Einstellungen!$B$5,"Jahresgrenze prüfen",IF(E16&gt;Einstellungen!$B$4,"Monat &gt; 603 €, Jahr prüfen","OK"))))</f>
        <v>OK</v>
      </c>
      <c r="U16" s="17" t="s">
        <v>99</v>
      </c>
      <c r="V16" s="18">
        <f t="shared" si="4"/>
        <v>555.75</v>
      </c>
      <c r="W16" s="18">
        <f t="shared" si="5"/>
        <v>535.74</v>
      </c>
      <c r="X16" s="18">
        <f t="shared" si="6"/>
        <v>736.2</v>
      </c>
    </row>
    <row r="17" spans="1:24" x14ac:dyDescent="0.25">
      <c r="A17" s="13" t="s">
        <v>100</v>
      </c>
      <c r="B17" s="11">
        <v>42.5</v>
      </c>
      <c r="C17" s="12">
        <v>13.9</v>
      </c>
      <c r="D17" s="12">
        <v>0</v>
      </c>
      <c r="E17" s="14">
        <f t="shared" si="0"/>
        <v>590.75</v>
      </c>
      <c r="F17" s="14">
        <f>ROUND(IF(Einstellungen!$B$20="pflichtig",E17*Einstellungen!$B$37,0),2)</f>
        <v>21.27</v>
      </c>
      <c r="G17" s="14">
        <f>ROUND(IF(Einstellungen!$B$21="Arbeitnehmer",E17*Einstellungen!$B$32,0),2)</f>
        <v>0</v>
      </c>
      <c r="H17" s="14">
        <f t="shared" si="1"/>
        <v>569.48</v>
      </c>
      <c r="I17" s="14">
        <f>ROUND(IF(Einstellungen!$B$19="gesetzlich",IF(Einstellungen!$B$18="Gewerblicher Betrieb",E17*Einstellungen!$B$28,E17*Einstellungen!$B$29),0),2)</f>
        <v>76.8</v>
      </c>
      <c r="J17" s="14">
        <f>ROUND(IF(Einstellungen!$B$18="Gewerblicher Betrieb",E17*Einstellungen!$B$30,E17*Einstellungen!$B$31),2)</f>
        <v>88.61</v>
      </c>
      <c r="K17" s="14">
        <f>ROUND(IF(Einstellungen!$B$21="Arbeitgeber",E17*Einstellungen!$B$32,0),2)</f>
        <v>11.82</v>
      </c>
      <c r="L17" s="14">
        <f>ROUND(E17*Einstellungen!$B$33,2)</f>
        <v>4.7300000000000004</v>
      </c>
      <c r="M17" s="14">
        <f>ROUND(E17*Einstellungen!$B$34,2)</f>
        <v>1.3</v>
      </c>
      <c r="N17" s="14">
        <f>ROUND(IF(Einstellungen!$B$18="Gewerblicher Betrieb",E17*Einstellungen!$B$35,0),2)</f>
        <v>0.89</v>
      </c>
      <c r="O17" s="14">
        <f>ROUND(IF(Einstellungen!$B$18="Gewerblicher Betrieb",E17*Einstellungen!$B$24,E17*Einstellungen!$B$36),2)</f>
        <v>7.68</v>
      </c>
      <c r="P17" s="14">
        <f t="shared" si="2"/>
        <v>191.83</v>
      </c>
      <c r="Q17" s="14">
        <f t="shared" si="3"/>
        <v>782.58</v>
      </c>
      <c r="R17" s="15">
        <f>SUM($E$7:E17)</f>
        <v>6316.6399999999994</v>
      </c>
      <c r="S17" s="16" t="str">
        <f>IF(E17=0,"Offen",IF(C17&lt;Einstellungen!$B$6,"Mindestlohn prüfen",IF(R17&gt;Einstellungen!$B$5,"Jahresgrenze prüfen",IF(E17&gt;Einstellungen!$B$4,"Monat &gt; 603 €, Jahr prüfen","OK"))))</f>
        <v>OK</v>
      </c>
      <c r="U17" s="17" t="s">
        <v>101</v>
      </c>
      <c r="V17" s="18">
        <f t="shared" si="4"/>
        <v>590.75</v>
      </c>
      <c r="W17" s="18">
        <f t="shared" si="5"/>
        <v>569.48</v>
      </c>
      <c r="X17" s="18">
        <f t="shared" si="6"/>
        <v>782.58</v>
      </c>
    </row>
    <row r="18" spans="1:24" x14ac:dyDescent="0.25">
      <c r="A18" s="13" t="s">
        <v>102</v>
      </c>
      <c r="B18" s="11">
        <v>30</v>
      </c>
      <c r="C18" s="12">
        <v>15</v>
      </c>
      <c r="D18" s="12">
        <v>25</v>
      </c>
      <c r="E18" s="14">
        <f t="shared" si="0"/>
        <v>475</v>
      </c>
      <c r="F18" s="14">
        <f>ROUND(IF(Einstellungen!$B$20="pflichtig",E18*Einstellungen!$B$37,0),2)</f>
        <v>17.100000000000001</v>
      </c>
      <c r="G18" s="14">
        <f>ROUND(IF(Einstellungen!$B$21="Arbeitnehmer",E18*Einstellungen!$B$32,0),2)</f>
        <v>0</v>
      </c>
      <c r="H18" s="14">
        <f t="shared" si="1"/>
        <v>457.9</v>
      </c>
      <c r="I18" s="14">
        <f>ROUND(IF(Einstellungen!$B$19="gesetzlich",IF(Einstellungen!$B$18="Gewerblicher Betrieb",E18*Einstellungen!$B$28,E18*Einstellungen!$B$29),0),2)</f>
        <v>61.75</v>
      </c>
      <c r="J18" s="14">
        <f>ROUND(IF(Einstellungen!$B$18="Gewerblicher Betrieb",E18*Einstellungen!$B$30,E18*Einstellungen!$B$31),2)</f>
        <v>71.25</v>
      </c>
      <c r="K18" s="14">
        <f>ROUND(IF(Einstellungen!$B$21="Arbeitgeber",E18*Einstellungen!$B$32,0),2)</f>
        <v>9.5</v>
      </c>
      <c r="L18" s="14">
        <f>ROUND(E18*Einstellungen!$B$33,2)</f>
        <v>3.8</v>
      </c>
      <c r="M18" s="14">
        <f>ROUND(E18*Einstellungen!$B$34,2)</f>
        <v>1.05</v>
      </c>
      <c r="N18" s="14">
        <f>ROUND(IF(Einstellungen!$B$18="Gewerblicher Betrieb",E18*Einstellungen!$B$35,0),2)</f>
        <v>0.71</v>
      </c>
      <c r="O18" s="14">
        <f>ROUND(IF(Einstellungen!$B$18="Gewerblicher Betrieb",E18*Einstellungen!$B$24,E18*Einstellungen!$B$36),2)</f>
        <v>6.18</v>
      </c>
      <c r="P18" s="14">
        <f t="shared" si="2"/>
        <v>154.24</v>
      </c>
      <c r="Q18" s="14">
        <f t="shared" si="3"/>
        <v>629.24</v>
      </c>
      <c r="R18" s="15">
        <f>SUM($E$7:E18)</f>
        <v>6791.6399999999994</v>
      </c>
      <c r="S18" s="16" t="str">
        <f>IF(E18=0,"Offen",IF(C18&lt;Einstellungen!$B$6,"Mindestlohn prüfen",IF(R18&gt;Einstellungen!$B$5,"Jahresgrenze prüfen",IF(E18&gt;Einstellungen!$B$4,"Monat &gt; 603 €, Jahr prüfen","OK"))))</f>
        <v>OK</v>
      </c>
      <c r="U18" s="17" t="s">
        <v>103</v>
      </c>
      <c r="V18" s="18">
        <f t="shared" si="4"/>
        <v>475</v>
      </c>
      <c r="W18" s="18">
        <f t="shared" si="5"/>
        <v>457.9</v>
      </c>
      <c r="X18" s="18">
        <f t="shared" si="6"/>
        <v>629.24</v>
      </c>
    </row>
  </sheetData>
  <mergeCells count="2">
    <mergeCell ref="A1:S1"/>
    <mergeCell ref="A3:S3"/>
  </mergeCells>
  <conditionalFormatting sqref="S7:S18">
    <cfRule type="expression" dxfId="3" priority="1">
      <formula>$S7="OK"</formula>
    </cfRule>
    <cfRule type="expression" dxfId="2" priority="2">
      <formula>$S7&lt;&gt;"OK"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00000000-000E-0000-0100-000003000000}">
            <xm:f>C7&lt;Einstellungen!$B$6</xm:f>
            <x14:dxf>
              <fill>
                <patternFill patternType="solid">
                  <bgColor rgb="FFFCE4D6"/>
                </patternFill>
              </fill>
            </x14:dxf>
          </x14:cfRule>
          <xm:sqref>C7:C18</xm:sqref>
        </x14:conditionalFormatting>
        <x14:conditionalFormatting xmlns:xm="http://schemas.microsoft.com/office/excel/2006/main">
          <x14:cfRule type="expression" priority="4" id="{00000000-000E-0000-0100-000004000000}">
            <xm:f>E7&gt;Einstellungen!$B$4</xm:f>
            <x14:dxf>
              <fill>
                <patternFill patternType="solid">
                  <bgColor rgb="FFFCE4D6"/>
                </patternFill>
              </fill>
            </x14:dxf>
          </x14:cfRule>
          <xm:sqref>E7:E18</xm:sqref>
        </x14:conditionalFormatting>
        <x14:conditionalFormatting xmlns:xm="http://schemas.microsoft.com/office/excel/2006/main">
          <x14:cfRule type="expression" priority="5" id="{00000000-000E-0000-0100-000005000000}">
            <xm:f>R7&gt;Einstellungen!$B$5</xm:f>
            <x14:dxf>
              <fill>
                <patternFill patternType="solid">
                  <bgColor rgb="FFFCE4D6"/>
                </patternFill>
              </fill>
            </x14:dxf>
          </x14:cfRule>
          <xm:sqref>R7:R18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Lohnabrechnung</vt:lpstr>
      <vt:lpstr>Einstellungen</vt:lpstr>
      <vt:lpstr>Monatsdaten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2026-05-31T13:38:44Z</dcterms:modified>
</cp:coreProperties>
</file>