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Vorlage Cloud\lohnabrechnung\"/>
    </mc:Choice>
  </mc:AlternateContent>
  <xr:revisionPtr revIDLastSave="0" documentId="13_ncr:1_{92C49D50-F017-4B71-9A38-0EAC08DCC1E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ohnabrechnung" sheetId="1" r:id="rId1"/>
    <sheet name="Jahresübersicht" sheetId="2" r:id="rId2"/>
    <sheet name="Annahmen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2" l="1"/>
  <c r="E17" i="2"/>
  <c r="J17" i="2" s="1"/>
  <c r="D17" i="2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H8" i="2"/>
  <c r="E8" i="2"/>
  <c r="J8" i="2" s="1"/>
  <c r="D8" i="2"/>
  <c r="E7" i="2"/>
  <c r="J7" i="2" s="1"/>
  <c r="D7" i="2"/>
  <c r="E6" i="2"/>
  <c r="D6" i="2"/>
  <c r="B3" i="2"/>
  <c r="B2" i="2"/>
  <c r="H56" i="1"/>
  <c r="C56" i="1"/>
  <c r="F47" i="1"/>
  <c r="F46" i="1"/>
  <c r="F45" i="1"/>
  <c r="F44" i="1"/>
  <c r="F43" i="1"/>
  <c r="F42" i="1"/>
  <c r="F41" i="1"/>
  <c r="H31" i="1"/>
  <c r="C31" i="1"/>
  <c r="F30" i="1"/>
  <c r="C30" i="1"/>
  <c r="G25" i="1"/>
  <c r="F25" i="1"/>
  <c r="C25" i="1"/>
  <c r="G21" i="1"/>
  <c r="G20" i="1"/>
  <c r="G19" i="1"/>
  <c r="G18" i="1"/>
  <c r="G17" i="1"/>
  <c r="C17" i="1"/>
  <c r="G16" i="1"/>
  <c r="C16" i="1"/>
  <c r="G15" i="1"/>
  <c r="C15" i="1"/>
  <c r="G14" i="1"/>
  <c r="C14" i="1"/>
  <c r="C9" i="1"/>
  <c r="G8" i="1"/>
  <c r="H25" i="1" s="1"/>
  <c r="H26" i="1" s="1"/>
  <c r="C8" i="1"/>
  <c r="G7" i="1"/>
  <c r="B3" i="1"/>
  <c r="B2" i="1"/>
  <c r="H13" i="2" l="1"/>
  <c r="I13" i="2" s="1"/>
  <c r="F13" i="2"/>
  <c r="G13" i="2" s="1"/>
  <c r="J13" i="2"/>
  <c r="F9" i="2"/>
  <c r="G9" i="2" s="1"/>
  <c r="J9" i="2"/>
  <c r="H9" i="2"/>
  <c r="I9" i="2" s="1"/>
  <c r="J14" i="2"/>
  <c r="H14" i="2"/>
  <c r="I14" i="2"/>
  <c r="F14" i="2"/>
  <c r="G14" i="2" s="1"/>
  <c r="J15" i="2"/>
  <c r="H15" i="2"/>
  <c r="I15" i="2" s="1"/>
  <c r="F15" i="2"/>
  <c r="G15" i="2" s="1"/>
  <c r="H35" i="1"/>
  <c r="H51" i="1"/>
  <c r="H30" i="1"/>
  <c r="H32" i="1" s="1"/>
  <c r="H36" i="1" s="1"/>
  <c r="H47" i="1"/>
  <c r="H44" i="1"/>
  <c r="H46" i="1"/>
  <c r="H45" i="1"/>
  <c r="H43" i="1"/>
  <c r="H42" i="1"/>
  <c r="H57" i="1"/>
  <c r="H41" i="1"/>
  <c r="H48" i="1" s="1"/>
  <c r="H52" i="1" s="1"/>
  <c r="C57" i="1"/>
  <c r="H37" i="1"/>
  <c r="J10" i="2"/>
  <c r="I10" i="2"/>
  <c r="H10" i="2"/>
  <c r="F10" i="2"/>
  <c r="G10" i="2" s="1"/>
  <c r="J11" i="2"/>
  <c r="H11" i="2"/>
  <c r="I11" i="2" s="1"/>
  <c r="F11" i="2"/>
  <c r="G11" i="2" s="1"/>
  <c r="J12" i="2"/>
  <c r="F12" i="2"/>
  <c r="H12" i="2"/>
  <c r="I12" i="2" s="1"/>
  <c r="G12" i="2"/>
  <c r="H16" i="2"/>
  <c r="F16" i="2"/>
  <c r="G16" i="2" s="1"/>
  <c r="J16" i="2"/>
  <c r="I16" i="2"/>
  <c r="F8" i="2"/>
  <c r="G8" i="2"/>
  <c r="I8" i="2"/>
  <c r="F17" i="2"/>
  <c r="G17" i="2" s="1"/>
  <c r="E18" i="2"/>
  <c r="J6" i="2"/>
  <c r="H17" i="2"/>
  <c r="I17" i="2" s="1"/>
  <c r="H6" i="2"/>
  <c r="F7" i="2"/>
  <c r="G7" i="2"/>
  <c r="H7" i="2"/>
  <c r="I7" i="2"/>
  <c r="F6" i="2"/>
  <c r="H18" i="2" l="1"/>
  <c r="F23" i="2" s="1"/>
  <c r="F18" i="2"/>
  <c r="B23" i="2"/>
  <c r="J18" i="2"/>
  <c r="H53" i="1"/>
  <c r="I6" i="2"/>
  <c r="I18" i="2" s="1"/>
  <c r="H23" i="2" s="1"/>
  <c r="G6" i="2"/>
  <c r="G18" i="2" s="1"/>
  <c r="D23" i="2" s="1"/>
</calcChain>
</file>

<file path=xl/sharedStrings.xml><?xml version="1.0" encoding="utf-8"?>
<sst xmlns="http://schemas.openxmlformats.org/spreadsheetml/2006/main" count="185" uniqueCount="151">
  <si>
    <t>ABRECHNUNGSZEITRAUM &amp; PARAMETER</t>
  </si>
  <si>
    <t>Abrechnungsmonat</t>
  </si>
  <si>
    <t>Januar</t>
  </si>
  <si>
    <t>Art des Minijobs</t>
  </si>
  <si>
    <t>Personalnummer</t>
  </si>
  <si>
    <t>Stundenlohn</t>
  </si>
  <si>
    <t>Abrechnungsdatum</t>
  </si>
  <si>
    <t>Geleistete Stunden</t>
  </si>
  <si>
    <t>STAMMDATEN</t>
  </si>
  <si>
    <t>Arbeitgeber</t>
  </si>
  <si>
    <t>Arbeitnehmer/in</t>
  </si>
  <si>
    <t>Firma / Privathaushalt</t>
  </si>
  <si>
    <t>Name, Vorname</t>
  </si>
  <si>
    <t>Anschrift</t>
  </si>
  <si>
    <t>Betriebsnummer</t>
  </si>
  <si>
    <t>Geburtsdatum</t>
  </si>
  <si>
    <t>Ansprechpartner/in</t>
  </si>
  <si>
    <t>SV-Nummer</t>
  </si>
  <si>
    <t>Steuer-ID</t>
  </si>
  <si>
    <t>Eintrittsdatum</t>
  </si>
  <si>
    <t>Tätigkeit</t>
  </si>
  <si>
    <t>BRUTTOLOHN</t>
  </si>
  <si>
    <t>Bezeichnung</t>
  </si>
  <si>
    <t>Berechnung</t>
  </si>
  <si>
    <t>Stunden / Satz</t>
  </si>
  <si>
    <t>Betrag</t>
  </si>
  <si>
    <t>Stundenlohn × geleistete Stunden</t>
  </si>
  <si>
    <t>BRUTTOLOHN GESAMT</t>
  </si>
  <si>
    <t>ABZÜGE ARBEITNEHMER/IN</t>
  </si>
  <si>
    <t>Bemerkung</t>
  </si>
  <si>
    <t>Satz</t>
  </si>
  <si>
    <t>Rentenversicherung – Eigenanteil</t>
  </si>
  <si>
    <t>Lohnsteuer (individuell)</t>
  </si>
  <si>
    <t>SUMME ABZÜGE</t>
  </si>
  <si>
    <t>AUSZAHLUNGSBETRAG</t>
  </si>
  <si>
    <t>Bruttolohn</t>
  </si>
  <si>
    <t>– Abzüge Arbeitnehmer/in</t>
  </si>
  <si>
    <t>AUSZAHLUNG NETTO</t>
  </si>
  <si>
    <t>ARBEITGEBER-ABGABEN (Pauschalabgaben an die Minijob-Zentrale)</t>
  </si>
  <si>
    <t>Beitrag</t>
  </si>
  <si>
    <t>Empfänger / Hinweis</t>
  </si>
  <si>
    <t>Krankenversicherung – pauschal</t>
  </si>
  <si>
    <t>Minijob-Zentrale</t>
  </si>
  <si>
    <t>Rentenversicherung – pauschal</t>
  </si>
  <si>
    <t>Lohnsteuer – pauschal (2 %)</t>
  </si>
  <si>
    <t>Minijob-Zentrale (inkl. Soli &amp; KiSt)</t>
  </si>
  <si>
    <t>Umlage U1 (Krankheit)</t>
  </si>
  <si>
    <t>Minijob-Zentrale (Erstattung bei AU)</t>
  </si>
  <si>
    <t>Umlage U2 (Mutterschaft)</t>
  </si>
  <si>
    <t>Insolvenzgeldumlage</t>
  </si>
  <si>
    <t>nur gewerblich</t>
  </si>
  <si>
    <t>Unfallversicherung</t>
  </si>
  <si>
    <t>Berufsgenossenschaft / Unfallkasse</t>
  </si>
  <si>
    <t>SUMME AG-ABGABEN</t>
  </si>
  <si>
    <t>ARBEITGEBER-GESAMTKOSTEN</t>
  </si>
  <si>
    <t>+ Arbeitgeber-Abgaben</t>
  </si>
  <si>
    <t>GESAMTKOSTEN ARBEITGEBER</t>
  </si>
  <si>
    <t>PRÜFUNGEN</t>
  </si>
  <si>
    <t>Mindestlohn eingehalten?</t>
  </si>
  <si>
    <t>Verdienstgrenze eingehalten?</t>
  </si>
  <si>
    <t>BESTÄTIGUNG</t>
  </si>
  <si>
    <t xml:space="preserve"> </t>
  </si>
  <si>
    <t>Datum, Ort, Unterschrift Arbeitgeber</t>
  </si>
  <si>
    <t>Datum, Ort, Unterschrift Arbeitnehmer/in</t>
  </si>
  <si>
    <t>Monat</t>
  </si>
  <si>
    <t>Stunden</t>
  </si>
  <si>
    <t>RV-Eigenanteil AN</t>
  </si>
  <si>
    <t>Auszahlung Netto</t>
  </si>
  <si>
    <t>AG-Abgaben</t>
  </si>
  <si>
    <t>Gesamtkosten AG</t>
  </si>
  <si>
    <t>Status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</si>
  <si>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</si>
  <si>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</si>
  <si>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</si>
  <si>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</si>
  <si>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</si>
  <si>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</si>
  <si>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</si>
  <si>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</si>
  <si>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</si>
  <si>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</si>
  <si>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</si>
  <si>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JAHRESGESAMT</t>
  </si>
  <si>
    <t>KENNZAHLEN</t>
  </si>
  <si>
    <t>JAHRES-BRUTTOLOHN</t>
  </si>
  <si>
    <t>AG-ABGABEN</t>
  </si>
  <si>
    <t>Hinweis: Die Vorlage berechnet Brutto, Netto und AG-Kosten auf Basis der aktuellen Sätze 2026 und der Einstellungen im Blatt „Annahmen“. Beispieldaten (40 h/Monat, 15 € Stundenlohn) sind frei erfunden. Bei Über- oder Unterschreitung von Grenzen wird der Status rot markiert. Die Vorlage ersetzt keine rechtliche oder steuerliche Beratung.</t>
  </si>
  <si>
    <t>STAMMDATEN &amp; PARAMETER 2026</t>
  </si>
  <si>
    <t>Zentrale Steuerung der Vorlage. Änderungen wirken sich auf alle Blätter aus.</t>
  </si>
  <si>
    <t>1. Arbeitgeber</t>
  </si>
  <si>
    <t>Musterfirma GmbH</t>
  </si>
  <si>
    <t>Name des Arbeitgebers bzw. Privathaushalts.</t>
  </si>
  <si>
    <t>Musterstraße 1, 12345 Musterstadt</t>
  </si>
  <si>
    <t>Straße, PLZ, Ort.</t>
  </si>
  <si>
    <t>12345678</t>
  </si>
  <si>
    <t>8-stellige Betriebsnummer (von der Agentur für Arbeit).</t>
  </si>
  <si>
    <t>Erika Beispiel</t>
  </si>
  <si>
    <t>Verantwortliche Person für die Lohnabrechnung.</t>
  </si>
  <si>
    <t>2. Arbeitnehmer/in</t>
  </si>
  <si>
    <t>Mustermann, Max</t>
  </si>
  <si>
    <t>Vollständiger Name der/s Minijobber/in.</t>
  </si>
  <si>
    <t>Beispielweg 7, 12345 Musterstadt</t>
  </si>
  <si>
    <t>Im Format TT.MM.JJJJ.</t>
  </si>
  <si>
    <t>Sozialversicherungsnr.</t>
  </si>
  <si>
    <t>12 345678 M 901</t>
  </si>
  <si>
    <t>12-stellige Versicherungsnummer der Deutschen Rentenversicherung.</t>
  </si>
  <si>
    <t>12 345 678 901</t>
  </si>
  <si>
    <t>11-stellige steuerliche Identifikationsnummer.</t>
  </si>
  <si>
    <t>P-0001</t>
  </si>
  <si>
    <t>Frei wählbare interne Personalnummer.</t>
  </si>
  <si>
    <t>Beginn des Beschäftigungsverhältnisses.</t>
  </si>
  <si>
    <t>Bürokraft</t>
  </si>
  <si>
    <t>Bezeichnung der Tätigkeit.</t>
  </si>
  <si>
    <t>3. Vertragsdaten</t>
  </si>
  <si>
    <t>Gewerblich</t>
  </si>
  <si>
    <t>Auswahl: "Gewerblich" oder "Privathaushalt".</t>
  </si>
  <si>
    <t>Stundenlohn (€/Std.)</t>
  </si>
  <si>
    <t>Vereinbarter Brutto-Stundenlohn (≥ Mindestlohn 13,90 €).</t>
  </si>
  <si>
    <t>Vereinbarte Monatsstunden</t>
  </si>
  <si>
    <t>Durchschnittliche monatliche Arbeitsstunden (nur als Orientierung).</t>
  </si>
  <si>
    <t>RV-Befreiung Arbeitnehmer</t>
  </si>
  <si>
    <t>Nein</t>
  </si>
  <si>
    <t>Auswahl: "Ja" oder "Nein". Bei "Nein" zahlt der/die AN 3,6 % Eigenanteil.</t>
  </si>
  <si>
    <t>Steuerart</t>
  </si>
  <si>
    <t>Pauschal (2 %)</t>
  </si>
  <si>
    <t>Auswahl: "Pauschal (2 %)" oder "Individuell (ELStAM)".</t>
  </si>
  <si>
    <t>Abrechnungsjahr</t>
  </si>
  <si>
    <t>Geschäftsjahr der Abrechnungen.</t>
  </si>
  <si>
    <t>4. Gesetzliche Grenzwerte 2026</t>
  </si>
  <si>
    <t>Mindestlohn (€/Std.)</t>
  </si>
  <si>
    <t>Gesetzlicher Mindestlohn ab 01.01.2026.</t>
  </si>
  <si>
    <t>Monatliche Verdienstgrenze</t>
  </si>
  <si>
    <t>Maximaler Monatsverdienst für Minijob 2026.</t>
  </si>
  <si>
    <t>Jahresverdienstgrenze</t>
  </si>
  <si>
    <t>Maximaler Jahresverdienst (12 × 603 €).</t>
  </si>
  <si>
    <t>Übergangsbereich (Midijob) ab</t>
  </si>
  <si>
    <t>Ab diesem Betrag beginnt der Midijob-Bereich.</t>
  </si>
  <si>
    <t>5. Beitragssätze 2026 (Pauschalabgaben)</t>
  </si>
  <si>
    <t>Privathaushalt</t>
  </si>
  <si>
    <t>Krankenversicherung (KV) – Pauschal AG</t>
  </si>
  <si>
    <t>Rentenversicherung (RV) – Pauschal AG</t>
  </si>
  <si>
    <t>Lohnsteuer – Pauschal AG (optional)</t>
  </si>
  <si>
    <t>RV-Eigenanteil Arbeitnehmer</t>
  </si>
  <si>
    <t>Hinweise: Die Lohnsteuer-Pauschale (2 %) und die RV-Eigenbeteiligung (3,6 %) gelten nur, wenn entsprechend gewählt. Die Unfallversicherung (BG) variiert je nach Branche und Gefahrklasse.</t>
  </si>
  <si>
    <t>6. So benutzen Sie die Vorlage</t>
  </si>
  <si>
    <t>1.  Tragen Sie unter „Arbeitgeber“ und „Arbeitnehmer/in“ die Stammdaten ein.</t>
  </si>
  <si>
    <t>2.  Wählen Sie unter „Vertragsdaten“ Art des Minijobs, Stundenlohn, RV-Befreiung und Steuerart.</t>
  </si>
  <si>
    <t>3.  Wechseln Sie zum Blatt „Lohnabrechnung“. Tragen Sie Abrechnungsmonat und geleistete Stunden ein.</t>
  </si>
  <si>
    <t>4.  Die Vorlage berechnet automatisch Bruttolohn, Abzüge, Auszahlung und die AG-Gesamtkosten.</t>
  </si>
  <si>
    <t>5.  Im Blatt „Jahresübersicht“ tragen Sie die Stunden pro Monat ein und sehen die kompletten Jahreszahlen.</t>
  </si>
  <si>
    <t>6.  Achten Sie auf die Warnhinweise: die Vorlage prüft Mindestlohn und Verdienstgrenze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</si>
</sst>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#,##0.00&quot; h&quot;;[Red]\-#,##0.00&quot; h&quot;;\–"/>
    <numFmt numFmtId="166" formatCode="dd\.mm\.yyyy"/>
    <numFmt numFmtId="167" formatCode="#,##0.00&quot; €&quot;;[Red]\-#,##0.00&quot; €&quot;"/>
  </numFmts>
  <fonts count="25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i/>
      <sz val="10"/>
      <color rgb="FF595959"/>
      <name val="Calibri"/>
      <charset val="1"/>
    </font>
    <font>
      <b/>
      <sz val="11"/>
      <color rgb="FFFFFFFF"/>
      <name val="Calibri"/>
      <charset val="1"/>
    </font>
    <font>
      <b/>
      <sz val="10"/>
      <color rgb="FF000000"/>
      <name val="Calibri"/>
      <charset val="1"/>
    </font>
    <font>
      <b/>
      <sz val="11"/>
      <color rgb="FF0000FF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  <font>
      <i/>
      <sz val="11"/>
      <color rgb="FF595959"/>
      <name val="Calibri"/>
      <charset val="1"/>
    </font>
    <font>
      <b/>
      <sz val="12"/>
      <color rgb="FFFFFFFF"/>
      <name val="Calibri"/>
      <charset val="1"/>
    </font>
    <font>
      <b/>
      <sz val="11"/>
      <color rgb="FFC00000"/>
      <name val="Calibri"/>
      <charset val="1"/>
    </font>
    <font>
      <b/>
      <sz val="13"/>
      <color rgb="FFFFFFFF"/>
      <name val="Calibri"/>
      <charset val="1"/>
    </font>
    <font>
      <b/>
      <sz val="14"/>
      <color rgb="FFFFFFFF"/>
      <name val="Calibri"/>
      <charset val="1"/>
    </font>
    <font>
      <b/>
      <sz val="11"/>
      <color rgb="FFC65911"/>
      <name val="Calibri"/>
      <charset val="1"/>
    </font>
    <font>
      <i/>
      <sz val="9"/>
      <color rgb="FF595959"/>
      <name val="Calibri"/>
      <charset val="1"/>
    </font>
    <font>
      <b/>
      <sz val="10"/>
      <color rgb="FFFFFFFF"/>
      <name val="Calibri"/>
      <charset val="1"/>
    </font>
    <font>
      <b/>
      <sz val="11"/>
      <color rgb="FF1F4E78"/>
      <name val="Calibri"/>
      <charset val="1"/>
    </font>
    <font>
      <sz val="11"/>
      <color rgb="FF595959"/>
      <name val="Calibri"/>
      <charset val="1"/>
    </font>
    <font>
      <sz val="11"/>
      <color rgb="FFC00000"/>
      <name val="Calibri"/>
      <charset val="1"/>
    </font>
    <font>
      <b/>
      <sz val="11"/>
      <color rgb="FF548235"/>
      <name val="Calibri"/>
      <charset val="1"/>
    </font>
    <font>
      <sz val="11"/>
      <color rgb="FFC65911"/>
      <name val="Calibri"/>
      <charset val="1"/>
    </font>
    <font>
      <b/>
      <sz val="18"/>
      <color rgb="FF222222"/>
      <name val="Calibri"/>
      <charset val="1"/>
    </font>
    <font>
      <i/>
      <sz val="9"/>
      <color rgb="FF808080"/>
      <name val="Calibri"/>
      <charset val="1"/>
    </font>
    <font>
      <b/>
      <sz val="16"/>
      <color rgb="FFFFFFFF"/>
      <name val="Calibri"/>
      <charset val="1"/>
    </font>
    <font>
      <sz val="10"/>
      <color rgb="FF000000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8F8F8"/>
        <bgColor rgb="FFFBFBFB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8F8F8"/>
      </patternFill>
    </fill>
    <fill>
      <patternFill patternType="solid">
        <fgColor rgb="FFDDEBF7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FFFFFF"/>
        <bgColor rgb="FFFBFBFB"/>
      </patternFill>
    </fill>
    <fill>
      <patternFill patternType="solid">
        <fgColor rgb="FFC00000"/>
        <bgColor rgb="FF9C0006"/>
      </patternFill>
    </fill>
    <fill>
      <patternFill patternType="solid">
        <fgColor rgb="FF548235"/>
        <bgColor rgb="FF339966"/>
      </patternFill>
    </fill>
    <fill>
      <patternFill patternType="solid">
        <fgColor rgb="FFC6E0B4"/>
        <bgColor rgb="FFD9D9D9"/>
      </patternFill>
    </fill>
    <fill>
      <patternFill patternType="solid">
        <fgColor rgb="FFC65911"/>
        <bgColor rgb="FF993300"/>
      </patternFill>
    </fill>
    <fill>
      <patternFill patternType="solid">
        <fgColor rgb="FFFCE4D6"/>
        <bgColor rgb="FFFFF2CC"/>
      </patternFill>
    </fill>
    <fill>
      <patternFill patternType="solid">
        <fgColor rgb="FFFBFBFB"/>
        <bgColor rgb="FFF8F8F8"/>
      </patternFill>
    </fill>
  </fills>
  <borders count="1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1F4E78"/>
      </left>
      <right/>
      <top style="thin">
        <color rgb="FF1F4E78"/>
      </top>
      <bottom style="thin">
        <color rgb="FF1F4E78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1F4E78"/>
      </left>
      <right style="thin">
        <color rgb="FF1F4E78"/>
      </right>
      <top style="thin">
        <color rgb="FF1F4E78"/>
      </top>
      <bottom style="thin">
        <color rgb="FF1F4E78"/>
      </bottom>
      <diagonal/>
    </border>
    <border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thin">
        <color rgb="FF548235"/>
      </bottom>
      <diagonal/>
    </border>
    <border>
      <left style="thin">
        <color rgb="FFC65911"/>
      </left>
      <right style="thin">
        <color rgb="FFC65911"/>
      </right>
      <top style="thin">
        <color rgb="FFC65911"/>
      </top>
      <bottom style="thin">
        <color rgb="FFC65911"/>
      </bottom>
      <diagonal/>
    </border>
    <border>
      <left/>
      <right/>
      <top/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1F4E78"/>
      </top>
      <bottom style="thin">
        <color rgb="FF1F4E78"/>
      </bottom>
      <diagonal/>
    </border>
    <border>
      <left/>
      <right style="thin">
        <color rgb="FF1F4E78"/>
      </right>
      <top style="thin">
        <color rgb="FF1F4E78"/>
      </top>
      <bottom style="thin">
        <color rgb="FF1F4E78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10" borderId="0" xfId="0" applyFont="1" applyFill="1" applyAlignment="1">
      <alignment horizontal="left" vertical="center" wrapText="1" indent="1"/>
    </xf>
    <xf numFmtId="0" fontId="0" fillId="8" borderId="3" xfId="0" applyFill="1" applyBorder="1" applyAlignment="1">
      <alignment horizontal="center" vertical="center" wrapText="1"/>
    </xf>
    <xf numFmtId="10" fontId="7" fillId="8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5" borderId="3" xfId="0" applyFill="1" applyBorder="1"/>
    <xf numFmtId="166" fontId="7" fillId="5" borderId="3" xfId="0" applyNumberFormat="1" applyFont="1" applyFill="1" applyBorder="1" applyAlignment="1">
      <alignment horizontal="left" vertical="center" wrapText="1" indent="1"/>
    </xf>
    <xf numFmtId="49" fontId="7" fillId="5" borderId="3" xfId="0" applyNumberFormat="1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2"/>
    </xf>
    <xf numFmtId="0" fontId="1" fillId="2" borderId="0" xfId="0" applyFont="1" applyFill="1" applyAlignment="1">
      <alignment horizontal="left" vertical="center" wrapText="1" indent="2"/>
    </xf>
    <xf numFmtId="0" fontId="4" fillId="5" borderId="1" xfId="0" applyFont="1" applyFill="1" applyBorder="1" applyAlignment="1">
      <alignment horizontal="left" vertical="center" wrapText="1" inden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6" fillId="7" borderId="1" xfId="0" applyFont="1" applyFill="1" applyBorder="1" applyAlignment="1">
      <alignment horizontal="left" vertical="center" wrapText="1" indent="1"/>
    </xf>
    <xf numFmtId="165" fontId="7" fillId="7" borderId="1" xfId="0" applyNumberFormat="1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 indent="1"/>
    </xf>
    <xf numFmtId="164" fontId="9" fillId="2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 indent="1"/>
    </xf>
    <xf numFmtId="164" fontId="10" fillId="8" borderId="1" xfId="0" applyNumberFormat="1" applyFont="1" applyFill="1" applyBorder="1" applyAlignment="1">
      <alignment horizontal="right" vertical="center"/>
    </xf>
    <xf numFmtId="0" fontId="3" fillId="9" borderId="6" xfId="0" applyFont="1" applyFill="1" applyBorder="1" applyAlignment="1">
      <alignment horizontal="left" vertical="center" wrapText="1" indent="1"/>
    </xf>
    <xf numFmtId="0" fontId="0" fillId="9" borderId="6" xfId="0" applyFill="1" applyBorder="1"/>
    <xf numFmtId="164" fontId="3" fillId="9" borderId="6" xfId="0" applyNumberFormat="1" applyFont="1" applyFill="1" applyBorder="1" applyAlignment="1">
      <alignment horizontal="right" vertical="center"/>
    </xf>
    <xf numFmtId="0" fontId="6" fillId="11" borderId="1" xfId="0" applyFont="1" applyFill="1" applyBorder="1" applyAlignment="1">
      <alignment horizontal="left" vertical="center" wrapText="1" indent="1"/>
    </xf>
    <xf numFmtId="0" fontId="0" fillId="11" borderId="1" xfId="0" applyFill="1" applyBorder="1"/>
    <xf numFmtId="164" fontId="6" fillId="11" borderId="1" xfId="0" applyNumberFormat="1" applyFont="1" applyFill="1" applyBorder="1" applyAlignment="1">
      <alignment horizontal="right" vertical="center"/>
    </xf>
    <xf numFmtId="167" fontId="10" fillId="11" borderId="1" xfId="0" applyNumberFormat="1" applyFont="1" applyFill="1" applyBorder="1" applyAlignment="1">
      <alignment horizontal="right" vertical="center"/>
    </xf>
    <xf numFmtId="0" fontId="11" fillId="10" borderId="7" xfId="0" applyFont="1" applyFill="1" applyBorder="1" applyAlignment="1">
      <alignment horizontal="left" vertical="center" wrapText="1" indent="1"/>
    </xf>
    <xf numFmtId="0" fontId="0" fillId="10" borderId="7" xfId="0" applyFill="1" applyBorder="1"/>
    <xf numFmtId="164" fontId="12" fillId="10" borderId="7" xfId="0" applyNumberFormat="1" applyFont="1" applyFill="1" applyBorder="1" applyAlignment="1">
      <alignment horizontal="right" vertical="center"/>
    </xf>
    <xf numFmtId="0" fontId="3" fillId="12" borderId="8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 indent="1"/>
    </xf>
    <xf numFmtId="164" fontId="13" fillId="13" borderId="1" xfId="0" applyNumberFormat="1" applyFont="1" applyFill="1" applyBorder="1" applyAlignment="1">
      <alignment horizontal="right" vertical="center"/>
    </xf>
    <xf numFmtId="0" fontId="3" fillId="12" borderId="8" xfId="0" applyFont="1" applyFill="1" applyBorder="1" applyAlignment="1">
      <alignment horizontal="left" vertical="center" wrapText="1" indent="1"/>
    </xf>
    <xf numFmtId="0" fontId="0" fillId="12" borderId="8" xfId="0" applyFill="1" applyBorder="1"/>
    <xf numFmtId="164" fontId="3" fillId="12" borderId="8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 indent="1"/>
    </xf>
    <xf numFmtId="0" fontId="0" fillId="5" borderId="1" xfId="0" applyFill="1" applyBorder="1"/>
    <xf numFmtId="164" fontId="6" fillId="5" borderId="1" xfId="0" applyNumberFormat="1" applyFont="1" applyFill="1" applyBorder="1" applyAlignment="1">
      <alignment horizontal="right" vertical="center"/>
    </xf>
    <xf numFmtId="164" fontId="13" fillId="5" borderId="1" xfId="0" applyNumberFormat="1" applyFont="1" applyFill="1" applyBorder="1" applyAlignment="1">
      <alignment horizontal="right" vertical="center"/>
    </xf>
    <xf numFmtId="164" fontId="11" fillId="2" borderId="4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 indent="1"/>
    </xf>
    <xf numFmtId="164" fontId="17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164" fontId="18" fillId="3" borderId="1" xfId="0" applyNumberFormat="1" applyFont="1" applyFill="1" applyBorder="1" applyAlignment="1">
      <alignment horizontal="right" vertical="center"/>
    </xf>
    <xf numFmtId="164" fontId="19" fillId="3" borderId="1" xfId="0" applyNumberFormat="1" applyFont="1" applyFill="1" applyBorder="1" applyAlignment="1">
      <alignment horizontal="right" vertical="center"/>
    </xf>
    <xf numFmtId="164" fontId="20" fillId="3" borderId="1" xfId="0" applyNumberFormat="1" applyFont="1" applyFill="1" applyBorder="1" applyAlignment="1">
      <alignment horizontal="right" vertical="center"/>
    </xf>
    <xf numFmtId="164" fontId="1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 indent="1"/>
    </xf>
    <xf numFmtId="164" fontId="17" fillId="8" borderId="1" xfId="0" applyNumberFormat="1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right" vertical="center"/>
    </xf>
    <xf numFmtId="164" fontId="18" fillId="8" borderId="1" xfId="0" applyNumberFormat="1" applyFont="1" applyFill="1" applyBorder="1" applyAlignment="1">
      <alignment horizontal="right" vertical="center"/>
    </xf>
    <xf numFmtId="164" fontId="19" fillId="8" borderId="1" xfId="0" applyNumberFormat="1" applyFont="1" applyFill="1" applyBorder="1" applyAlignment="1">
      <alignment horizontal="right" vertical="center"/>
    </xf>
    <xf numFmtId="164" fontId="20" fillId="8" borderId="1" xfId="0" applyNumberFormat="1" applyFont="1" applyFill="1" applyBorder="1" applyAlignment="1">
      <alignment horizontal="right" vertical="center"/>
    </xf>
    <xf numFmtId="164" fontId="16" fillId="8" borderId="1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166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 wrapText="1"/>
    </xf>
    <xf numFmtId="0" fontId="3" fillId="12" borderId="0" xfId="0" applyFont="1" applyFill="1" applyAlignment="1">
      <alignment horizontal="left" vertical="center" wrapText="1" indent="1"/>
    </xf>
    <xf numFmtId="0" fontId="3" fillId="12" borderId="8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left" vertical="center" wrapText="1" indent="1"/>
    </xf>
    <xf numFmtId="10" fontId="7" fillId="1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9" borderId="0" xfId="0" applyFont="1" applyFill="1" applyAlignment="1">
      <alignment horizontal="left" vertical="center" wrapText="1" indent="1"/>
    </xf>
    <xf numFmtId="0" fontId="6" fillId="8" borderId="3" xfId="0" applyFont="1" applyFill="1" applyBorder="1" applyAlignment="1">
      <alignment horizontal="left" vertical="center" wrapText="1" indent="1"/>
    </xf>
    <xf numFmtId="0" fontId="0" fillId="0" borderId="9" xfId="0" applyBorder="1"/>
    <xf numFmtId="0" fontId="14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 indent="2"/>
    </xf>
    <xf numFmtId="0" fontId="15" fillId="4" borderId="10" xfId="0" applyFont="1" applyFill="1" applyBorder="1" applyAlignment="1">
      <alignment horizontal="left" vertical="center" wrapText="1" indent="1"/>
    </xf>
    <xf numFmtId="0" fontId="15" fillId="10" borderId="10" xfId="0" applyFont="1" applyFill="1" applyBorder="1" applyAlignment="1">
      <alignment horizontal="left" vertical="center" wrapText="1" indent="1"/>
    </xf>
    <xf numFmtId="0" fontId="15" fillId="12" borderId="10" xfId="0" applyFont="1" applyFill="1" applyBorder="1" applyAlignment="1">
      <alignment horizontal="left" vertical="center" wrapText="1" indent="1"/>
    </xf>
    <xf numFmtId="0" fontId="15" fillId="2" borderId="10" xfId="0" applyFont="1" applyFill="1" applyBorder="1" applyAlignment="1">
      <alignment horizontal="left" vertical="center" wrapText="1" indent="1"/>
    </xf>
    <xf numFmtId="164" fontId="21" fillId="8" borderId="11" xfId="0" applyNumberFormat="1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left" vertical="center" wrapText="1" indent="1"/>
    </xf>
    <xf numFmtId="0" fontId="23" fillId="2" borderId="0" xfId="0" applyFont="1" applyFill="1" applyAlignment="1">
      <alignment horizontal="left" vertical="center" wrapText="1" indent="2"/>
    </xf>
    <xf numFmtId="0" fontId="2" fillId="5" borderId="0" xfId="0" applyFont="1" applyFill="1" applyAlignment="1">
      <alignment horizontal="left" vertical="center" wrapText="1" indent="2"/>
    </xf>
    <xf numFmtId="0" fontId="9" fillId="4" borderId="0" xfId="0" applyFont="1" applyFill="1" applyAlignment="1">
      <alignment horizontal="left" vertical="center" wrapText="1" indent="1"/>
    </xf>
    <xf numFmtId="0" fontId="2" fillId="14" borderId="0" xfId="0" applyFont="1" applyFill="1" applyAlignment="1">
      <alignment horizontal="left" vertical="center" wrapText="1" indent="1"/>
    </xf>
    <xf numFmtId="0" fontId="24" fillId="14" borderId="0" xfId="0" applyFont="1" applyFill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</cellXfs>
  <cellStyles count="1">
    <cellStyle name="Standard" xfId="0" builtinId="0"/>
  </cellStyles>
  <dxfs count="5">
    <dxf>
      <font>
        <b/>
        <color rgb="FF9C0006"/>
        <name val="Calibri"/>
        <charset val="1"/>
      </font>
      <fill>
        <patternFill>
          <bgColor rgb="FFFCE4D6"/>
        </patternFill>
      </fill>
    </dxf>
    <dxf>
      <font>
        <b/>
        <color rgb="FF006100"/>
        <name val="Calibri"/>
        <charset val="1"/>
      </font>
    </dxf>
    <dxf>
      <font>
        <b/>
        <color rgb="FF9C0006"/>
        <name val="Calibri"/>
        <charset val="1"/>
      </font>
      <fill>
        <patternFill>
          <bgColor rgb="FFF4B084"/>
        </patternFill>
      </fill>
    </dxf>
    <dxf>
      <font>
        <b/>
        <color rgb="FF006100"/>
        <name val="Calibri"/>
        <charset val="1"/>
      </font>
      <fill>
        <patternFill>
          <bgColor rgb="FFC6E0B4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0B4"/>
      <rgbColor rgb="FFFCE4D6"/>
      <rgbColor rgb="FFF8F8F8"/>
      <rgbColor rgb="FFFBFBFB"/>
      <rgbColor rgb="FFCC99FF"/>
      <rgbColor rgb="FFF4B084"/>
      <rgbColor rgb="FF2E75B6"/>
      <rgbColor rgb="FF33CCCC"/>
      <rgbColor rgb="FF99CC00"/>
      <rgbColor rgb="FFFFCC00"/>
      <rgbColor rgb="FFFF9900"/>
      <rgbColor rgb="FFC65911"/>
      <rgbColor rgb="FF595959"/>
      <rgbColor rgb="FF878787"/>
      <rgbColor rgb="FF003366"/>
      <rgbColor rgb="FF339966"/>
      <rgbColor rgb="FF003300"/>
      <rgbColor rgb="FF333300"/>
      <rgbColor rgb="FF993300"/>
      <rgbColor rgb="FF993366"/>
      <rgbColor rgb="FF1F4E78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Brutto, Auszahlung &amp; Gesamtkosten AG je Monat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Jahresübersicht!$E$5</c:f>
              <c:strCache>
                <c:ptCount val="1"/>
                <c:pt idx="0">
                  <c:v>Bruttolohn</c:v>
                </c:pt>
              </c:strCache>
            </c:strRef>
          </c:tx>
          <c:spPr>
            <a:solidFill>
              <a:srgbClr val="2E75B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Jahresübersicht!$B$6:$B$17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Jahresübersicht!$E$6:$E$17</c:f>
              <c:numCache>
                <c:formatCode>#,##0.00" €"</c:formatCode>
                <c:ptCount val="12"/>
                <c:pt idx="0">
                  <c:v>600</c:v>
                </c:pt>
                <c:pt idx="1">
                  <c:v>570</c:v>
                </c:pt>
                <c:pt idx="2">
                  <c:v>630</c:v>
                </c:pt>
                <c:pt idx="3">
                  <c:v>600</c:v>
                </c:pt>
                <c:pt idx="4">
                  <c:v>525</c:v>
                </c:pt>
                <c:pt idx="5">
                  <c:v>600</c:v>
                </c:pt>
                <c:pt idx="6">
                  <c:v>0</c:v>
                </c:pt>
                <c:pt idx="7">
                  <c:v>0</c:v>
                </c:pt>
                <c:pt idx="8">
                  <c:v>600</c:v>
                </c:pt>
                <c:pt idx="9">
                  <c:v>630</c:v>
                </c:pt>
                <c:pt idx="10">
                  <c:v>600</c:v>
                </c:pt>
                <c:pt idx="11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1-49FD-A52A-DC0DFBF1B926}"/>
            </c:ext>
          </c:extLst>
        </c:ser>
        <c:ser>
          <c:idx val="1"/>
          <c:order val="1"/>
          <c:tx>
            <c:strRef>
              <c:f>Jahresübersicht!$G$5</c:f>
              <c:strCache>
                <c:ptCount val="1"/>
                <c:pt idx="0">
                  <c:v>Auszahlung Netto</c:v>
                </c:pt>
              </c:strCache>
            </c:strRef>
          </c:tx>
          <c:spPr>
            <a:solidFill>
              <a:srgbClr val="54823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Jahresübersicht!$B$6:$B$17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Jahresübersicht!$G$6:$G$17</c:f>
              <c:numCache>
                <c:formatCode>#,##0.00" €"</c:formatCode>
                <c:ptCount val="12"/>
                <c:pt idx="0">
                  <c:v>578.4</c:v>
                </c:pt>
                <c:pt idx="1">
                  <c:v>549.48</c:v>
                </c:pt>
                <c:pt idx="2">
                  <c:v>607.32000000000005</c:v>
                </c:pt>
                <c:pt idx="3">
                  <c:v>578.4</c:v>
                </c:pt>
                <c:pt idx="4">
                  <c:v>506.1</c:v>
                </c:pt>
                <c:pt idx="5">
                  <c:v>578.4</c:v>
                </c:pt>
                <c:pt idx="6">
                  <c:v>0</c:v>
                </c:pt>
                <c:pt idx="7">
                  <c:v>0</c:v>
                </c:pt>
                <c:pt idx="8">
                  <c:v>578.4</c:v>
                </c:pt>
                <c:pt idx="9">
                  <c:v>607.32000000000005</c:v>
                </c:pt>
                <c:pt idx="10">
                  <c:v>578.4</c:v>
                </c:pt>
                <c:pt idx="11">
                  <c:v>520.55999999999995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1-49FD-A52A-DC0DFBF1B926}"/>
            </c:ext>
          </c:extLst>
        </c:ser>
        <c:ser>
          <c:idx val="2"/>
          <c:order val="2"/>
          <c:tx>
            <c:strRef>
              <c:f>Jahresübersicht!$I$5</c:f>
              <c:strCache>
                <c:ptCount val="1"/>
                <c:pt idx="0">
                  <c:v>Gesamtkosten AG</c:v>
                </c:pt>
              </c:strCache>
            </c:strRef>
          </c:tx>
          <c:spPr>
            <a:solidFill>
              <a:srgbClr val="C6591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Jahresübersicht!$B$6:$B$17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Jahresübersicht!$I$6:$I$17</c:f>
              <c:numCache>
                <c:formatCode>#,##0.00" €"</c:formatCode>
                <c:ptCount val="12"/>
                <c:pt idx="0">
                  <c:v>794.40000000000009</c:v>
                </c:pt>
                <c:pt idx="1">
                  <c:v>754.68000000000006</c:v>
                </c:pt>
                <c:pt idx="2">
                  <c:v>834.12</c:v>
                </c:pt>
                <c:pt idx="3">
                  <c:v>794.40000000000009</c:v>
                </c:pt>
                <c:pt idx="4">
                  <c:v>695.1</c:v>
                </c:pt>
                <c:pt idx="5">
                  <c:v>794.40000000000009</c:v>
                </c:pt>
                <c:pt idx="6">
                  <c:v>0</c:v>
                </c:pt>
                <c:pt idx="7">
                  <c:v>0</c:v>
                </c:pt>
                <c:pt idx="8">
                  <c:v>794.40000000000009</c:v>
                </c:pt>
                <c:pt idx="9">
                  <c:v>834.12</c:v>
                </c:pt>
                <c:pt idx="10">
                  <c:v>794.40000000000009</c:v>
                </c:pt>
                <c:pt idx="11">
                  <c:v>714.96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01-49FD-A52A-DC0DFBF1B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74570"/>
        <c:axId val="26665128"/>
      </c:barChart>
      <c:catAx>
        <c:axId val="232745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6665128"/>
        <c:crosses val="autoZero"/>
        <c:auto val="1"/>
        <c:lblAlgn val="ctr"/>
        <c:lblOffset val="100"/>
        <c:noMultiLvlLbl val="0"/>
      </c:catAx>
      <c:valAx>
        <c:axId val="2666512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327457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8</xdr:col>
      <xdr:colOff>307440</xdr:colOff>
      <xdr:row>42</xdr:row>
      <xdr:rowOff>1080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3"/>
  <sheetViews>
    <sheetView showGridLines="0" tabSelected="1" zoomScaleNormal="100" workbookViewId="0">
      <selection activeCell="N7" sqref="N7"/>
    </sheetView>
  </sheetViews>
  <sheetFormatPr baseColWidth="10" defaultColWidth="8.7109375" defaultRowHeight="15" x14ac:dyDescent="0.25"/>
  <cols>
    <col min="1" max="1" width="0.85546875" customWidth="1"/>
    <col min="2" max="2" width="24.140625" customWidth="1"/>
    <col min="3" max="3" width="22" customWidth="1"/>
    <col min="4" max="4" width="11.28515625" customWidth="1"/>
    <col min="5" max="5" width="4" customWidth="1"/>
    <col min="6" max="6" width="17.5703125" bestFit="1" customWidth="1"/>
    <col min="7" max="7" width="22" customWidth="1"/>
    <col min="8" max="8" width="11.140625" bestFit="1" customWidth="1"/>
    <col min="9" max="9" width="2" customWidth="1"/>
  </cols>
  <sheetData>
    <row r="1" spans="2:8" ht="5.25" customHeight="1" x14ac:dyDescent="0.25"/>
    <row r="2" spans="2:8" ht="39.75" customHeight="1" x14ac:dyDescent="0.25">
      <c r="B2" s="14" t="str">
        <f>"LOHNABRECHNUNG MINIJOB — "&amp;UPPER(C7)&amp;" "&amp;Annahmen!$C$27</f>
        <v>LOHNABRECHNUNG MINIJOB — JANUAR 2026</v>
      </c>
      <c r="C2" s="14"/>
      <c r="D2" s="14"/>
      <c r="E2" s="14"/>
      <c r="F2" s="14"/>
      <c r="G2" s="14"/>
      <c r="H2" s="14"/>
    </row>
    <row r="3" spans="2:8" ht="21.75" customHeight="1" x14ac:dyDescent="0.25">
      <c r="B3" s="13" t="str">
        <f ca="1">"Geringfügige Beschäftigung nach § 8 Abs. 1 Nr. 1 SGB IV   |   Erstellt am: "&amp;TEXT(TODAY(),"DD.MM.YYYY")</f>
        <v>Geringfügige Beschäftigung nach § 8 Abs. 1 Nr. 1 SGB IV   |   Erstellt am: 31.05.YYYY</v>
      </c>
      <c r="C3" s="13"/>
      <c r="D3" s="13"/>
      <c r="E3" s="13"/>
      <c r="F3" s="13"/>
      <c r="G3" s="13"/>
      <c r="H3" s="13"/>
    </row>
    <row r="4" spans="2:8" ht="9" customHeight="1" x14ac:dyDescent="0.25"/>
    <row r="5" spans="2:8" ht="21.75" customHeight="1" x14ac:dyDescent="0.25">
      <c r="B5" s="12" t="s">
        <v>0</v>
      </c>
      <c r="C5" s="12"/>
      <c r="D5" s="12"/>
      <c r="E5" s="12"/>
      <c r="F5" s="12"/>
      <c r="G5" s="12"/>
      <c r="H5" s="12"/>
    </row>
    <row r="7" spans="2:8" ht="21.75" customHeight="1" x14ac:dyDescent="0.25">
      <c r="B7" s="15" t="s">
        <v>1</v>
      </c>
      <c r="C7" s="16" t="s">
        <v>2</v>
      </c>
      <c r="F7" s="15" t="s">
        <v>3</v>
      </c>
      <c r="G7" s="17" t="str">
        <f>Annahmen!$C$22</f>
        <v>Gewerblich</v>
      </c>
    </row>
    <row r="8" spans="2:8" ht="21.75" customHeight="1" x14ac:dyDescent="0.25">
      <c r="B8" s="15" t="s">
        <v>4</v>
      </c>
      <c r="C8" s="17" t="str">
        <f>Annahmen!$C$17</f>
        <v>P-0001</v>
      </c>
      <c r="F8" s="15" t="s">
        <v>5</v>
      </c>
      <c r="G8" s="18">
        <f>Annahmen!$C$23</f>
        <v>15</v>
      </c>
    </row>
    <row r="9" spans="2:8" ht="21.75" customHeight="1" x14ac:dyDescent="0.25">
      <c r="B9" s="15" t="s">
        <v>6</v>
      </c>
      <c r="C9" s="17" t="str">
        <f>C7&amp;" "&amp;Annahmen!$C$27</f>
        <v>Januar 2026</v>
      </c>
      <c r="F9" s="15" t="s">
        <v>7</v>
      </c>
      <c r="G9" s="19">
        <v>40</v>
      </c>
    </row>
    <row r="11" spans="2:8" ht="21.75" customHeight="1" x14ac:dyDescent="0.25">
      <c r="B11" s="12" t="s">
        <v>8</v>
      </c>
      <c r="C11" s="12"/>
      <c r="D11" s="12"/>
      <c r="E11" s="12"/>
      <c r="F11" s="12"/>
      <c r="G11" s="12"/>
      <c r="H11" s="12"/>
    </row>
    <row r="13" spans="2:8" ht="19.5" customHeight="1" x14ac:dyDescent="0.25">
      <c r="B13" s="11" t="s">
        <v>9</v>
      </c>
      <c r="C13" s="11"/>
      <c r="D13" s="11"/>
      <c r="F13" s="11" t="s">
        <v>10</v>
      </c>
      <c r="G13" s="11"/>
      <c r="H13" s="11"/>
    </row>
    <row r="14" spans="2:8" ht="21.75" customHeight="1" x14ac:dyDescent="0.25">
      <c r="B14" s="15" t="s">
        <v>11</v>
      </c>
      <c r="C14" s="10" t="str">
        <f>Annahmen!$C$6</f>
        <v>Musterfirma GmbH</v>
      </c>
      <c r="D14" s="10"/>
      <c r="F14" s="15" t="s">
        <v>12</v>
      </c>
      <c r="G14" s="10" t="str">
        <f>Annahmen!$C$12</f>
        <v>Mustermann, Max</v>
      </c>
      <c r="H14" s="10"/>
    </row>
    <row r="15" spans="2:8" ht="21.75" customHeight="1" x14ac:dyDescent="0.25">
      <c r="B15" s="15" t="s">
        <v>13</v>
      </c>
      <c r="C15" s="10" t="str">
        <f>Annahmen!$C$7</f>
        <v>Musterstraße 1, 12345 Musterstadt</v>
      </c>
      <c r="D15" s="10"/>
      <c r="F15" s="15" t="s">
        <v>13</v>
      </c>
      <c r="G15" s="10" t="str">
        <f>Annahmen!$C$13</f>
        <v>Beispielweg 7, 12345 Musterstadt</v>
      </c>
      <c r="H15" s="10"/>
    </row>
    <row r="16" spans="2:8" ht="21.75" customHeight="1" x14ac:dyDescent="0.25">
      <c r="B16" s="15" t="s">
        <v>14</v>
      </c>
      <c r="C16" s="10" t="str">
        <f>Annahmen!$C$8</f>
        <v>12345678</v>
      </c>
      <c r="D16" s="10"/>
      <c r="F16" s="15" t="s">
        <v>15</v>
      </c>
      <c r="G16" s="9">
        <f>Annahmen!$C$14</f>
        <v>33008</v>
      </c>
      <c r="H16" s="9"/>
    </row>
    <row r="17" spans="2:8" ht="21.75" customHeight="1" x14ac:dyDescent="0.25">
      <c r="B17" s="15" t="s">
        <v>16</v>
      </c>
      <c r="C17" s="10" t="str">
        <f>Annahmen!$C$9</f>
        <v>Erika Beispiel</v>
      </c>
      <c r="D17" s="10"/>
      <c r="F17" s="15" t="s">
        <v>17</v>
      </c>
      <c r="G17" s="10" t="str">
        <f>Annahmen!$C$15</f>
        <v>12 345678 M 901</v>
      </c>
      <c r="H17" s="10"/>
    </row>
    <row r="18" spans="2:8" ht="21.75" customHeight="1" x14ac:dyDescent="0.25">
      <c r="B18" s="15"/>
      <c r="C18" s="8"/>
      <c r="D18" s="8"/>
      <c r="F18" s="15" t="s">
        <v>18</v>
      </c>
      <c r="G18" s="10" t="str">
        <f>Annahmen!$C$16</f>
        <v>12 345 678 901</v>
      </c>
      <c r="H18" s="10"/>
    </row>
    <row r="19" spans="2:8" ht="21.75" customHeight="1" x14ac:dyDescent="0.25">
      <c r="B19" s="15"/>
      <c r="C19" s="8"/>
      <c r="D19" s="8"/>
      <c r="F19" s="15" t="s">
        <v>4</v>
      </c>
      <c r="G19" s="10" t="str">
        <f>Annahmen!$C$17</f>
        <v>P-0001</v>
      </c>
      <c r="H19" s="10"/>
    </row>
    <row r="20" spans="2:8" ht="21.75" customHeight="1" x14ac:dyDescent="0.25">
      <c r="B20" s="15"/>
      <c r="C20" s="8"/>
      <c r="D20" s="8"/>
      <c r="F20" s="15" t="s">
        <v>19</v>
      </c>
      <c r="G20" s="9">
        <f>Annahmen!$C$18</f>
        <v>46023</v>
      </c>
      <c r="H20" s="9"/>
    </row>
    <row r="21" spans="2:8" ht="21.75" customHeight="1" x14ac:dyDescent="0.25">
      <c r="B21" s="15"/>
      <c r="C21" s="8"/>
      <c r="D21" s="8"/>
      <c r="F21" s="15" t="s">
        <v>20</v>
      </c>
      <c r="G21" s="10" t="str">
        <f>Annahmen!$C$19</f>
        <v>Bürokraft</v>
      </c>
      <c r="H21" s="10"/>
    </row>
    <row r="23" spans="2:8" ht="21.75" customHeight="1" x14ac:dyDescent="0.25">
      <c r="B23" s="12" t="s">
        <v>21</v>
      </c>
      <c r="C23" s="12"/>
      <c r="D23" s="12"/>
      <c r="E23" s="12"/>
      <c r="F23" s="12"/>
      <c r="G23" s="12"/>
      <c r="H23" s="12"/>
    </row>
    <row r="24" spans="2:8" ht="24" customHeight="1" x14ac:dyDescent="0.25">
      <c r="B24" s="20" t="s">
        <v>22</v>
      </c>
      <c r="C24" s="7" t="s">
        <v>23</v>
      </c>
      <c r="D24" s="7"/>
      <c r="F24" s="20" t="s">
        <v>24</v>
      </c>
      <c r="G24" s="21"/>
      <c r="H24" s="20" t="s">
        <v>25</v>
      </c>
    </row>
    <row r="25" spans="2:8" ht="30" customHeight="1" x14ac:dyDescent="0.25">
      <c r="B25" s="22" t="s">
        <v>26</v>
      </c>
      <c r="C25" s="6" t="str">
        <f>G8&amp;" € × "&amp;TEXT(G9,"0.00")&amp;" h"</f>
        <v>15 € × 040 h</v>
      </c>
      <c r="D25" s="6"/>
      <c r="F25" s="23">
        <f>G9</f>
        <v>40</v>
      </c>
      <c r="G25" s="24">
        <f>G8</f>
        <v>15</v>
      </c>
      <c r="H25" s="25">
        <f>G8*G9</f>
        <v>600</v>
      </c>
    </row>
    <row r="26" spans="2:8" ht="25.5" customHeight="1" x14ac:dyDescent="0.25">
      <c r="B26" s="99" t="s">
        <v>27</v>
      </c>
      <c r="C26" s="100"/>
      <c r="D26" s="101"/>
      <c r="E26" s="21"/>
      <c r="F26" s="21"/>
      <c r="G26" s="21"/>
      <c r="H26" s="27">
        <f>H25</f>
        <v>600</v>
      </c>
    </row>
    <row r="28" spans="2:8" ht="21.75" customHeight="1" x14ac:dyDescent="0.25">
      <c r="B28" s="12" t="s">
        <v>28</v>
      </c>
      <c r="C28" s="12"/>
      <c r="D28" s="12"/>
      <c r="E28" s="12"/>
      <c r="F28" s="12"/>
      <c r="G28" s="12"/>
      <c r="H28" s="12"/>
    </row>
    <row r="29" spans="2:8" ht="21.75" customHeight="1" x14ac:dyDescent="0.25">
      <c r="B29" s="28" t="s">
        <v>22</v>
      </c>
      <c r="C29" s="5" t="s">
        <v>29</v>
      </c>
      <c r="D29" s="5"/>
      <c r="E29" s="5"/>
      <c r="F29" s="5" t="s">
        <v>30</v>
      </c>
      <c r="G29" s="5"/>
      <c r="H29" s="28" t="s">
        <v>25</v>
      </c>
    </row>
    <row r="30" spans="2:8" ht="30" x14ac:dyDescent="0.25">
      <c r="B30" s="29" t="s">
        <v>31</v>
      </c>
      <c r="C30" s="4" t="str">
        <f>IF(Annahmen!$C$25="Ja","Befreit – kein Eigenanteil","Pflichtbeitrag (3,6 % auf Brutto)")</f>
        <v>Pflichtbeitrag (3,6 % auf Brutto)</v>
      </c>
      <c r="D30" s="4"/>
      <c r="E30" s="4"/>
      <c r="F30" s="3">
        <f>IF(Annahmen!$C$25="Ja",0,IF(Annahmen!$C$22="Privathaushalt",Annahmen!$D$44,Annahmen!$C$44))</f>
        <v>3.5999999999999997E-2</v>
      </c>
      <c r="G30" s="3"/>
      <c r="H30" s="30">
        <f>H26*F30</f>
        <v>21.599999999999998</v>
      </c>
    </row>
    <row r="31" spans="2:8" ht="21.75" customHeight="1" x14ac:dyDescent="0.25">
      <c r="B31" s="29" t="s">
        <v>32</v>
      </c>
      <c r="C31" s="4" t="str">
        <f>IF(Annahmen!$C$26="Pauschal (2 %)","AG übernimmt Pauschalsteuer 2 %","Individuelle Besteuerung – manuell eintragen")</f>
        <v>AG übernimmt Pauschalsteuer 2 %</v>
      </c>
      <c r="D31" s="4"/>
      <c r="E31" s="4"/>
      <c r="F31" s="2"/>
      <c r="G31" s="2"/>
      <c r="H31" s="30">
        <f>IF(Annahmen!$C$26="Pauschal (2 %)",0,0)</f>
        <v>0</v>
      </c>
    </row>
    <row r="32" spans="2:8" ht="24" customHeight="1" x14ac:dyDescent="0.25">
      <c r="B32" s="31" t="s">
        <v>33</v>
      </c>
      <c r="C32" s="32"/>
      <c r="D32" s="32"/>
      <c r="E32" s="32"/>
      <c r="F32" s="32"/>
      <c r="G32" s="32"/>
      <c r="H32" s="33">
        <f>SUM(H30:H31)</f>
        <v>21.599999999999998</v>
      </c>
    </row>
    <row r="34" spans="2:8" ht="21.75" customHeight="1" x14ac:dyDescent="0.25">
      <c r="B34" s="1" t="s">
        <v>34</v>
      </c>
      <c r="C34" s="1"/>
      <c r="D34" s="1"/>
      <c r="E34" s="1"/>
      <c r="F34" s="1"/>
      <c r="G34" s="1"/>
      <c r="H34" s="1"/>
    </row>
    <row r="35" spans="2:8" ht="21.75" customHeight="1" x14ac:dyDescent="0.25">
      <c r="B35" s="34" t="s">
        <v>35</v>
      </c>
      <c r="C35" s="35"/>
      <c r="D35" s="35"/>
      <c r="E35" s="35"/>
      <c r="F35" s="35"/>
      <c r="G35" s="35"/>
      <c r="H35" s="36">
        <f>H26</f>
        <v>600</v>
      </c>
    </row>
    <row r="36" spans="2:8" ht="21.75" customHeight="1" x14ac:dyDescent="0.25">
      <c r="B36" s="34" t="s">
        <v>36</v>
      </c>
      <c r="C36" s="35"/>
      <c r="D36" s="35"/>
      <c r="E36" s="35"/>
      <c r="F36" s="35"/>
      <c r="G36" s="35"/>
      <c r="H36" s="37">
        <f>-H32</f>
        <v>-21.599999999999998</v>
      </c>
    </row>
    <row r="37" spans="2:8" ht="30" customHeight="1" x14ac:dyDescent="0.25">
      <c r="B37" s="38" t="s">
        <v>37</v>
      </c>
      <c r="C37" s="39"/>
      <c r="D37" s="39"/>
      <c r="E37" s="39"/>
      <c r="F37" s="39"/>
      <c r="G37" s="39"/>
      <c r="H37" s="40">
        <f>H26-H32</f>
        <v>578.4</v>
      </c>
    </row>
    <row r="39" spans="2:8" x14ac:dyDescent="0.25">
      <c r="B39" s="78" t="s">
        <v>38</v>
      </c>
      <c r="C39" s="78"/>
      <c r="D39" s="78"/>
      <c r="E39" s="78"/>
      <c r="F39" s="78"/>
      <c r="G39" s="78"/>
      <c r="H39" s="78"/>
    </row>
    <row r="40" spans="2:8" x14ac:dyDescent="0.25">
      <c r="B40" s="41" t="s">
        <v>39</v>
      </c>
      <c r="C40" s="79" t="s">
        <v>40</v>
      </c>
      <c r="D40" s="79"/>
      <c r="E40" s="79"/>
      <c r="F40" s="79" t="s">
        <v>30</v>
      </c>
      <c r="G40" s="79"/>
      <c r="H40" s="41" t="s">
        <v>25</v>
      </c>
    </row>
    <row r="41" spans="2:8" ht="30" x14ac:dyDescent="0.25">
      <c r="B41" s="42" t="s">
        <v>41</v>
      </c>
      <c r="C41" s="80" t="s">
        <v>42</v>
      </c>
      <c r="D41" s="80"/>
      <c r="E41" s="80"/>
      <c r="F41" s="81">
        <f>IF(Annahmen!$C$22="Privathaushalt",Annahmen!$D$37,Annahmen!$C$37)</f>
        <v>0.13</v>
      </c>
      <c r="G41" s="81"/>
      <c r="H41" s="43">
        <f>H26*F41</f>
        <v>78</v>
      </c>
    </row>
    <row r="42" spans="2:8" ht="30" x14ac:dyDescent="0.25">
      <c r="B42" s="42" t="s">
        <v>43</v>
      </c>
      <c r="C42" s="80" t="s">
        <v>42</v>
      </c>
      <c r="D42" s="80"/>
      <c r="E42" s="80"/>
      <c r="F42" s="81">
        <f>IF(Annahmen!$C$22="Privathaushalt",Annahmen!$D$38,Annahmen!$C$38)</f>
        <v>0.15</v>
      </c>
      <c r="G42" s="81"/>
      <c r="H42" s="43">
        <f>H26*F42</f>
        <v>90</v>
      </c>
    </row>
    <row r="43" spans="2:8" ht="30" x14ac:dyDescent="0.25">
      <c r="B43" s="42" t="s">
        <v>44</v>
      </c>
      <c r="C43" s="80" t="s">
        <v>45</v>
      </c>
      <c r="D43" s="80"/>
      <c r="E43" s="80"/>
      <c r="F43" s="81">
        <f>IF(Annahmen!$C$26="Pauschal (2 %)",IF(Annahmen!$C$22="Privathaushalt",Annahmen!$D$39,Annahmen!$C$39),0)</f>
        <v>0.02</v>
      </c>
      <c r="G43" s="81"/>
      <c r="H43" s="43">
        <f>H26*F43</f>
        <v>12</v>
      </c>
    </row>
    <row r="44" spans="2:8" x14ac:dyDescent="0.25">
      <c r="B44" s="42" t="s">
        <v>46</v>
      </c>
      <c r="C44" s="80" t="s">
        <v>47</v>
      </c>
      <c r="D44" s="80"/>
      <c r="E44" s="80"/>
      <c r="F44" s="81">
        <f>IF(Annahmen!$C$22="Privathaushalt",Annahmen!$D$40,Annahmen!$C$40)</f>
        <v>8.0000000000000002E-3</v>
      </c>
      <c r="G44" s="81"/>
      <c r="H44" s="43">
        <f>H26*F44</f>
        <v>4.8</v>
      </c>
    </row>
    <row r="45" spans="2:8" ht="30" x14ac:dyDescent="0.25">
      <c r="B45" s="42" t="s">
        <v>48</v>
      </c>
      <c r="C45" s="80" t="s">
        <v>42</v>
      </c>
      <c r="D45" s="80"/>
      <c r="E45" s="80"/>
      <c r="F45" s="81">
        <f>IF(Annahmen!$C$22="Privathaushalt",Annahmen!$D$41,Annahmen!$C$41)</f>
        <v>2.3999999999999998E-3</v>
      </c>
      <c r="G45" s="81"/>
      <c r="H45" s="43">
        <f>H26*F45</f>
        <v>1.44</v>
      </c>
    </row>
    <row r="46" spans="2:8" x14ac:dyDescent="0.25">
      <c r="B46" s="42" t="s">
        <v>49</v>
      </c>
      <c r="C46" s="80" t="s">
        <v>50</v>
      </c>
      <c r="D46" s="80"/>
      <c r="E46" s="80"/>
      <c r="F46" s="81">
        <f>IF(Annahmen!$C$22="Privathaushalt",Annahmen!$D$42,Annahmen!$C$42)</f>
        <v>5.9999999999999995E-4</v>
      </c>
      <c r="G46" s="81"/>
      <c r="H46" s="43">
        <f>H26*F46</f>
        <v>0.36</v>
      </c>
    </row>
    <row r="47" spans="2:8" x14ac:dyDescent="0.25">
      <c r="B47" s="42" t="s">
        <v>51</v>
      </c>
      <c r="C47" s="80" t="s">
        <v>52</v>
      </c>
      <c r="D47" s="80"/>
      <c r="E47" s="80"/>
      <c r="F47" s="81">
        <f>IF(Annahmen!$C$22="Privathaushalt",Annahmen!$D$43,Annahmen!$C$43)</f>
        <v>1.2999999999999999E-2</v>
      </c>
      <c r="G47" s="81"/>
      <c r="H47" s="43">
        <f>H26*F47</f>
        <v>7.8</v>
      </c>
    </row>
    <row r="48" spans="2:8" x14ac:dyDescent="0.25">
      <c r="B48" s="44" t="s">
        <v>53</v>
      </c>
      <c r="C48" s="45"/>
      <c r="D48" s="45"/>
      <c r="E48" s="45"/>
      <c r="F48" s="45"/>
      <c r="G48" s="45"/>
      <c r="H48" s="46">
        <f>SUM(H41:H47)</f>
        <v>194.40000000000003</v>
      </c>
    </row>
    <row r="50" spans="2:8" x14ac:dyDescent="0.25">
      <c r="B50" s="82" t="s">
        <v>54</v>
      </c>
      <c r="C50" s="82"/>
      <c r="D50" s="82"/>
      <c r="E50" s="82"/>
      <c r="F50" s="82"/>
      <c r="G50" s="82"/>
      <c r="H50" s="82"/>
    </row>
    <row r="51" spans="2:8" x14ac:dyDescent="0.25">
      <c r="B51" s="47" t="s">
        <v>35</v>
      </c>
      <c r="C51" s="48"/>
      <c r="D51" s="48"/>
      <c r="E51" s="48"/>
      <c r="F51" s="48"/>
      <c r="G51" s="48"/>
      <c r="H51" s="49">
        <f>H26</f>
        <v>600</v>
      </c>
    </row>
    <row r="52" spans="2:8" x14ac:dyDescent="0.25">
      <c r="B52" s="47" t="s">
        <v>55</v>
      </c>
      <c r="C52" s="48"/>
      <c r="D52" s="48"/>
      <c r="E52" s="48"/>
      <c r="F52" s="48"/>
      <c r="G52" s="48"/>
      <c r="H52" s="50">
        <f>H48</f>
        <v>194.40000000000003</v>
      </c>
    </row>
    <row r="53" spans="2:8" ht="31.5" x14ac:dyDescent="0.25">
      <c r="B53" s="26" t="s">
        <v>56</v>
      </c>
      <c r="C53" s="21"/>
      <c r="D53" s="21"/>
      <c r="E53" s="21"/>
      <c r="F53" s="21"/>
      <c r="G53" s="21"/>
      <c r="H53" s="51">
        <f>H26+H48</f>
        <v>794.40000000000009</v>
      </c>
    </row>
    <row r="55" spans="2:8" x14ac:dyDescent="0.25">
      <c r="B55" s="83" t="s">
        <v>57</v>
      </c>
      <c r="C55" s="83"/>
      <c r="D55" s="83"/>
      <c r="E55" s="83"/>
      <c r="F55" s="83"/>
      <c r="G55" s="83"/>
      <c r="H55" s="83"/>
    </row>
    <row r="56" spans="2:8" ht="30" x14ac:dyDescent="0.25">
      <c r="B56" s="29" t="s">
        <v>58</v>
      </c>
      <c r="C56" s="84" t="str">
        <f>IF(Annahmen!$C$23&gt;=Annahmen!$C$30,"✓ OK – Stundenlohn "&amp;TEXT(Annahmen!$C$23,"#,##0.00")&amp;" € ≥ Mindestlohn "&amp;TEXT(Annahmen!$C$30,"#,##0.00")&amp;" €","✗ ACHTUNG – Stundenlohn "&amp;TEXT(Annahmen!$C$23,"#,##0.00")&amp;" € unter Mindestlohn "&amp;TEXT(Annahmen!$C$30,"#,##0.00")&amp;" €")</f>
        <v>✓ OK – Stundenlohn 15,000 € ≥ Mindestlohn 13,9000 €</v>
      </c>
      <c r="D56" s="84"/>
      <c r="E56" s="84"/>
      <c r="F56" s="84"/>
      <c r="G56" s="84"/>
      <c r="H56" s="52" t="str">
        <f>IF(Annahmen!$C$23&gt;=Annahmen!$C$30,"OK","WARNUNG")</f>
        <v>OK</v>
      </c>
    </row>
    <row r="57" spans="2:8" ht="30" x14ac:dyDescent="0.25">
      <c r="B57" s="29" t="s">
        <v>59</v>
      </c>
      <c r="C57" s="84" t="str">
        <f>IF(H26&lt;=Annahmen!$C$31,"✓ OK – Brutto "&amp;TEXT(H26,"#,##0.00")&amp;" € ≤ Grenze "&amp;TEXT(Annahmen!$C$31,"#,##0.00")&amp;" €","✗ ACHTUNG – Brutto "&amp;TEXT(H26,"#,##0.00")&amp;" € überschreitet Grenze "&amp;TEXT(Annahmen!$C$31,"#,##0.00")&amp;" €")</f>
        <v>✓ OK – Brutto 600,000 € ≤ Grenze 603,000 €</v>
      </c>
      <c r="D57" s="84"/>
      <c r="E57" s="84"/>
      <c r="F57" s="84"/>
      <c r="G57" s="84"/>
      <c r="H57" s="52" t="str">
        <f>IF(H26&lt;=Annahmen!$C$31,"OK","WARNUNG")</f>
        <v>OK</v>
      </c>
    </row>
    <row r="60" spans="2:8" ht="21.75" customHeight="1" x14ac:dyDescent="0.25">
      <c r="B60" s="12" t="s">
        <v>60</v>
      </c>
      <c r="C60" s="12"/>
      <c r="D60" s="12"/>
      <c r="E60" s="12"/>
      <c r="F60" s="12"/>
      <c r="G60" s="12"/>
      <c r="H60" s="12"/>
    </row>
    <row r="62" spans="2:8" ht="30" customHeight="1" x14ac:dyDescent="0.25">
      <c r="B62" s="85" t="s">
        <v>61</v>
      </c>
      <c r="C62" s="85"/>
      <c r="D62" s="85"/>
      <c r="F62" s="85" t="s">
        <v>61</v>
      </c>
      <c r="G62" s="85"/>
      <c r="H62" s="85"/>
    </row>
    <row r="63" spans="2:8" ht="15.75" customHeight="1" x14ac:dyDescent="0.25">
      <c r="B63" s="86" t="s">
        <v>62</v>
      </c>
      <c r="C63" s="86"/>
      <c r="D63" s="86"/>
      <c r="F63" s="86" t="s">
        <v>63</v>
      </c>
      <c r="G63" s="86"/>
      <c r="H63" s="86"/>
    </row>
  </sheetData>
  <mergeCells count="60">
    <mergeCell ref="B62:D62"/>
    <mergeCell ref="F62:H62"/>
    <mergeCell ref="B63:D63"/>
    <mergeCell ref="F63:H63"/>
    <mergeCell ref="B26:D26"/>
    <mergeCell ref="B50:H50"/>
    <mergeCell ref="B55:H55"/>
    <mergeCell ref="C56:G56"/>
    <mergeCell ref="C57:G57"/>
    <mergeCell ref="B60:H60"/>
    <mergeCell ref="C45:E45"/>
    <mergeCell ref="F45:G45"/>
    <mergeCell ref="C46:E46"/>
    <mergeCell ref="F46:G46"/>
    <mergeCell ref="C47:E47"/>
    <mergeCell ref="F47:G47"/>
    <mergeCell ref="C42:E42"/>
    <mergeCell ref="F42:G42"/>
    <mergeCell ref="C43:E43"/>
    <mergeCell ref="F43:G43"/>
    <mergeCell ref="C44:E44"/>
    <mergeCell ref="F44:G44"/>
    <mergeCell ref="B39:H39"/>
    <mergeCell ref="C40:E40"/>
    <mergeCell ref="F40:G40"/>
    <mergeCell ref="C41:E41"/>
    <mergeCell ref="F41:G41"/>
    <mergeCell ref="C30:E30"/>
    <mergeCell ref="F30:G30"/>
    <mergeCell ref="C31:E31"/>
    <mergeCell ref="F31:G31"/>
    <mergeCell ref="B34:H34"/>
    <mergeCell ref="C24:D24"/>
    <mergeCell ref="C25:D25"/>
    <mergeCell ref="B28:H28"/>
    <mergeCell ref="C29:E29"/>
    <mergeCell ref="F29:G29"/>
    <mergeCell ref="C20:D20"/>
    <mergeCell ref="G20:H20"/>
    <mergeCell ref="C21:D21"/>
    <mergeCell ref="G21:H21"/>
    <mergeCell ref="B23:H23"/>
    <mergeCell ref="C17:D17"/>
    <mergeCell ref="G17:H17"/>
    <mergeCell ref="C18:D18"/>
    <mergeCell ref="G18:H18"/>
    <mergeCell ref="C19:D19"/>
    <mergeCell ref="G19:H19"/>
    <mergeCell ref="C14:D14"/>
    <mergeCell ref="G14:H14"/>
    <mergeCell ref="C15:D15"/>
    <mergeCell ref="G15:H15"/>
    <mergeCell ref="C16:D16"/>
    <mergeCell ref="G16:H16"/>
    <mergeCell ref="B2:H2"/>
    <mergeCell ref="B3:H3"/>
    <mergeCell ref="B5:H5"/>
    <mergeCell ref="B11:H11"/>
    <mergeCell ref="B13:D13"/>
    <mergeCell ref="F13:H13"/>
  </mergeCells>
  <conditionalFormatting sqref="C56:C57">
    <cfRule type="expression" dxfId="4" priority="4">
      <formula>NOT(ISNUMBER(SEARCH("OK",C56)))</formula>
    </cfRule>
  </conditionalFormatting>
  <conditionalFormatting sqref="H56:H57">
    <cfRule type="cellIs" dxfId="3" priority="2" operator="equal">
      <formula>"OK"</formula>
    </cfRule>
    <cfRule type="cellIs" dxfId="2" priority="3" operator="equal">
      <formula>"WARNUNG"</formula>
    </cfRule>
  </conditionalFormatting>
  <dataValidations count="2">
    <dataValidation type="list" sqref="C7" xr:uid="{00000000-0002-0000-0000-000000000000}">
      <formula1>"Januar,Februar,März,April,Mai,Juni,Juli,August,September,Oktober,November,Dezember"</formula1>
      <formula2>0</formula2>
    </dataValidation>
    <dataValidation type="decimal" operator="greaterThanOrEqual" showErrorMessage="1" errorTitle="Ungültige Stunden" error="Bitte eine positive Zahl in Stunden eingeben." sqref="G9" xr:uid="{00000000-0002-0000-0000-000001000000}">
      <formula1>0</formula1>
      <formula2>0</formula2>
    </dataValidation>
  </dataValidations>
  <printOptions horizontalCentered="1"/>
  <pageMargins left="0.75" right="0.75" top="1" bottom="1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46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16" customWidth="1"/>
    <col min="3" max="4" width="14" customWidth="1"/>
    <col min="5" max="9" width="16" customWidth="1"/>
    <col min="10" max="10" width="12" customWidth="1"/>
  </cols>
  <sheetData>
    <row r="2" spans="2:10" ht="39.75" customHeight="1" x14ac:dyDescent="0.25">
      <c r="B2" s="14" t="str">
        <f>"JAHRESÜBERSICHT MINIJOB — "&amp;Annahmen!C12&amp;" ("&amp;Annahmen!C27&amp;")"</f>
        <v>JAHRESÜBERSICHT MINIJOB — Mustermann, Max (2026)</v>
      </c>
      <c r="C2" s="14"/>
      <c r="D2" s="14"/>
      <c r="E2" s="14"/>
      <c r="F2" s="14"/>
      <c r="G2" s="14"/>
      <c r="H2" s="14"/>
      <c r="I2" s="14"/>
      <c r="J2" s="14"/>
    </row>
    <row r="3" spans="2:10" ht="21.75" customHeight="1" x14ac:dyDescent="0.25">
      <c r="B3" s="87" t="str">
        <f>"Stundenlohn: "&amp;TEXT(Annahmen!C23,"#,##0.00 €")&amp;"/h   |   Art: "&amp;Annahmen!C22&amp;"   |   Verdienstgrenze: "&amp;TEXT(Annahmen!C31,"#,##0.00 €")&amp;"/Monat"</f>
        <v>Stundenlohn: 15,000 €/h   |   Art: Gewerblich   |   Verdienstgrenze: 603,000 €/Monat</v>
      </c>
      <c r="C3" s="87"/>
      <c r="D3" s="87"/>
      <c r="E3" s="87"/>
      <c r="F3" s="87"/>
      <c r="G3" s="87"/>
      <c r="H3" s="87"/>
      <c r="I3" s="87"/>
      <c r="J3" s="87"/>
    </row>
    <row r="5" spans="2:10" ht="31.5" customHeight="1" x14ac:dyDescent="0.25">
      <c r="B5" s="53" t="s">
        <v>64</v>
      </c>
      <c r="C5" s="53" t="s">
        <v>65</v>
      </c>
      <c r="D5" s="53" t="s">
        <v>5</v>
      </c>
      <c r="E5" s="53" t="s">
        <v>35</v>
      </c>
      <c r="F5" s="53" t="s">
        <v>66</v>
      </c>
      <c r="G5" s="53" t="s">
        <v>67</v>
      </c>
      <c r="H5" s="53" t="s">
        <v>68</v>
      </c>
      <c r="I5" s="53" t="s">
        <v>69</v>
      </c>
      <c r="J5" s="53" t="s">
        <v>70</v>
      </c>
    </row>
    <row r="6" spans="2:10" ht="21.75" customHeight="1" x14ac:dyDescent="0.25">
      <c r="B6" s="54" t="s">
        <v>2</v>
      </c>
      <c r="C6" s="19">
        <v>40</v>
      </c>
      <c r="D6" s="55">
        <f>Annahmen!$C$23</f>
        <v>15</v>
      </c>
      <c r="E6" s="56">
        <f t="shared" ref="E6:E17" si="0">C6*D6</f>
        <v>600</v>
      </c>
      <c r="F6" s="57">
        <f>IF(Annahmen!$C$25="Ja",0,E6*IF(Annahmen!$C$22="Privathaushalt",Annahmen!$D$44,Annahmen!$C$44))</f>
        <v>21.599999999999998</v>
      </c>
      <c r="G6" s="58">
        <f t="shared" ref="G6:G17" si="1">E6-F6</f>
        <v>578.4</v>
      </c>
      <c r="H6" s="59">
        <f>E6*(IF(Annahmen!$C$22="Privathaushalt",Annahmen!$D$37+Annahmen!$D$38+IF(Annahmen!$C$26="Pauschal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194.40000000000003</v>
      </c>
      <c r="I6" s="60">
        <f t="shared" ref="I6:I17" si="2">E6+H6</f>
        <v>794.40000000000009</v>
      </c>
      <c r="J6" s="61" t="str">
        <f>IF(E6=0,"–",IF(E6&lt;=Annahmen!$C$31,"✓ OK","✗ Über"))</f>
        <v>✓ OK</v>
      </c>
    </row>
    <row r="7" spans="2:10" ht="21.75" customHeight="1" x14ac:dyDescent="0.25">
      <c r="B7" s="62" t="s">
        <v>71</v>
      </c>
      <c r="C7" s="19">
        <v>38</v>
      </c>
      <c r="D7" s="63">
        <f>Annahmen!$C$23</f>
        <v>15</v>
      </c>
      <c r="E7" s="64">
        <f t="shared" si="0"/>
        <v>570</v>
      </c>
      <c r="F7" s="65">
        <f>IF(Annahmen!$C$25="Ja",0,E7*IF(Annahmen!$C$22="Privathaushalt",Annahmen!$D$44,Annahmen!$C$44))</f>
        <v>20.52</v>
      </c>
      <c r="G7" s="66">
        <f t="shared" si="1"/>
        <v>549.48</v>
      </c>
      <c r="H7" s="67">
        <f>E7*(IF(Annahmen!$C$22="Privathaushalt",Annahmen!$D$37+Annahmen!$D$38+IF(Annahmen!$C$26="Pauschal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184.68000000000004</v>
      </c>
      <c r="I7" s="68">
        <f t="shared" si="2"/>
        <v>754.68000000000006</v>
      </c>
      <c r="J7" s="52" t="str">
        <f>IF(E7=0,"–",IF(E7&lt;=Annahmen!$C$31,"✓ OK","✗ Über"))</f>
        <v>✓ OK</v>
      </c>
    </row>
    <row r="8" spans="2:10" ht="21.75" customHeight="1" x14ac:dyDescent="0.25">
      <c r="B8" s="54" t="s">
        <v>72</v>
      </c>
      <c r="C8" s="19">
        <v>42</v>
      </c>
      <c r="D8" s="55">
        <f>Annahmen!$C$23</f>
        <v>15</v>
      </c>
      <c r="E8" s="56">
        <f t="shared" si="0"/>
        <v>630</v>
      </c>
      <c r="F8" s="57">
        <f>IF(Annahmen!$C$25="Ja",0,E8*IF(Annahmen!$C$22="Privathaushalt",Annahmen!$D$44,Annahmen!$C$44))</f>
        <v>22.68</v>
      </c>
      <c r="G8" s="58">
        <f t="shared" si="1"/>
        <v>607.32000000000005</v>
      </c>
      <c r="H8" s="59">
        <f>E8*(IF(Annahmen!$C$22="Privathaushalt",Annahmen!$D$37+Annahmen!$D$38+IF(Annahmen!$C$26="Pauschal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204.12000000000003</v>
      </c>
      <c r="I8" s="60">
        <f t="shared" si="2"/>
        <v>834.12</v>
      </c>
      <c r="J8" s="61" t="str">
        <f>IF(E8=0,"–",IF(E8&lt;=Annahmen!$C$31,"✓ OK","✗ Über"))</f>
        <v>✗ Über</v>
      </c>
    </row>
    <row r="9" spans="2:10" ht="21.75" customHeight="1" x14ac:dyDescent="0.25">
      <c r="B9" s="62" t="s">
        <v>73</v>
      </c>
      <c r="C9" s="19">
        <v>40</v>
      </c>
      <c r="D9" s="63">
        <f>Annahmen!$C$23</f>
        <v>15</v>
      </c>
      <c r="E9" s="64">
        <f t="shared" si="0"/>
        <v>600</v>
      </c>
      <c r="F9" s="65">
        <f>IF(Annahmen!$C$25="Ja",0,E9*IF(Annahmen!$C$22="Privathaushalt",Annahmen!$D$44,Annahmen!$C$44))</f>
        <v>21.599999999999998</v>
      </c>
      <c r="G9" s="66">
        <f t="shared" si="1"/>
        <v>578.4</v>
      </c>
      <c r="H9" s="67">
        <f>E9*(IF(Annahmen!$C$22="Privathaushalt",Annahmen!$D$37+Annahmen!$D$38+IF(Annahmen!$C$26="Pauschal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194.40000000000003</v>
      </c>
      <c r="I9" s="68">
        <f t="shared" si="2"/>
        <v>794.40000000000009</v>
      </c>
      <c r="J9" s="52" t="str">
        <f>IF(E9=0,"–",IF(E9&lt;=Annahmen!$C$31,"✓ OK","✗ Über"))</f>
        <v>✓ OK</v>
      </c>
    </row>
    <row r="10" spans="2:10" ht="21.75" customHeight="1" x14ac:dyDescent="0.25">
      <c r="B10" s="54" t="s">
        <v>74</v>
      </c>
      <c r="C10" s="19">
        <v>35</v>
      </c>
      <c r="D10" s="55">
        <f>Annahmen!$C$23</f>
        <v>15</v>
      </c>
      <c r="E10" s="56">
        <f t="shared" si="0"/>
        <v>525</v>
      </c>
      <c r="F10" s="57">
        <f>IF(Annahmen!$C$25="Ja",0,E10*IF(Annahmen!$C$22="Privathaushalt",Annahmen!$D$44,Annahmen!$C$44))</f>
        <v>18.899999999999999</v>
      </c>
      <c r="G10" s="58">
        <f t="shared" si="1"/>
        <v>506.1</v>
      </c>
      <c r="H10" s="59">
        <f>E10*(IF(Annahmen!$C$22="Privathaushalt",Annahmen!$D$37+Annahmen!$D$38+IF(Annahmen!$C$26="Pauschal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170.10000000000002</v>
      </c>
      <c r="I10" s="60">
        <f t="shared" si="2"/>
        <v>695.1</v>
      </c>
      <c r="J10" s="61" t="str">
        <f>IF(E10=0,"–",IF(E10&lt;=Annahmen!$C$31,"✓ OK","✗ Über"))</f>
        <v>✓ OK</v>
      </c>
    </row>
    <row r="11" spans="2:10" ht="21.75" customHeight="1" x14ac:dyDescent="0.25">
      <c r="B11" s="62" t="s">
        <v>75</v>
      </c>
      <c r="C11" s="19">
        <v>40</v>
      </c>
      <c r="D11" s="63">
        <f>Annahmen!$C$23</f>
        <v>15</v>
      </c>
      <c r="E11" s="64">
        <f t="shared" si="0"/>
        <v>600</v>
      </c>
      <c r="F11" s="65">
        <f>IF(Annahmen!$C$25="Ja",0,E11*IF(Annahmen!$C$22="Privathaushalt",Annahmen!$D$44,Annahmen!$C$44))</f>
        <v>21.599999999999998</v>
      </c>
      <c r="G11" s="66">
        <f t="shared" si="1"/>
        <v>578.4</v>
      </c>
      <c r="H11" s="67">
        <f>E11*(IF(Annahmen!$C$22="Privathaushalt",Annahmen!$D$37+Annahmen!$D$38+IF(Annahmen!$C$26="Pauschal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194.40000000000003</v>
      </c>
      <c r="I11" s="68">
        <f t="shared" si="2"/>
        <v>794.40000000000009</v>
      </c>
      <c r="J11" s="52" t="str">
        <f>IF(E11=0,"–",IF(E11&lt;=Annahmen!$C$31,"✓ OK","✗ Über"))</f>
        <v>✓ OK</v>
      </c>
    </row>
    <row r="12" spans="2:10" ht="21.75" customHeight="1" x14ac:dyDescent="0.25">
      <c r="B12" s="54" t="s">
        <v>76</v>
      </c>
      <c r="C12" s="19">
        <v>0</v>
      </c>
      <c r="D12" s="55">
        <f>Annahmen!$C$23</f>
        <v>15</v>
      </c>
      <c r="E12" s="56">
        <f t="shared" si="0"/>
        <v>0</v>
      </c>
      <c r="F12" s="57">
        <f>IF(Annahmen!$C$25="Ja",0,E12*IF(Annahmen!$C$22="Privathaushalt",Annahmen!$D$44,Annahmen!$C$44))</f>
        <v>0</v>
      </c>
      <c r="G12" s="58">
        <f t="shared" si="1"/>
        <v>0</v>
      </c>
      <c r="H12" s="59">
        <f>E12*(IF(Annahmen!$C$22="Privathaushalt",Annahmen!$D$37+Annahmen!$D$38+IF(Annahmen!$C$26="Pauschal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0</v>
      </c>
      <c r="I12" s="60">
        <f t="shared" si="2"/>
        <v>0</v>
      </c>
      <c r="J12" s="61" t="str">
        <f>IF(E12=0,"–",IF(E12&lt;=Annahmen!$C$31,"✓ OK","✗ Über"))</f>
        <v>–</v>
      </c>
    </row>
    <row r="13" spans="2:10" ht="21.75" customHeight="1" x14ac:dyDescent="0.25">
      <c r="B13" s="62" t="s">
        <v>77</v>
      </c>
      <c r="C13" s="19">
        <v>0</v>
      </c>
      <c r="D13" s="63">
        <f>Annahmen!$C$23</f>
        <v>15</v>
      </c>
      <c r="E13" s="64">
        <f t="shared" si="0"/>
        <v>0</v>
      </c>
      <c r="F13" s="65">
        <f>IF(Annahmen!$C$25="Ja",0,E13*IF(Annahmen!$C$22="Privathaushalt",Annahmen!$D$44,Annahmen!$C$44))</f>
        <v>0</v>
      </c>
      <c r="G13" s="66">
        <f t="shared" si="1"/>
        <v>0</v>
      </c>
      <c r="H13" s="67">
        <f>E13*(IF(Annahmen!$C$22="Privathaushalt",Annahmen!$D$37+Annahmen!$D$38+IF(Annahmen!$C$26="Pauschal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0</v>
      </c>
      <c r="I13" s="68">
        <f t="shared" si="2"/>
        <v>0</v>
      </c>
      <c r="J13" s="52" t="str">
        <f>IF(E13=0,"–",IF(E13&lt;=Annahmen!$C$31,"✓ OK","✗ Über"))</f>
        <v>–</v>
      </c>
    </row>
    <row r="14" spans="2:10" ht="21.75" customHeight="1" x14ac:dyDescent="0.25">
      <c r="B14" s="54" t="s">
        <v>78</v>
      </c>
      <c r="C14" s="19">
        <v>40</v>
      </c>
      <c r="D14" s="55">
        <f>Annahmen!$C$23</f>
        <v>15</v>
      </c>
      <c r="E14" s="56">
        <f t="shared" si="0"/>
        <v>600</v>
      </c>
      <c r="F14" s="57">
        <f>IF(Annahmen!$C$25="Ja",0,E14*IF(Annahmen!$C$22="Privathaushalt",Annahmen!$D$44,Annahmen!$C$44))</f>
        <v>21.599999999999998</v>
      </c>
      <c r="G14" s="58">
        <f t="shared" si="1"/>
        <v>578.4</v>
      </c>
      <c r="H14" s="59">
        <f>E14*(IF(Annahmen!$C$22="Privathaushalt",Annahmen!$D$37+Annahmen!$D$38+IF(Annahmen!$C$26="Pauschal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194.40000000000003</v>
      </c>
      <c r="I14" s="60">
        <f t="shared" si="2"/>
        <v>794.40000000000009</v>
      </c>
      <c r="J14" s="61" t="str">
        <f>IF(E14=0,"–",IF(E14&lt;=Annahmen!$C$31,"✓ OK","✗ Über"))</f>
        <v>✓ OK</v>
      </c>
    </row>
    <row r="15" spans="2:10" ht="21.75" customHeight="1" x14ac:dyDescent="0.25">
      <c r="B15" s="62" t="s">
        <v>79</v>
      </c>
      <c r="C15" s="19">
        <v>42</v>
      </c>
      <c r="D15" s="63">
        <f>Annahmen!$C$23</f>
        <v>15</v>
      </c>
      <c r="E15" s="64">
        <f t="shared" si="0"/>
        <v>630</v>
      </c>
      <c r="F15" s="65">
        <f>IF(Annahmen!$C$25="Ja",0,E15*IF(Annahmen!$C$22="Privathaushalt",Annahmen!$D$44,Annahmen!$C$44))</f>
        <v>22.68</v>
      </c>
      <c r="G15" s="66">
        <f t="shared" si="1"/>
        <v>607.32000000000005</v>
      </c>
      <c r="H15" s="67">
        <f>E15*(IF(Annahmen!$C$22="Privathaushalt",Annahmen!$D$37+Annahmen!$D$38+IF(Annahmen!$C$26="Pauschal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204.12000000000003</v>
      </c>
      <c r="I15" s="68">
        <f t="shared" si="2"/>
        <v>834.12</v>
      </c>
      <c r="J15" s="52" t="str">
        <f>IF(E15=0,"–",IF(E15&lt;=Annahmen!$C$31,"✓ OK","✗ Über"))</f>
        <v>✗ Über</v>
      </c>
    </row>
    <row r="16" spans="2:10" ht="21.75" customHeight="1" x14ac:dyDescent="0.25">
      <c r="B16" s="54" t="s">
        <v>80</v>
      </c>
      <c r="C16" s="19">
        <v>40</v>
      </c>
      <c r="D16" s="55">
        <f>Annahmen!$C$23</f>
        <v>15</v>
      </c>
      <c r="E16" s="56">
        <f t="shared" si="0"/>
        <v>600</v>
      </c>
      <c r="F16" s="57">
        <f>IF(Annahmen!$C$25="Ja",0,E16*IF(Annahmen!$C$22="Privathaushalt",Annahmen!$D$44,Annahmen!$C$44))</f>
        <v>21.599999999999998</v>
      </c>
      <c r="G16" s="58">
        <f t="shared" si="1"/>
        <v>578.4</v>
      </c>
      <c r="H16" s="59">
        <f>E16*(IF(Annahmen!$C$22="Privathaushalt",Annahmen!$D$37+Annahmen!$D$38+IF(Annahmen!$C$26="Pauschal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194.40000000000003</v>
      </c>
      <c r="I16" s="60">
        <f t="shared" si="2"/>
        <v>794.40000000000009</v>
      </c>
      <c r="J16" s="61" t="str">
        <f>IF(E16=0,"–",IF(E16&lt;=Annahmen!$C$31,"✓ OK","✗ Über"))</f>
        <v>✓ OK</v>
      </c>
    </row>
    <row r="17" spans="2:10" ht="21.75" customHeight="1" x14ac:dyDescent="0.25">
      <c r="B17" s="62" t="s">
        <v>81</v>
      </c>
      <c r="C17" s="19">
        <v>36</v>
      </c>
      <c r="D17" s="63">
        <f>Annahmen!$C$23</f>
        <v>15</v>
      </c>
      <c r="E17" s="64">
        <f t="shared" si="0"/>
        <v>540</v>
      </c>
      <c r="F17" s="65">
        <f>IF(Annahmen!$C$25="Ja",0,E17*IF(Annahmen!$C$22="Privathaushalt",Annahmen!$D$44,Annahmen!$C$44))</f>
        <v>19.439999999999998</v>
      </c>
      <c r="G17" s="66">
        <f t="shared" si="1"/>
        <v>520.55999999999995</v>
      </c>
      <c r="H17" s="67">
        <f>E17*(IF(Annahmen!$C$22="Privathaushalt",Annahmen!$D$37+Annahmen!$D$38+IF(Annahmen!$C$26="Pauschal (2 %)",Annahmen!$D$39,0)+Annahmen!$D$40+Annahmen!$D$41+Annahmen!$D$42+Annahmen!$D$43,Annahmen!$C$37+Annahmen!$C$38+IF(Annahmen!$C$26="Pauschal (2 %)",Annahmen!$C$39,0)+Annahmen!$C$40+Annahmen!$C$41+Annahmen!$C$42+Annahmen!$C$43))</f>
        <v>174.96000000000004</v>
      </c>
      <c r="I17" s="68">
        <f t="shared" si="2"/>
        <v>714.96</v>
      </c>
      <c r="J17" s="52" t="str">
        <f>IF(E17=0,"–",IF(E17&lt;=Annahmen!$C$31,"✓ OK","✗ Über"))</f>
        <v>✓ OK</v>
      </c>
    </row>
    <row r="18" spans="2:10" ht="25.5" customHeight="1" x14ac:dyDescent="0.25">
      <c r="B18" s="26" t="s">
        <v>82</v>
      </c>
      <c r="C18" s="69">
        <f>SUM(C6:C17)</f>
        <v>393</v>
      </c>
      <c r="D18" s="21"/>
      <c r="E18" s="70">
        <f>SUM(E6:E17)</f>
        <v>5895</v>
      </c>
      <c r="F18" s="70">
        <f>SUM(F6:F17)</f>
        <v>212.21999999999997</v>
      </c>
      <c r="G18" s="70">
        <f>SUM(G6:G17)</f>
        <v>5682.7800000000007</v>
      </c>
      <c r="H18" s="70">
        <f>SUM(H6:H17)</f>
        <v>1909.9800000000005</v>
      </c>
      <c r="I18" s="70">
        <f>SUM(I6:I17)</f>
        <v>7804.9800000000005</v>
      </c>
      <c r="J18" s="20" t="str">
        <f>IF(E18&lt;=Annahmen!$C$32,"✓ OK","✗ Über")</f>
        <v>✓ OK</v>
      </c>
    </row>
    <row r="21" spans="2:10" ht="21.75" customHeight="1" x14ac:dyDescent="0.25">
      <c r="B21" s="12" t="s">
        <v>83</v>
      </c>
      <c r="C21" s="12"/>
      <c r="D21" s="12"/>
      <c r="E21" s="12"/>
      <c r="F21" s="12"/>
      <c r="G21" s="12"/>
      <c r="H21" s="12"/>
      <c r="I21" s="12"/>
      <c r="J21" s="12"/>
    </row>
    <row r="22" spans="2:10" ht="21.75" customHeight="1" x14ac:dyDescent="0.25">
      <c r="B22" s="88" t="s">
        <v>84</v>
      </c>
      <c r="C22" s="88"/>
      <c r="D22" s="89" t="s">
        <v>37</v>
      </c>
      <c r="E22" s="89"/>
      <c r="F22" s="90" t="s">
        <v>85</v>
      </c>
      <c r="G22" s="90"/>
      <c r="H22" s="91" t="s">
        <v>56</v>
      </c>
      <c r="I22" s="91"/>
      <c r="J22" s="91"/>
    </row>
    <row r="23" spans="2:10" ht="39.75" customHeight="1" x14ac:dyDescent="0.25">
      <c r="B23" s="92">
        <f>E18</f>
        <v>5895</v>
      </c>
      <c r="C23" s="92"/>
      <c r="D23" s="92">
        <f>G18</f>
        <v>5682.7800000000007</v>
      </c>
      <c r="E23" s="92"/>
      <c r="F23" s="92">
        <f>H18</f>
        <v>1909.9800000000005</v>
      </c>
      <c r="G23" s="92"/>
      <c r="H23" s="92">
        <f>I18</f>
        <v>7804.9800000000005</v>
      </c>
      <c r="I23" s="92"/>
      <c r="J23" s="92"/>
    </row>
    <row r="46" spans="2:10" ht="48" customHeight="1" x14ac:dyDescent="0.25">
      <c r="B46" s="93" t="s">
        <v>86</v>
      </c>
      <c r="C46" s="93"/>
      <c r="D46" s="93"/>
      <c r="E46" s="93"/>
      <c r="F46" s="93"/>
      <c r="G46" s="93"/>
      <c r="H46" s="93"/>
      <c r="I46" s="93"/>
      <c r="J46" s="93"/>
    </row>
  </sheetData>
  <mergeCells count="12">
    <mergeCell ref="B23:C23"/>
    <mergeCell ref="D23:E23"/>
    <mergeCell ref="F23:G23"/>
    <mergeCell ref="H23:J23"/>
    <mergeCell ref="B46:J46"/>
    <mergeCell ref="B2:J2"/>
    <mergeCell ref="B3:J3"/>
    <mergeCell ref="B21:J21"/>
    <mergeCell ref="B22:C22"/>
    <mergeCell ref="D22:E22"/>
    <mergeCell ref="F22:G22"/>
    <mergeCell ref="H22:J22"/>
  </mergeCells>
  <conditionalFormatting sqref="J6:J17">
    <cfRule type="expression" dxfId="1" priority="2">
      <formula>$J6="✓ OK"</formula>
    </cfRule>
    <cfRule type="expression" dxfId="0" priority="3">
      <formula>$J6="✗ Über"</formula>
    </cfRule>
  </conditionalFormatting>
  <printOptions horizontalCentered="1"/>
  <pageMargins left="0.75" right="0.75" top="1" bottom="1" header="0.511811023622047" footer="0.511811023622047"/>
  <pageSetup paperSize="9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D53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34" customWidth="1"/>
    <col min="3" max="3" width="22" customWidth="1"/>
    <col min="4" max="4" width="48" customWidth="1"/>
  </cols>
  <sheetData>
    <row r="2" spans="2:4" ht="31.5" customHeight="1" x14ac:dyDescent="0.25">
      <c r="B2" s="94" t="s">
        <v>87</v>
      </c>
      <c r="C2" s="94"/>
      <c r="D2" s="94"/>
    </row>
    <row r="3" spans="2:4" ht="15" customHeight="1" x14ac:dyDescent="0.25">
      <c r="B3" s="95" t="s">
        <v>88</v>
      </c>
      <c r="C3" s="95"/>
      <c r="D3" s="95"/>
    </row>
    <row r="5" spans="2:4" ht="24" customHeight="1" x14ac:dyDescent="0.25">
      <c r="B5" s="96" t="s">
        <v>89</v>
      </c>
      <c r="C5" s="96"/>
      <c r="D5" s="96"/>
    </row>
    <row r="6" spans="2:4" ht="21.75" customHeight="1" x14ac:dyDescent="0.25">
      <c r="B6" s="47" t="s">
        <v>11</v>
      </c>
      <c r="C6" s="71" t="s">
        <v>90</v>
      </c>
      <c r="D6" s="72" t="s">
        <v>91</v>
      </c>
    </row>
    <row r="7" spans="2:4" ht="21.75" customHeight="1" x14ac:dyDescent="0.25">
      <c r="B7" s="47" t="s">
        <v>13</v>
      </c>
      <c r="C7" s="71" t="s">
        <v>92</v>
      </c>
      <c r="D7" s="72" t="s">
        <v>93</v>
      </c>
    </row>
    <row r="8" spans="2:4" ht="21.75" customHeight="1" x14ac:dyDescent="0.25">
      <c r="B8" s="47" t="s">
        <v>14</v>
      </c>
      <c r="C8" s="71" t="s">
        <v>94</v>
      </c>
      <c r="D8" s="72" t="s">
        <v>95</v>
      </c>
    </row>
    <row r="9" spans="2:4" ht="21.75" customHeight="1" x14ac:dyDescent="0.25">
      <c r="B9" s="47" t="s">
        <v>16</v>
      </c>
      <c r="C9" s="71" t="s">
        <v>96</v>
      </c>
      <c r="D9" s="72" t="s">
        <v>97</v>
      </c>
    </row>
    <row r="11" spans="2:4" ht="24" customHeight="1" x14ac:dyDescent="0.25">
      <c r="B11" s="96" t="s">
        <v>98</v>
      </c>
      <c r="C11" s="96"/>
      <c r="D11" s="96"/>
    </row>
    <row r="12" spans="2:4" ht="21.75" customHeight="1" x14ac:dyDescent="0.25">
      <c r="B12" s="47" t="s">
        <v>12</v>
      </c>
      <c r="C12" s="71" t="s">
        <v>99</v>
      </c>
      <c r="D12" s="72" t="s">
        <v>100</v>
      </c>
    </row>
    <row r="13" spans="2:4" ht="21.75" customHeight="1" x14ac:dyDescent="0.25">
      <c r="B13" s="47" t="s">
        <v>13</v>
      </c>
      <c r="C13" s="71" t="s">
        <v>101</v>
      </c>
      <c r="D13" s="72" t="s">
        <v>93</v>
      </c>
    </row>
    <row r="14" spans="2:4" ht="21.75" customHeight="1" x14ac:dyDescent="0.25">
      <c r="B14" s="47" t="s">
        <v>15</v>
      </c>
      <c r="C14" s="73">
        <v>33008</v>
      </c>
      <c r="D14" s="72" t="s">
        <v>102</v>
      </c>
    </row>
    <row r="15" spans="2:4" ht="21.75" customHeight="1" x14ac:dyDescent="0.25">
      <c r="B15" s="47" t="s">
        <v>103</v>
      </c>
      <c r="C15" s="71" t="s">
        <v>104</v>
      </c>
      <c r="D15" s="72" t="s">
        <v>105</v>
      </c>
    </row>
    <row r="16" spans="2:4" ht="21.75" customHeight="1" x14ac:dyDescent="0.25">
      <c r="B16" s="47" t="s">
        <v>18</v>
      </c>
      <c r="C16" s="71" t="s">
        <v>106</v>
      </c>
      <c r="D16" s="72" t="s">
        <v>107</v>
      </c>
    </row>
    <row r="17" spans="2:4" ht="21.75" customHeight="1" x14ac:dyDescent="0.25">
      <c r="B17" s="47" t="s">
        <v>4</v>
      </c>
      <c r="C17" s="71" t="s">
        <v>108</v>
      </c>
      <c r="D17" s="72" t="s">
        <v>109</v>
      </c>
    </row>
    <row r="18" spans="2:4" ht="21.75" customHeight="1" x14ac:dyDescent="0.25">
      <c r="B18" s="47" t="s">
        <v>19</v>
      </c>
      <c r="C18" s="73">
        <v>46023</v>
      </c>
      <c r="D18" s="72" t="s">
        <v>110</v>
      </c>
    </row>
    <row r="19" spans="2:4" ht="21.75" customHeight="1" x14ac:dyDescent="0.25">
      <c r="B19" s="47" t="s">
        <v>20</v>
      </c>
      <c r="C19" s="71" t="s">
        <v>111</v>
      </c>
      <c r="D19" s="72" t="s">
        <v>112</v>
      </c>
    </row>
    <row r="21" spans="2:4" ht="24" customHeight="1" x14ac:dyDescent="0.25">
      <c r="B21" s="96" t="s">
        <v>113</v>
      </c>
      <c r="C21" s="96"/>
      <c r="D21" s="96"/>
    </row>
    <row r="22" spans="2:4" ht="21.75" customHeight="1" x14ac:dyDescent="0.25">
      <c r="B22" s="47" t="s">
        <v>3</v>
      </c>
      <c r="C22" s="71" t="s">
        <v>114</v>
      </c>
      <c r="D22" s="72" t="s">
        <v>115</v>
      </c>
    </row>
    <row r="23" spans="2:4" ht="21.75" customHeight="1" x14ac:dyDescent="0.25">
      <c r="B23" s="47" t="s">
        <v>116</v>
      </c>
      <c r="C23" s="74">
        <v>15</v>
      </c>
      <c r="D23" s="72" t="s">
        <v>117</v>
      </c>
    </row>
    <row r="24" spans="2:4" ht="21.75" customHeight="1" x14ac:dyDescent="0.25">
      <c r="B24" s="47" t="s">
        <v>118</v>
      </c>
      <c r="C24" s="71">
        <v>40</v>
      </c>
      <c r="D24" s="72" t="s">
        <v>119</v>
      </c>
    </row>
    <row r="25" spans="2:4" ht="21.75" customHeight="1" x14ac:dyDescent="0.25">
      <c r="B25" s="47" t="s">
        <v>120</v>
      </c>
      <c r="C25" s="71" t="s">
        <v>121</v>
      </c>
      <c r="D25" s="72" t="s">
        <v>122</v>
      </c>
    </row>
    <row r="26" spans="2:4" ht="21.75" customHeight="1" x14ac:dyDescent="0.25">
      <c r="B26" s="47" t="s">
        <v>123</v>
      </c>
      <c r="C26" s="71" t="s">
        <v>124</v>
      </c>
      <c r="D26" s="72" t="s">
        <v>125</v>
      </c>
    </row>
    <row r="27" spans="2:4" ht="21.75" customHeight="1" x14ac:dyDescent="0.25">
      <c r="B27" s="47" t="s">
        <v>126</v>
      </c>
      <c r="C27" s="75">
        <v>2026</v>
      </c>
      <c r="D27" s="72" t="s">
        <v>127</v>
      </c>
    </row>
    <row r="29" spans="2:4" ht="24" customHeight="1" x14ac:dyDescent="0.25">
      <c r="B29" s="96" t="s">
        <v>128</v>
      </c>
      <c r="C29" s="96"/>
      <c r="D29" s="96"/>
    </row>
    <row r="30" spans="2:4" ht="21.75" customHeight="1" x14ac:dyDescent="0.25">
      <c r="B30" s="47" t="s">
        <v>129</v>
      </c>
      <c r="C30" s="76">
        <v>13.9</v>
      </c>
      <c r="D30" s="72" t="s">
        <v>130</v>
      </c>
    </row>
    <row r="31" spans="2:4" ht="21.75" customHeight="1" x14ac:dyDescent="0.25">
      <c r="B31" s="47" t="s">
        <v>131</v>
      </c>
      <c r="C31" s="76">
        <v>603</v>
      </c>
      <c r="D31" s="72" t="s">
        <v>132</v>
      </c>
    </row>
    <row r="32" spans="2:4" ht="21.75" customHeight="1" x14ac:dyDescent="0.25">
      <c r="B32" s="47" t="s">
        <v>133</v>
      </c>
      <c r="C32" s="76">
        <v>7236</v>
      </c>
      <c r="D32" s="72" t="s">
        <v>134</v>
      </c>
    </row>
    <row r="33" spans="2:4" ht="21.75" customHeight="1" x14ac:dyDescent="0.25">
      <c r="B33" s="47" t="s">
        <v>135</v>
      </c>
      <c r="C33" s="76">
        <v>603.01</v>
      </c>
      <c r="D33" s="72" t="s">
        <v>136</v>
      </c>
    </row>
    <row r="35" spans="2:4" ht="24" customHeight="1" x14ac:dyDescent="0.25">
      <c r="B35" s="96" t="s">
        <v>137</v>
      </c>
      <c r="C35" s="96"/>
      <c r="D35" s="96"/>
    </row>
    <row r="36" spans="2:4" ht="21.75" customHeight="1" x14ac:dyDescent="0.25">
      <c r="B36" s="20" t="s">
        <v>39</v>
      </c>
      <c r="C36" s="20" t="s">
        <v>114</v>
      </c>
      <c r="D36" s="20" t="s">
        <v>138</v>
      </c>
    </row>
    <row r="37" spans="2:4" ht="21.75" customHeight="1" x14ac:dyDescent="0.25">
      <c r="B37" s="47" t="s">
        <v>139</v>
      </c>
      <c r="C37" s="77">
        <v>0.13</v>
      </c>
      <c r="D37" s="77">
        <v>0.05</v>
      </c>
    </row>
    <row r="38" spans="2:4" ht="21.75" customHeight="1" x14ac:dyDescent="0.25">
      <c r="B38" s="47" t="s">
        <v>140</v>
      </c>
      <c r="C38" s="77">
        <v>0.15</v>
      </c>
      <c r="D38" s="77">
        <v>0.05</v>
      </c>
    </row>
    <row r="39" spans="2:4" ht="21.75" customHeight="1" x14ac:dyDescent="0.25">
      <c r="B39" s="47" t="s">
        <v>141</v>
      </c>
      <c r="C39" s="77">
        <v>0.02</v>
      </c>
      <c r="D39" s="77">
        <v>0.02</v>
      </c>
    </row>
    <row r="40" spans="2:4" ht="21.75" customHeight="1" x14ac:dyDescent="0.25">
      <c r="B40" s="47" t="s">
        <v>46</v>
      </c>
      <c r="C40" s="77">
        <v>8.0000000000000002E-3</v>
      </c>
      <c r="D40" s="77">
        <v>8.0000000000000002E-3</v>
      </c>
    </row>
    <row r="41" spans="2:4" ht="21.75" customHeight="1" x14ac:dyDescent="0.25">
      <c r="B41" s="47" t="s">
        <v>48</v>
      </c>
      <c r="C41" s="77">
        <v>2.3999999999999998E-3</v>
      </c>
      <c r="D41" s="77">
        <v>2.3999999999999998E-3</v>
      </c>
    </row>
    <row r="42" spans="2:4" ht="21.75" customHeight="1" x14ac:dyDescent="0.25">
      <c r="B42" s="47" t="s">
        <v>49</v>
      </c>
      <c r="C42" s="77">
        <v>5.9999999999999995E-4</v>
      </c>
      <c r="D42" s="77">
        <v>0</v>
      </c>
    </row>
    <row r="43" spans="2:4" ht="21.75" customHeight="1" x14ac:dyDescent="0.25">
      <c r="B43" s="47" t="s">
        <v>51</v>
      </c>
      <c r="C43" s="77">
        <v>1.2999999999999999E-2</v>
      </c>
      <c r="D43" s="77">
        <v>1.6E-2</v>
      </c>
    </row>
    <row r="44" spans="2:4" ht="21.75" customHeight="1" x14ac:dyDescent="0.25">
      <c r="B44" s="47" t="s">
        <v>142</v>
      </c>
      <c r="C44" s="77">
        <v>3.5999999999999997E-2</v>
      </c>
      <c r="D44" s="77">
        <v>3.5999999999999997E-2</v>
      </c>
    </row>
    <row r="45" spans="2:4" ht="31.5" customHeight="1" x14ac:dyDescent="0.25">
      <c r="B45" s="97" t="s">
        <v>143</v>
      </c>
      <c r="C45" s="97"/>
      <c r="D45" s="97"/>
    </row>
    <row r="47" spans="2:4" ht="24" customHeight="1" x14ac:dyDescent="0.25">
      <c r="B47" s="96" t="s">
        <v>144</v>
      </c>
      <c r="C47" s="96"/>
      <c r="D47" s="96"/>
    </row>
    <row r="48" spans="2:4" ht="18" customHeight="1" x14ac:dyDescent="0.25">
      <c r="B48" s="98" t="s">
        <v>145</v>
      </c>
      <c r="C48" s="98"/>
      <c r="D48" s="98"/>
    </row>
    <row r="49" spans="2:4" ht="18" customHeight="1" x14ac:dyDescent="0.25">
      <c r="B49" s="98" t="s">
        <v>146</v>
      </c>
      <c r="C49" s="98"/>
      <c r="D49" s="98"/>
    </row>
    <row r="50" spans="2:4" ht="18" customHeight="1" x14ac:dyDescent="0.25">
      <c r="B50" s="98" t="s">
        <v>147</v>
      </c>
      <c r="C50" s="98"/>
      <c r="D50" s="98"/>
    </row>
    <row r="51" spans="2:4" ht="18" customHeight="1" x14ac:dyDescent="0.25">
      <c r="B51" s="98" t="s">
        <v>148</v>
      </c>
      <c r="C51" s="98"/>
      <c r="D51" s="98"/>
    </row>
    <row r="52" spans="2:4" ht="18" customHeight="1" x14ac:dyDescent="0.25">
      <c r="B52" s="98" t="s">
        <v>149</v>
      </c>
      <c r="C52" s="98"/>
      <c r="D52" s="98"/>
    </row>
    <row r="53" spans="2:4" ht="18" customHeight="1" x14ac:dyDescent="0.25">
      <c r="B53" s="98" t="s">
        <v>150</v>
      </c>
      <c r="C53" s="98"/>
      <c r="D53" s="98"/>
    </row>
  </sheetData>
  <mergeCells count="15">
    <mergeCell ref="B49:D49"/>
    <mergeCell ref="B50:D50"/>
    <mergeCell ref="B51:D51"/>
    <mergeCell ref="B52:D52"/>
    <mergeCell ref="B53:D53"/>
    <mergeCell ref="B29:D29"/>
    <mergeCell ref="B35:D35"/>
    <mergeCell ref="B45:D45"/>
    <mergeCell ref="B47:D47"/>
    <mergeCell ref="B48:D48"/>
    <mergeCell ref="B2:D2"/>
    <mergeCell ref="B3:D3"/>
    <mergeCell ref="B5:D5"/>
    <mergeCell ref="B11:D11"/>
    <mergeCell ref="B21:D21"/>
  </mergeCells>
  <dataValidations count="3">
    <dataValidation type="list" sqref="C22" xr:uid="{00000000-0002-0000-0200-000000000000}">
      <formula1>"Gewerblich,Privathaushalt"</formula1>
      <formula2>0</formula2>
    </dataValidation>
    <dataValidation type="list" sqref="C25" xr:uid="{00000000-0002-0000-0200-000001000000}">
      <formula1>"Ja,Nein"</formula1>
      <formula2>0</formula2>
    </dataValidation>
    <dataValidation type="list" sqref="C26" xr:uid="{00000000-0002-0000-0200-000002000000}">
      <formula1>"Pauschal (2 %),Individuell (ELStAM)"</formula1>
      <formula2>0</formula2>
    </dataValidation>
  </dataValidations>
  <printOptions horizontalCentered="1"/>
  <pageMargins left="0.75" right="0.75" top="1" bottom="1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Lohnabrechnung</vt:lpstr>
      <vt:lpstr>Jahresübersicht</vt:lpstr>
      <vt:lpstr>Annahmen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2026-05-31T13:33:28Z</dcterms:created>
  <dcterms:modified xsi:type="dcterms:W3CDTF">2026-05-31T13:38:23Z</dcterms:modified>
  <dc:language>en-US</dc:language>
</cp:coreProperties>
</file>