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88C3A75-2FE1-4094-8A83-05A83179150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sposition" sheetId="1" r:id="rId1"/>
    <sheet name="Stammdaten" sheetId="2" r:id="rId2"/>
    <sheet name="Auswer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3" l="1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D10" i="3"/>
  <c r="D9" i="3"/>
  <c r="H8" i="3"/>
  <c r="D7" i="3"/>
  <c r="D6" i="3"/>
  <c r="H5" i="3"/>
  <c r="D5" i="3"/>
  <c r="H4" i="3"/>
  <c r="D4" i="3"/>
  <c r="N18" i="1"/>
  <c r="M18" i="1"/>
  <c r="L18" i="1"/>
  <c r="O17" i="1"/>
  <c r="P17" i="1" s="1"/>
  <c r="Q17" i="1" s="1"/>
  <c r="N17" i="1"/>
  <c r="K17" i="1"/>
  <c r="O16" i="1"/>
  <c r="P16" i="1" s="1"/>
  <c r="Q16" i="1" s="1"/>
  <c r="N16" i="1"/>
  <c r="K16" i="1"/>
  <c r="O15" i="1"/>
  <c r="P15" i="1" s="1"/>
  <c r="Q15" i="1" s="1"/>
  <c r="N15" i="1"/>
  <c r="K15" i="1"/>
  <c r="O14" i="1"/>
  <c r="P14" i="1" s="1"/>
  <c r="Q14" i="1" s="1"/>
  <c r="N14" i="1"/>
  <c r="K14" i="1"/>
  <c r="O13" i="1"/>
  <c r="P13" i="1" s="1"/>
  <c r="Q13" i="1" s="1"/>
  <c r="N13" i="1"/>
  <c r="K13" i="1"/>
  <c r="O12" i="1"/>
  <c r="P12" i="1" s="1"/>
  <c r="Q12" i="1" s="1"/>
  <c r="N12" i="1"/>
  <c r="K12" i="1"/>
  <c r="O11" i="1"/>
  <c r="P11" i="1" s="1"/>
  <c r="Q11" i="1" s="1"/>
  <c r="N11" i="1"/>
  <c r="K11" i="1"/>
  <c r="O10" i="1"/>
  <c r="P10" i="1" s="1"/>
  <c r="Q10" i="1" s="1"/>
  <c r="N10" i="1"/>
  <c r="K10" i="1"/>
  <c r="O9" i="1"/>
  <c r="P9" i="1" s="1"/>
  <c r="Q9" i="1" s="1"/>
  <c r="N9" i="1"/>
  <c r="K9" i="1"/>
  <c r="O8" i="1"/>
  <c r="P8" i="1" s="1"/>
  <c r="Q8" i="1" s="1"/>
  <c r="N8" i="1"/>
  <c r="K8" i="1"/>
  <c r="O7" i="1"/>
  <c r="P7" i="1" s="1"/>
  <c r="Q7" i="1" s="1"/>
  <c r="N7" i="1"/>
  <c r="K7" i="1"/>
  <c r="O6" i="1"/>
  <c r="N6" i="1"/>
  <c r="K6" i="1"/>
  <c r="O18" i="1" l="1"/>
  <c r="P6" i="1"/>
  <c r="Q6" i="1" l="1"/>
  <c r="P18" i="1"/>
  <c r="H7" i="3" l="1"/>
  <c r="Q18" i="1"/>
  <c r="H6" i="3"/>
  <c r="D8" i="3"/>
</calcChain>
</file>

<file path=xl/sharedStrings.xml><?xml version="1.0" encoding="utf-8"?>
<sst xmlns="http://schemas.openxmlformats.org/spreadsheetml/2006/main" count="264" uniqueCount="179">
  <si>
    <t>LKW-DISPOSITION  –  Tages- und Tourenplanung</t>
  </si>
  <si>
    <t>Spedition Rheinkante GmbH  ·  Disponent: M. Brandt  ·  Kalenderwoche 22 / 2026</t>
  </si>
  <si>
    <t>🟢 Erledigt</t>
  </si>
  <si>
    <t>🟡 Unterwegs</t>
  </si>
  <si>
    <t>🔴 Verspätet / Problem</t>
  </si>
  <si>
    <t>⚪ Geplant</t>
  </si>
  <si>
    <t>TOUR</t>
  </si>
  <si>
    <t>FAHRER &amp; FAHRZEUG</t>
  </si>
  <si>
    <t>AUFTRAG</t>
  </si>
  <si>
    <t>STRECKE</t>
  </si>
  <si>
    <t>ZEITEN</t>
  </si>
  <si>
    <t>FRACHT</t>
  </si>
  <si>
    <t>KOSTEN</t>
  </si>
  <si>
    <t>STATUS</t>
  </si>
  <si>
    <t>Tour-Nr.</t>
  </si>
  <si>
    <t>Datum</t>
  </si>
  <si>
    <t>Fahrer</t>
  </si>
  <si>
    <t>Kennzeichen</t>
  </si>
  <si>
    <t>Auftraggeber</t>
  </si>
  <si>
    <t>Frachtart</t>
  </si>
  <si>
    <t>Beladeort</t>
  </si>
  <si>
    <t>Entladeort</t>
  </si>
  <si>
    <t>Abfahrt</t>
  </si>
  <si>
    <t>Dauer
(h)</t>
  </si>
  <si>
    <t>Ankunft
(ber.)</t>
  </si>
  <si>
    <t>Strecke
(km)</t>
  </si>
  <si>
    <t>Ladung
(t)</t>
  </si>
  <si>
    <t>Auslastung
%</t>
  </si>
  <si>
    <t>Verbrauch
(l)</t>
  </si>
  <si>
    <t>Kraftstoff
(€)</t>
  </si>
  <si>
    <t>Gesamt-
kosten (€)</t>
  </si>
  <si>
    <t>Status</t>
  </si>
  <si>
    <t>Bemerkung</t>
  </si>
  <si>
    <t>T-2201</t>
  </si>
  <si>
    <t>26.05.2026</t>
  </si>
  <si>
    <t>Jürgen Holzer</t>
  </si>
  <si>
    <t>DU-RK 412</t>
  </si>
  <si>
    <t>Möbel Lindqvist</t>
  </si>
  <si>
    <t>Stückgut</t>
  </si>
  <si>
    <t>Duisburg</t>
  </si>
  <si>
    <t>Hannover</t>
  </si>
  <si>
    <t>06:30</t>
  </si>
  <si>
    <t>Erledigt</t>
  </si>
  <si>
    <t>Pünktlich abgeliefert</t>
  </si>
  <si>
    <t>T-2202</t>
  </si>
  <si>
    <t>Sven Achterberg</t>
  </si>
  <si>
    <t>DU-RK 287</t>
  </si>
  <si>
    <t>BauStoff Wendt</t>
  </si>
  <si>
    <t>Schüttgut</t>
  </si>
  <si>
    <t>Kassel</t>
  </si>
  <si>
    <t>05:00</t>
  </si>
  <si>
    <t>Entladung 30 Min Verzug</t>
  </si>
  <si>
    <t>T-2203</t>
  </si>
  <si>
    <t>Mehmet Yildiz</t>
  </si>
  <si>
    <t>DU-RK 533</t>
  </si>
  <si>
    <t>KühlFrisch AG</t>
  </si>
  <si>
    <t>Kühlware</t>
  </si>
  <si>
    <t>Krefeld</t>
  </si>
  <si>
    <t>Bremen</t>
  </si>
  <si>
    <t>04:00</t>
  </si>
  <si>
    <t>Unterwegs</t>
  </si>
  <si>
    <t>Temperatur 4°C i.O.</t>
  </si>
  <si>
    <t>T-2204</t>
  </si>
  <si>
    <t>Petra Söll</t>
  </si>
  <si>
    <t>Chemie Vortmann</t>
  </si>
  <si>
    <t>Gefahrgut</t>
  </si>
  <si>
    <t>Leverkusen</t>
  </si>
  <si>
    <t>Hamburg</t>
  </si>
  <si>
    <t>07:00</t>
  </si>
  <si>
    <t>Geplant</t>
  </si>
  <si>
    <t>ADR-Schein geprüft</t>
  </si>
  <si>
    <t>T-2205</t>
  </si>
  <si>
    <t>27.05.2026</t>
  </si>
  <si>
    <t>Dortmund</t>
  </si>
  <si>
    <t>08:00</t>
  </si>
  <si>
    <t>Nahverkehr</t>
  </si>
  <si>
    <t>T-2206</t>
  </si>
  <si>
    <t>Andrej Kowalski</t>
  </si>
  <si>
    <t>DU-RK 199</t>
  </si>
  <si>
    <t>Getränke Mahler</t>
  </si>
  <si>
    <t>Palettenware</t>
  </si>
  <si>
    <t>Mönchengladbach</t>
  </si>
  <si>
    <t>Köln</t>
  </si>
  <si>
    <t>06:00</t>
  </si>
  <si>
    <t>Vollauslastung</t>
  </si>
  <si>
    <t>T-2207</t>
  </si>
  <si>
    <t>Münster</t>
  </si>
  <si>
    <t>05:30</t>
  </si>
  <si>
    <t>Verspätet</t>
  </si>
  <si>
    <t>Stau A1 – +60 Min</t>
  </si>
  <si>
    <t>T-2208</t>
  </si>
  <si>
    <t>Düsseldorf</t>
  </si>
  <si>
    <t>09:00</t>
  </si>
  <si>
    <t>Kurzstrecke</t>
  </si>
  <si>
    <t>T-2209</t>
  </si>
  <si>
    <t>28.05.2026</t>
  </si>
  <si>
    <t>Frankfurt</t>
  </si>
  <si>
    <t>04:30</t>
  </si>
  <si>
    <t>ADR – Tunnel C</t>
  </si>
  <si>
    <t>T-2210</t>
  </si>
  <si>
    <t>Wuppertal</t>
  </si>
  <si>
    <t>07:30</t>
  </si>
  <si>
    <t>Rampe 3</t>
  </si>
  <si>
    <t>T-2211</t>
  </si>
  <si>
    <t>Bielefeld</t>
  </si>
  <si>
    <t>Avisierung erfolgt</t>
  </si>
  <si>
    <t>T-2212</t>
  </si>
  <si>
    <t>Essen</t>
  </si>
  <si>
    <t>08:30</t>
  </si>
  <si>
    <t>Überladung prüfen!</t>
  </si>
  <si>
    <t>SUMMEN / DURCHSCHNITT</t>
  </si>
  <si>
    <t>STAMMDATEN  –  Fahrzeuge, Fahrer &amp; Parameter</t>
  </si>
  <si>
    <t>FAHRZEUGFLOTTE</t>
  </si>
  <si>
    <t>PARAMETER</t>
  </si>
  <si>
    <t>Fahrzeugtyp</t>
  </si>
  <si>
    <t>Kapazität (t)</t>
  </si>
  <si>
    <t>Verbrauch (l/100km)</t>
  </si>
  <si>
    <t>Letzter Service</t>
  </si>
  <si>
    <t>Nächster Service</t>
  </si>
  <si>
    <t>Dieselpreis (€/l)</t>
  </si>
  <si>
    <t>Sattelzug 40t</t>
  </si>
  <si>
    <t>12.04.2026</t>
  </si>
  <si>
    <t>12.07.2026</t>
  </si>
  <si>
    <t>Kostensatz (€/km)</t>
  </si>
  <si>
    <t>02.05.2026</t>
  </si>
  <si>
    <t>02.08.2026</t>
  </si>
  <si>
    <t>Lohnkosten (€/h)</t>
  </si>
  <si>
    <t>Gliederzug 18t</t>
  </si>
  <si>
    <t>20.03.2026</t>
  </si>
  <si>
    <t>20.06.2026</t>
  </si>
  <si>
    <t>28.04.2026</t>
  </si>
  <si>
    <t>28.07.2026</t>
  </si>
  <si>
    <t>Blaue Werte = anpassbare Eingaben</t>
  </si>
  <si>
    <t>FAHRERLISTE</t>
  </si>
  <si>
    <t>Name</t>
  </si>
  <si>
    <t>Führerscheinklasse</t>
  </si>
  <si>
    <t>Telefon</t>
  </si>
  <si>
    <t>Einsatzgebiet</t>
  </si>
  <si>
    <t>Zusatzqualifikation</t>
  </si>
  <si>
    <t>CE</t>
  </si>
  <si>
    <t>0151 2204311</t>
  </si>
  <si>
    <t>Nord/West</t>
  </si>
  <si>
    <t>–</t>
  </si>
  <si>
    <t>Aktiv</t>
  </si>
  <si>
    <t>0151 2204312</t>
  </si>
  <si>
    <t>West</t>
  </si>
  <si>
    <t>Kran</t>
  </si>
  <si>
    <t>0151 2204313</t>
  </si>
  <si>
    <t>Nord</t>
  </si>
  <si>
    <t>Kühlkette</t>
  </si>
  <si>
    <t>0151 2204314</t>
  </si>
  <si>
    <t>Süd/Mitte</t>
  </si>
  <si>
    <t>ADR Gefahrgut</t>
  </si>
  <si>
    <t>0151 2204315</t>
  </si>
  <si>
    <t>Region NRW</t>
  </si>
  <si>
    <t>Lars Tönnies</t>
  </si>
  <si>
    <t>0151 2204316</t>
  </si>
  <si>
    <t>flexibel</t>
  </si>
  <si>
    <t>Urlaub</t>
  </si>
  <si>
    <t>AUSWERTUNG  –  Kennzahlen &amp; Fahrerauslastung</t>
  </si>
  <si>
    <t>GESAMTKENNZAHLEN</t>
  </si>
  <si>
    <t>EFFIZIENZ</t>
  </si>
  <si>
    <t>Anzahl Touren:</t>
  </si>
  <si>
    <t>Ø Auslastung:</t>
  </si>
  <si>
    <t>Gefahrene km gesamt:</t>
  </si>
  <si>
    <t>Ø km / Tour:</t>
  </si>
  <si>
    <t>Transportierte Tonnen:</t>
  </si>
  <si>
    <t>Kosten / km (€):</t>
  </si>
  <si>
    <t>Kraftstoff gesamt (l):</t>
  </si>
  <si>
    <t>Kosten / Tonne (€):</t>
  </si>
  <si>
    <t>Gesamtkosten (€):</t>
  </si>
  <si>
    <t>Pünktlichkeitsquote:</t>
  </si>
  <si>
    <t>Erledigte Touren:</t>
  </si>
  <si>
    <t>Verspätete Touren:</t>
  </si>
  <si>
    <t>AUSLASTUNG JE FAHRER</t>
  </si>
  <si>
    <t>Touren</t>
  </si>
  <si>
    <t>km gesamt</t>
  </si>
  <si>
    <t>Tonnen gesamt</t>
  </si>
  <si>
    <t>Ø Auslastung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</si>
</sst>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8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C9D6E5"/>
      <name val="Arial"/>
      <charset val="1"/>
    </font>
    <font>
      <b/>
      <sz val="9"/>
      <color rgb="FF1E6B2F"/>
      <name val="Arial"/>
      <charset val="1"/>
    </font>
    <font>
      <b/>
      <sz val="9"/>
      <color rgb="FF8A6D00"/>
      <name val="Arial"/>
      <charset val="1"/>
    </font>
    <font>
      <b/>
      <sz val="9"/>
      <color rgb="FF9C0006"/>
      <name val="Arial"/>
      <charset val="1"/>
    </font>
    <font>
      <b/>
      <sz val="9"/>
      <color rgb="FF000000"/>
      <name val="Arial"/>
      <charset val="1"/>
    </font>
    <font>
      <b/>
      <sz val="8"/>
      <color rgb="FFFFFFFF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b/>
      <sz val="9"/>
      <color rgb="FFFFFFFF"/>
      <name val="Arial"/>
      <charset val="1"/>
    </font>
    <font>
      <b/>
      <sz val="14"/>
      <color rgb="FFFFFFFF"/>
      <name val="Arial"/>
      <charset val="1"/>
    </font>
    <font>
      <b/>
      <sz val="11"/>
      <color rgb="FFFFFFFF"/>
      <name val="Arial"/>
      <charset val="1"/>
    </font>
    <font>
      <b/>
      <sz val="9"/>
      <name val="Arial"/>
      <charset val="1"/>
    </font>
    <font>
      <b/>
      <sz val="10"/>
      <color rgb="FF0000FF"/>
      <name val="Arial"/>
      <charset val="1"/>
    </font>
    <font>
      <i/>
      <sz val="8"/>
      <color rgb="FF666666"/>
      <name val="Arial"/>
      <charset val="1"/>
    </font>
    <font>
      <b/>
      <sz val="11"/>
      <color rgb="FF2C5F8A"/>
      <name val="Arial"/>
      <charset val="1"/>
    </font>
    <font>
      <b/>
      <sz val="11"/>
      <color rgb="FFD98E04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C2E4A"/>
        <bgColor rgb="FF243A5E"/>
      </patternFill>
    </fill>
    <fill>
      <patternFill patternType="solid">
        <fgColor rgb="FF243A5E"/>
        <bgColor rgb="FF1C2E4A"/>
      </patternFill>
    </fill>
    <fill>
      <patternFill patternType="solid">
        <fgColor rgb="FFC6EFCE"/>
        <bgColor rgb="FFDCE9F5"/>
      </patternFill>
    </fill>
    <fill>
      <patternFill patternType="solid">
        <fgColor rgb="FFFFEB9C"/>
        <bgColor rgb="FFE2E8EF"/>
      </patternFill>
    </fill>
    <fill>
      <patternFill patternType="solid">
        <fgColor rgb="FFFFC7CE"/>
        <bgColor rgb="FFD9D9D9"/>
      </patternFill>
    </fill>
    <fill>
      <patternFill patternType="solid">
        <fgColor rgb="FFE2E8EF"/>
        <bgColor rgb="FFDCE9F5"/>
      </patternFill>
    </fill>
    <fill>
      <patternFill patternType="solid">
        <fgColor rgb="FF2C5F8A"/>
        <bgColor rgb="FF456B8C"/>
      </patternFill>
    </fill>
    <fill>
      <patternFill patternType="solid">
        <fgColor rgb="FFFFFFFF"/>
        <bgColor rgb="FFF9F9F9"/>
      </patternFill>
    </fill>
    <fill>
      <patternFill patternType="solid">
        <fgColor rgb="FFEEF4FA"/>
        <bgColor rgb="FFF9F9F9"/>
      </patternFill>
    </fill>
    <fill>
      <patternFill patternType="solid">
        <fgColor rgb="FFD98E04"/>
        <bgColor rgb="FFFF6600"/>
      </patternFill>
    </fill>
    <fill>
      <patternFill patternType="solid">
        <fgColor rgb="FF456B8C"/>
        <bgColor rgb="FF2C5F8A"/>
      </patternFill>
    </fill>
    <fill>
      <patternFill patternType="solid">
        <fgColor rgb="FFDCE9F5"/>
        <bgColor rgb="FFE2E8EF"/>
      </patternFill>
    </fill>
  </fills>
  <borders count="3">
    <border>
      <left/>
      <right/>
      <top/>
      <bottom/>
      <diagonal/>
    </border>
    <border>
      <left style="thin">
        <color rgb="FF9DB2C9"/>
      </left>
      <right/>
      <top style="thin">
        <color rgb="FF9DB2C9"/>
      </top>
      <bottom style="thin">
        <color rgb="FF9DB2C9"/>
      </bottom>
      <diagonal/>
    </border>
    <border>
      <left style="thin">
        <color rgb="FF9DB2C9"/>
      </left>
      <right style="thin">
        <color rgb="FF9DB2C9"/>
      </right>
      <top style="thin">
        <color rgb="FF9DB2C9"/>
      </top>
      <bottom style="thin">
        <color rgb="FF9DB2C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3" fillId="0" borderId="2" xfId="0" applyFont="1" applyBorder="1" applyAlignment="1">
      <alignment vertical="center"/>
    </xf>
    <xf numFmtId="0" fontId="15" fillId="0" borderId="0" xfId="0" applyFont="1"/>
    <xf numFmtId="0" fontId="12" fillId="11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/>
    </xf>
    <xf numFmtId="9" fontId="9" fillId="9" borderId="2" xfId="0" applyNumberFormat="1" applyFont="1" applyFill="1" applyBorder="1" applyAlignment="1">
      <alignment horizontal="center" vertical="center"/>
    </xf>
    <xf numFmtId="164" fontId="9" fillId="9" borderId="2" xfId="0" applyNumberFormat="1" applyFont="1" applyFill="1" applyBorder="1" applyAlignment="1">
      <alignment horizontal="center" vertical="center"/>
    </xf>
    <xf numFmtId="4" fontId="9" fillId="9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/>
    </xf>
    <xf numFmtId="9" fontId="9" fillId="10" borderId="2" xfId="0" applyNumberFormat="1" applyFont="1" applyFill="1" applyBorder="1" applyAlignment="1">
      <alignment horizontal="center" vertical="center"/>
    </xf>
    <xf numFmtId="164" fontId="9" fillId="10" borderId="2" xfId="0" applyNumberFormat="1" applyFont="1" applyFill="1" applyBorder="1" applyAlignment="1">
      <alignment horizontal="center" vertical="center"/>
    </xf>
    <xf numFmtId="4" fontId="9" fillId="10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0" fillId="12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/>
    </xf>
    <xf numFmtId="4" fontId="1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9" fillId="10" borderId="2" xfId="0" applyFont="1" applyFill="1" applyBorder="1" applyAlignment="1">
      <alignment vertical="center"/>
    </xf>
    <xf numFmtId="3" fontId="9" fillId="10" borderId="2" xfId="0" applyNumberFormat="1" applyFont="1" applyFill="1" applyBorder="1" applyAlignment="1">
      <alignment horizontal="center" vertical="center"/>
    </xf>
    <xf numFmtId="165" fontId="9" fillId="10" borderId="2" xfId="0" applyNumberFormat="1" applyFont="1" applyFill="1" applyBorder="1" applyAlignment="1">
      <alignment horizontal="center" vertical="center"/>
    </xf>
    <xf numFmtId="166" fontId="9" fillId="10" borderId="2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1E6B2F"/>
      </font>
      <fill>
        <patternFill>
          <bgColor rgb="FFC6EFCE"/>
        </patternFill>
      </fill>
    </dxf>
    <dxf>
      <font>
        <b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E6B2F"/>
      <rgbColor rgb="FF000080"/>
      <rgbColor rgb="FF8A6D00"/>
      <rgbColor rgb="FF800080"/>
      <rgbColor rgb="FF008080"/>
      <rgbColor rgb="FF9DB2C9"/>
      <rgbColor rgb="FF878787"/>
      <rgbColor rgb="FF9999FF"/>
      <rgbColor rgb="FF993366"/>
      <rgbColor rgb="FFF9F9F9"/>
      <rgbColor rgb="FFDCE9F5"/>
      <rgbColor rgb="FF660066"/>
      <rgbColor rgb="FFFF8080"/>
      <rgbColor rgb="FF2C5F8A"/>
      <rgbColor rgb="FFC9D6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A"/>
      <rgbColor rgb="FFC6EFCE"/>
      <rgbColor rgb="FFFFEB9C"/>
      <rgbColor rgb="FFD9D9D9"/>
      <rgbColor rgb="FFFF99CC"/>
      <rgbColor rgb="FFE2E8EF"/>
      <rgbColor rgb="FFFFC7CE"/>
      <rgbColor rgb="FF4F81BD"/>
      <rgbColor rgb="FF33CCCC"/>
      <rgbColor rgb="FF99CC00"/>
      <rgbColor rgb="FFFFCC00"/>
      <rgbColor rgb="FFD98E04"/>
      <rgbColor rgb="FFFF6600"/>
      <rgbColor rgb="FF666666"/>
      <rgbColor rgb="FF969696"/>
      <rgbColor rgb="FF243A5E"/>
      <rgbColor rgb="FF456B8C"/>
      <rgbColor rgb="FF003300"/>
      <rgbColor rgb="FF333300"/>
      <rgbColor rgb="FF993300"/>
      <rgbColor rgb="FF993366"/>
      <rgbColor rgb="FF333399"/>
      <rgbColor rgb="FF1C2E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Gefahrene Kilometer je Fahrer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Auswertung!$C$13</c:f>
              <c:strCache>
                <c:ptCount val="1"/>
                <c:pt idx="0">
                  <c:v>km gesamt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Auswertung!$A$14:$A$18</c:f>
              <c:strCache>
                <c:ptCount val="5"/>
                <c:pt idx="0">
                  <c:v>Jürgen Holzer</c:v>
                </c:pt>
                <c:pt idx="1">
                  <c:v>Sven Achterberg</c:v>
                </c:pt>
                <c:pt idx="2">
                  <c:v>Mehmet Yildiz</c:v>
                </c:pt>
                <c:pt idx="3">
                  <c:v>Petra Söll</c:v>
                </c:pt>
                <c:pt idx="4">
                  <c:v>Andrej Kowalski</c:v>
                </c:pt>
              </c:strCache>
            </c:strRef>
          </c:cat>
          <c:val>
            <c:numRef>
              <c:f>Auswertung!$C$14:$C$18</c:f>
              <c:numCache>
                <c:formatCode>#,##0</c:formatCode>
                <c:ptCount val="5"/>
                <c:pt idx="0">
                  <c:v>528</c:v>
                </c:pt>
                <c:pt idx="1">
                  <c:v>421</c:v>
                </c:pt>
                <c:pt idx="2">
                  <c:v>355</c:v>
                </c:pt>
                <c:pt idx="3">
                  <c:v>560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E0C-91CD-73765034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6887"/>
        <c:axId val="865913"/>
      </c:barChart>
      <c:catAx>
        <c:axId val="3006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Fahrer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65913"/>
        <c:crosses val="autoZero"/>
        <c:auto val="1"/>
        <c:lblAlgn val="ctr"/>
        <c:lblOffset val="100"/>
        <c:noMultiLvlLbl val="0"/>
      </c:catAx>
      <c:valAx>
        <c:axId val="86591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00688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825840</xdr:colOff>
      <xdr:row>34</xdr:row>
      <xdr:rowOff>32760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2E4A"/>
  </sheetPr>
  <dimension ref="A1:S18"/>
  <sheetViews>
    <sheetView showGridLines="0" tabSelected="1" zoomScaleNormal="100" workbookViewId="0">
      <pane ySplit="5" topLeftCell="A6" activePane="bottomLeft" state="frozen"/>
      <selection pane="bottomLeft" activeCell="G21" sqref="G21"/>
    </sheetView>
  </sheetViews>
  <sheetFormatPr baseColWidth="10" defaultColWidth="8.7109375" defaultRowHeight="15" x14ac:dyDescent="0.25"/>
  <cols>
    <col min="1" max="1" width="10" customWidth="1"/>
    <col min="2" max="2" width="11" customWidth="1"/>
    <col min="3" max="3" width="15" customWidth="1"/>
    <col min="4" max="4" width="13" customWidth="1"/>
    <col min="5" max="5" width="16" customWidth="1"/>
    <col min="6" max="6" width="14" customWidth="1"/>
    <col min="7" max="8" width="15" customWidth="1"/>
    <col min="9" max="9" width="9" customWidth="1"/>
    <col min="10" max="10" width="8" customWidth="1"/>
    <col min="11" max="11" width="10" customWidth="1"/>
    <col min="12" max="12" width="9" customWidth="1"/>
    <col min="13" max="13" width="8" customWidth="1"/>
    <col min="14" max="15" width="10" customWidth="1"/>
    <col min="16" max="17" width="11" customWidth="1"/>
    <col min="18" max="18" width="13" customWidth="1"/>
    <col min="19" max="19" width="22" customWidth="1"/>
  </cols>
  <sheetData>
    <row r="1" spans="1:19" ht="31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8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18" customHeight="1" x14ac:dyDescent="0.25">
      <c r="A3" s="11" t="s">
        <v>2</v>
      </c>
      <c r="B3" s="11"/>
      <c r="C3" s="11"/>
      <c r="D3" s="11"/>
      <c r="E3" s="11"/>
      <c r="F3" s="10" t="s">
        <v>3</v>
      </c>
      <c r="G3" s="10"/>
      <c r="H3" s="10"/>
      <c r="I3" s="10"/>
      <c r="J3" s="10"/>
      <c r="K3" s="9" t="s">
        <v>4</v>
      </c>
      <c r="L3" s="9"/>
      <c r="M3" s="9"/>
      <c r="N3" s="9"/>
      <c r="O3" s="9"/>
      <c r="P3" s="8" t="s">
        <v>5</v>
      </c>
      <c r="Q3" s="8"/>
      <c r="R3" s="8"/>
      <c r="S3" s="8"/>
    </row>
    <row r="4" spans="1:19" ht="13.5" customHeight="1" x14ac:dyDescent="0.25">
      <c r="A4" s="7" t="s">
        <v>6</v>
      </c>
      <c r="B4" s="7"/>
      <c r="C4" s="7" t="s">
        <v>7</v>
      </c>
      <c r="D4" s="7"/>
      <c r="E4" s="7" t="s">
        <v>8</v>
      </c>
      <c r="F4" s="7"/>
      <c r="G4" s="7" t="s">
        <v>9</v>
      </c>
      <c r="H4" s="7"/>
      <c r="I4" s="7" t="s">
        <v>10</v>
      </c>
      <c r="J4" s="7"/>
      <c r="K4" s="7"/>
      <c r="L4" s="7" t="s">
        <v>11</v>
      </c>
      <c r="M4" s="7"/>
      <c r="N4" s="7"/>
      <c r="O4" s="7" t="s">
        <v>12</v>
      </c>
      <c r="P4" s="7"/>
      <c r="Q4" s="7"/>
      <c r="R4" s="7" t="s">
        <v>13</v>
      </c>
      <c r="S4" s="7"/>
    </row>
    <row r="5" spans="1:19" ht="33.75" customHeight="1" x14ac:dyDescent="0.25">
      <c r="A5" s="14" t="s">
        <v>14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4" t="s">
        <v>29</v>
      </c>
      <c r="Q5" s="14" t="s">
        <v>30</v>
      </c>
      <c r="R5" s="14" t="s">
        <v>31</v>
      </c>
      <c r="S5" s="14" t="s">
        <v>32</v>
      </c>
    </row>
    <row r="6" spans="1:19" ht="25.5" customHeight="1" x14ac:dyDescent="0.25">
      <c r="A6" s="15" t="s">
        <v>33</v>
      </c>
      <c r="B6" s="15" t="s">
        <v>34</v>
      </c>
      <c r="C6" s="16" t="s">
        <v>35</v>
      </c>
      <c r="D6" s="15" t="s">
        <v>36</v>
      </c>
      <c r="E6" s="16" t="s">
        <v>37</v>
      </c>
      <c r="F6" s="16" t="s">
        <v>38</v>
      </c>
      <c r="G6" s="16" t="s">
        <v>39</v>
      </c>
      <c r="H6" s="16" t="s">
        <v>40</v>
      </c>
      <c r="I6" s="15" t="s">
        <v>41</v>
      </c>
      <c r="J6" s="15">
        <v>4.5</v>
      </c>
      <c r="K6" s="17" t="str">
        <f t="shared" ref="K6:K17" si="0">TEXT(TIMEVALUE(I6)+J6/24,"hh:mm")</f>
        <v>11:00</v>
      </c>
      <c r="L6" s="17">
        <v>285</v>
      </c>
      <c r="M6" s="17">
        <v>11.5</v>
      </c>
      <c r="N6" s="18">
        <f>IFERROR(M6/VLOOKUP(D6,Stammdaten!$B$5:$E$8,2,FALSE()),0)</f>
        <v>0.47916666666666669</v>
      </c>
      <c r="O6" s="19">
        <f>L6/100*VLOOKUP(D6,Stammdaten!$B$5:$E$8,3,FALSE())</f>
        <v>84.075000000000003</v>
      </c>
      <c r="P6" s="20">
        <f>O6*Stammdaten!$H$4</f>
        <v>144.60900000000001</v>
      </c>
      <c r="Q6" s="20">
        <f>P6+L6*Stammdaten!$H$5</f>
        <v>281.40899999999999</v>
      </c>
      <c r="R6" s="21" t="s">
        <v>42</v>
      </c>
      <c r="S6" s="16" t="s">
        <v>43</v>
      </c>
    </row>
    <row r="7" spans="1:19" ht="25.5" customHeight="1" x14ac:dyDescent="0.25">
      <c r="A7" s="22" t="s">
        <v>44</v>
      </c>
      <c r="B7" s="22" t="s">
        <v>34</v>
      </c>
      <c r="C7" s="23" t="s">
        <v>45</v>
      </c>
      <c r="D7" s="22" t="s">
        <v>46</v>
      </c>
      <c r="E7" s="23" t="s">
        <v>47</v>
      </c>
      <c r="F7" s="23" t="s">
        <v>48</v>
      </c>
      <c r="G7" s="23" t="s">
        <v>39</v>
      </c>
      <c r="H7" s="23" t="s">
        <v>49</v>
      </c>
      <c r="I7" s="22" t="s">
        <v>50</v>
      </c>
      <c r="J7" s="22">
        <v>3.5</v>
      </c>
      <c r="K7" s="24" t="str">
        <f t="shared" si="0"/>
        <v>08:30</v>
      </c>
      <c r="L7" s="24">
        <v>255</v>
      </c>
      <c r="M7" s="24">
        <v>18</v>
      </c>
      <c r="N7" s="25">
        <f>IFERROR(M7/VLOOKUP(D7,Stammdaten!$B$5:$E$8,2,FALSE()),0)</f>
        <v>0.75</v>
      </c>
      <c r="O7" s="26">
        <f>L7/100*VLOOKUP(D7,Stammdaten!$B$5:$E$8,3,FALSE())</f>
        <v>79.05</v>
      </c>
      <c r="P7" s="27">
        <f>O7*Stammdaten!$H$4</f>
        <v>135.96599999999998</v>
      </c>
      <c r="Q7" s="27">
        <f>P7+L7*Stammdaten!$H$5</f>
        <v>258.36599999999999</v>
      </c>
      <c r="R7" s="21" t="s">
        <v>42</v>
      </c>
      <c r="S7" s="23" t="s">
        <v>51</v>
      </c>
    </row>
    <row r="8" spans="1:19" ht="25.5" customHeight="1" x14ac:dyDescent="0.25">
      <c r="A8" s="15" t="s">
        <v>52</v>
      </c>
      <c r="B8" s="15" t="s">
        <v>34</v>
      </c>
      <c r="C8" s="16" t="s">
        <v>53</v>
      </c>
      <c r="D8" s="15" t="s">
        <v>54</v>
      </c>
      <c r="E8" s="16" t="s">
        <v>55</v>
      </c>
      <c r="F8" s="16" t="s">
        <v>56</v>
      </c>
      <c r="G8" s="16" t="s">
        <v>57</v>
      </c>
      <c r="H8" s="16" t="s">
        <v>58</v>
      </c>
      <c r="I8" s="15" t="s">
        <v>59</v>
      </c>
      <c r="J8" s="15">
        <v>4</v>
      </c>
      <c r="K8" s="17" t="str">
        <f t="shared" si="0"/>
        <v>08:00</v>
      </c>
      <c r="L8" s="17">
        <v>310</v>
      </c>
      <c r="M8" s="17">
        <v>9.1999999999999993</v>
      </c>
      <c r="N8" s="18">
        <f>IFERROR(M8/VLOOKUP(D8,Stammdaten!$B$5:$E$8,2,FALSE()),0)</f>
        <v>0.51111111111111107</v>
      </c>
      <c r="O8" s="19">
        <f>L8/100*VLOOKUP(D8,Stammdaten!$B$5:$E$8,3,FALSE())</f>
        <v>83.7</v>
      </c>
      <c r="P8" s="20">
        <f>O8*Stammdaten!$H$4</f>
        <v>143.964</v>
      </c>
      <c r="Q8" s="20">
        <f>P8+L8*Stammdaten!$H$5</f>
        <v>292.76400000000001</v>
      </c>
      <c r="R8" s="28" t="s">
        <v>60</v>
      </c>
      <c r="S8" s="16" t="s">
        <v>61</v>
      </c>
    </row>
    <row r="9" spans="1:19" ht="25.5" customHeight="1" x14ac:dyDescent="0.25">
      <c r="A9" s="22" t="s">
        <v>62</v>
      </c>
      <c r="B9" s="22" t="s">
        <v>34</v>
      </c>
      <c r="C9" s="23" t="s">
        <v>63</v>
      </c>
      <c r="D9" s="22" t="s">
        <v>36</v>
      </c>
      <c r="E9" s="23" t="s">
        <v>64</v>
      </c>
      <c r="F9" s="23" t="s">
        <v>65</v>
      </c>
      <c r="G9" s="23" t="s">
        <v>66</v>
      </c>
      <c r="H9" s="23" t="s">
        <v>67</v>
      </c>
      <c r="I9" s="22" t="s">
        <v>68</v>
      </c>
      <c r="J9" s="22">
        <v>5</v>
      </c>
      <c r="K9" s="24" t="str">
        <f t="shared" si="0"/>
        <v>12:00</v>
      </c>
      <c r="L9" s="24">
        <v>365</v>
      </c>
      <c r="M9" s="24">
        <v>14</v>
      </c>
      <c r="N9" s="25">
        <f>IFERROR(M9/VLOOKUP(D9,Stammdaten!$B$5:$E$8,2,FALSE()),0)</f>
        <v>0.58333333333333337</v>
      </c>
      <c r="O9" s="26">
        <f>L9/100*VLOOKUP(D9,Stammdaten!$B$5:$E$8,3,FALSE())</f>
        <v>107.675</v>
      </c>
      <c r="P9" s="27">
        <f>O9*Stammdaten!$H$4</f>
        <v>185.20099999999999</v>
      </c>
      <c r="Q9" s="27">
        <f>P9+L9*Stammdaten!$H$5</f>
        <v>360.40099999999995</v>
      </c>
      <c r="R9" s="29" t="s">
        <v>69</v>
      </c>
      <c r="S9" s="23" t="s">
        <v>70</v>
      </c>
    </row>
    <row r="10" spans="1:19" ht="25.5" customHeight="1" x14ac:dyDescent="0.25">
      <c r="A10" s="15" t="s">
        <v>71</v>
      </c>
      <c r="B10" s="15" t="s">
        <v>72</v>
      </c>
      <c r="C10" s="16" t="s">
        <v>35</v>
      </c>
      <c r="D10" s="15" t="s">
        <v>46</v>
      </c>
      <c r="E10" s="16" t="s">
        <v>37</v>
      </c>
      <c r="F10" s="16" t="s">
        <v>38</v>
      </c>
      <c r="G10" s="16" t="s">
        <v>39</v>
      </c>
      <c r="H10" s="16" t="s">
        <v>73</v>
      </c>
      <c r="I10" s="15" t="s">
        <v>74</v>
      </c>
      <c r="J10" s="15">
        <v>1.5</v>
      </c>
      <c r="K10" s="17" t="str">
        <f t="shared" si="0"/>
        <v>09:30</v>
      </c>
      <c r="L10" s="17">
        <v>68</v>
      </c>
      <c r="M10" s="17">
        <v>12</v>
      </c>
      <c r="N10" s="18">
        <f>IFERROR(M10/VLOOKUP(D10,Stammdaten!$B$5:$E$8,2,FALSE()),0)</f>
        <v>0.5</v>
      </c>
      <c r="O10" s="19">
        <f>L10/100*VLOOKUP(D10,Stammdaten!$B$5:$E$8,3,FALSE())</f>
        <v>21.080000000000002</v>
      </c>
      <c r="P10" s="20">
        <f>O10*Stammdaten!$H$4</f>
        <v>36.257600000000004</v>
      </c>
      <c r="Q10" s="20">
        <f>P10+L10*Stammdaten!$H$5</f>
        <v>68.897600000000011</v>
      </c>
      <c r="R10" s="29" t="s">
        <v>69</v>
      </c>
      <c r="S10" s="16" t="s">
        <v>75</v>
      </c>
    </row>
    <row r="11" spans="1:19" ht="25.5" customHeight="1" x14ac:dyDescent="0.25">
      <c r="A11" s="22" t="s">
        <v>76</v>
      </c>
      <c r="B11" s="22" t="s">
        <v>72</v>
      </c>
      <c r="C11" s="23" t="s">
        <v>77</v>
      </c>
      <c r="D11" s="22" t="s">
        <v>78</v>
      </c>
      <c r="E11" s="23" t="s">
        <v>79</v>
      </c>
      <c r="F11" s="23" t="s">
        <v>80</v>
      </c>
      <c r="G11" s="23" t="s">
        <v>81</v>
      </c>
      <c r="H11" s="23" t="s">
        <v>82</v>
      </c>
      <c r="I11" s="22" t="s">
        <v>83</v>
      </c>
      <c r="J11" s="22">
        <v>2</v>
      </c>
      <c r="K11" s="24" t="str">
        <f t="shared" si="0"/>
        <v>08:00</v>
      </c>
      <c r="L11" s="24">
        <v>72</v>
      </c>
      <c r="M11" s="24">
        <v>20</v>
      </c>
      <c r="N11" s="25">
        <f>IFERROR(M11/VLOOKUP(D11,Stammdaten!$B$5:$E$8,2,FALSE()),0)</f>
        <v>0.83333333333333337</v>
      </c>
      <c r="O11" s="26">
        <f>L11/100*VLOOKUP(D11,Stammdaten!$B$5:$E$8,3,FALSE())</f>
        <v>21.96</v>
      </c>
      <c r="P11" s="27">
        <f>O11*Stammdaten!$H$4</f>
        <v>37.7712</v>
      </c>
      <c r="Q11" s="27">
        <f>P11+L11*Stammdaten!$H$5</f>
        <v>72.331199999999995</v>
      </c>
      <c r="R11" s="28" t="s">
        <v>60</v>
      </c>
      <c r="S11" s="23" t="s">
        <v>84</v>
      </c>
    </row>
    <row r="12" spans="1:19" ht="25.5" customHeight="1" x14ac:dyDescent="0.25">
      <c r="A12" s="15" t="s">
        <v>85</v>
      </c>
      <c r="B12" s="15" t="s">
        <v>72</v>
      </c>
      <c r="C12" s="16" t="s">
        <v>45</v>
      </c>
      <c r="D12" s="15" t="s">
        <v>54</v>
      </c>
      <c r="E12" s="16" t="s">
        <v>47</v>
      </c>
      <c r="F12" s="16" t="s">
        <v>48</v>
      </c>
      <c r="G12" s="16" t="s">
        <v>39</v>
      </c>
      <c r="H12" s="16" t="s">
        <v>86</v>
      </c>
      <c r="I12" s="15" t="s">
        <v>87</v>
      </c>
      <c r="J12" s="15">
        <v>2.5</v>
      </c>
      <c r="K12" s="17" t="str">
        <f t="shared" si="0"/>
        <v>08:00</v>
      </c>
      <c r="L12" s="17">
        <v>128</v>
      </c>
      <c r="M12" s="17">
        <v>17.5</v>
      </c>
      <c r="N12" s="18">
        <f>IFERROR(M12/VLOOKUP(D12,Stammdaten!$B$5:$E$8,2,FALSE()),0)</f>
        <v>0.97222222222222221</v>
      </c>
      <c r="O12" s="19">
        <f>L12/100*VLOOKUP(D12,Stammdaten!$B$5:$E$8,3,FALSE())</f>
        <v>34.56</v>
      </c>
      <c r="P12" s="20">
        <f>O12*Stammdaten!$H$4</f>
        <v>59.443200000000004</v>
      </c>
      <c r="Q12" s="20">
        <f>P12+L12*Stammdaten!$H$5</f>
        <v>120.8832</v>
      </c>
      <c r="R12" s="30" t="s">
        <v>88</v>
      </c>
      <c r="S12" s="16" t="s">
        <v>89</v>
      </c>
    </row>
    <row r="13" spans="1:19" ht="25.5" customHeight="1" x14ac:dyDescent="0.25">
      <c r="A13" s="22" t="s">
        <v>90</v>
      </c>
      <c r="B13" s="22" t="s">
        <v>72</v>
      </c>
      <c r="C13" s="23" t="s">
        <v>53</v>
      </c>
      <c r="D13" s="22" t="s">
        <v>78</v>
      </c>
      <c r="E13" s="23" t="s">
        <v>55</v>
      </c>
      <c r="F13" s="23" t="s">
        <v>56</v>
      </c>
      <c r="G13" s="23" t="s">
        <v>57</v>
      </c>
      <c r="H13" s="23" t="s">
        <v>91</v>
      </c>
      <c r="I13" s="22" t="s">
        <v>92</v>
      </c>
      <c r="J13" s="22">
        <v>1</v>
      </c>
      <c r="K13" s="24" t="str">
        <f t="shared" si="0"/>
        <v>10:00</v>
      </c>
      <c r="L13" s="24">
        <v>45</v>
      </c>
      <c r="M13" s="24">
        <v>8</v>
      </c>
      <c r="N13" s="25">
        <f>IFERROR(M13/VLOOKUP(D13,Stammdaten!$B$5:$E$8,2,FALSE()),0)</f>
        <v>0.33333333333333331</v>
      </c>
      <c r="O13" s="26">
        <f>L13/100*VLOOKUP(D13,Stammdaten!$B$5:$E$8,3,FALSE())</f>
        <v>13.725</v>
      </c>
      <c r="P13" s="27">
        <f>O13*Stammdaten!$H$4</f>
        <v>23.606999999999999</v>
      </c>
      <c r="Q13" s="27">
        <f>P13+L13*Stammdaten!$H$5</f>
        <v>45.206999999999994</v>
      </c>
      <c r="R13" s="29" t="s">
        <v>69</v>
      </c>
      <c r="S13" s="23" t="s">
        <v>93</v>
      </c>
    </row>
    <row r="14" spans="1:19" ht="25.5" customHeight="1" x14ac:dyDescent="0.25">
      <c r="A14" s="15" t="s">
        <v>94</v>
      </c>
      <c r="B14" s="15" t="s">
        <v>95</v>
      </c>
      <c r="C14" s="16" t="s">
        <v>63</v>
      </c>
      <c r="D14" s="15" t="s">
        <v>36</v>
      </c>
      <c r="E14" s="16" t="s">
        <v>64</v>
      </c>
      <c r="F14" s="16" t="s">
        <v>65</v>
      </c>
      <c r="G14" s="16" t="s">
        <v>66</v>
      </c>
      <c r="H14" s="16" t="s">
        <v>96</v>
      </c>
      <c r="I14" s="15" t="s">
        <v>97</v>
      </c>
      <c r="J14" s="15">
        <v>3</v>
      </c>
      <c r="K14" s="17" t="str">
        <f t="shared" si="0"/>
        <v>07:30</v>
      </c>
      <c r="L14" s="17">
        <v>195</v>
      </c>
      <c r="M14" s="17">
        <v>13.5</v>
      </c>
      <c r="N14" s="18">
        <f>IFERROR(M14/VLOOKUP(D14,Stammdaten!$B$5:$E$8,2,FALSE()),0)</f>
        <v>0.5625</v>
      </c>
      <c r="O14" s="19">
        <f>L14/100*VLOOKUP(D14,Stammdaten!$B$5:$E$8,3,FALSE())</f>
        <v>57.524999999999999</v>
      </c>
      <c r="P14" s="20">
        <f>O14*Stammdaten!$H$4</f>
        <v>98.942999999999998</v>
      </c>
      <c r="Q14" s="20">
        <f>P14+L14*Stammdaten!$H$5</f>
        <v>192.54300000000001</v>
      </c>
      <c r="R14" s="29" t="s">
        <v>69</v>
      </c>
      <c r="S14" s="16" t="s">
        <v>98</v>
      </c>
    </row>
    <row r="15" spans="1:19" ht="25.5" customHeight="1" x14ac:dyDescent="0.25">
      <c r="A15" s="22" t="s">
        <v>99</v>
      </c>
      <c r="B15" s="22" t="s">
        <v>95</v>
      </c>
      <c r="C15" s="23" t="s">
        <v>77</v>
      </c>
      <c r="D15" s="22" t="s">
        <v>46</v>
      </c>
      <c r="E15" s="23" t="s">
        <v>79</v>
      </c>
      <c r="F15" s="23" t="s">
        <v>80</v>
      </c>
      <c r="G15" s="23" t="s">
        <v>81</v>
      </c>
      <c r="H15" s="23" t="s">
        <v>100</v>
      </c>
      <c r="I15" s="22" t="s">
        <v>101</v>
      </c>
      <c r="J15" s="22">
        <v>1.5</v>
      </c>
      <c r="K15" s="24" t="str">
        <f t="shared" si="0"/>
        <v>09:00</v>
      </c>
      <c r="L15" s="24">
        <v>55</v>
      </c>
      <c r="M15" s="24">
        <v>19</v>
      </c>
      <c r="N15" s="25">
        <f>IFERROR(M15/VLOOKUP(D15,Stammdaten!$B$5:$E$8,2,FALSE()),0)</f>
        <v>0.79166666666666663</v>
      </c>
      <c r="O15" s="26">
        <f>L15/100*VLOOKUP(D15,Stammdaten!$B$5:$E$8,3,FALSE())</f>
        <v>17.05</v>
      </c>
      <c r="P15" s="27">
        <f>O15*Stammdaten!$H$4</f>
        <v>29.326000000000001</v>
      </c>
      <c r="Q15" s="27">
        <f>P15+L15*Stammdaten!$H$5</f>
        <v>55.725999999999999</v>
      </c>
      <c r="R15" s="29" t="s">
        <v>69</v>
      </c>
      <c r="S15" s="23" t="s">
        <v>102</v>
      </c>
    </row>
    <row r="16" spans="1:19" ht="25.5" customHeight="1" x14ac:dyDescent="0.25">
      <c r="A16" s="15" t="s">
        <v>103</v>
      </c>
      <c r="B16" s="15" t="s">
        <v>95</v>
      </c>
      <c r="C16" s="16" t="s">
        <v>35</v>
      </c>
      <c r="D16" s="15" t="s">
        <v>54</v>
      </c>
      <c r="E16" s="16" t="s">
        <v>37</v>
      </c>
      <c r="F16" s="16" t="s">
        <v>38</v>
      </c>
      <c r="G16" s="16" t="s">
        <v>39</v>
      </c>
      <c r="H16" s="16" t="s">
        <v>104</v>
      </c>
      <c r="I16" s="15" t="s">
        <v>83</v>
      </c>
      <c r="J16" s="15">
        <v>2.5</v>
      </c>
      <c r="K16" s="17" t="str">
        <f t="shared" si="0"/>
        <v>08:30</v>
      </c>
      <c r="L16" s="17">
        <v>175</v>
      </c>
      <c r="M16" s="17">
        <v>10.5</v>
      </c>
      <c r="N16" s="18">
        <f>IFERROR(M16/VLOOKUP(D16,Stammdaten!$B$5:$E$8,2,FALSE()),0)</f>
        <v>0.58333333333333337</v>
      </c>
      <c r="O16" s="19">
        <f>L16/100*VLOOKUP(D16,Stammdaten!$B$5:$E$8,3,FALSE())</f>
        <v>47.25</v>
      </c>
      <c r="P16" s="20">
        <f>O16*Stammdaten!$H$4</f>
        <v>81.27</v>
      </c>
      <c r="Q16" s="20">
        <f>P16+L16*Stammdaten!$H$5</f>
        <v>165.26999999999998</v>
      </c>
      <c r="R16" s="29" t="s">
        <v>69</v>
      </c>
      <c r="S16" s="16" t="s">
        <v>105</v>
      </c>
    </row>
    <row r="17" spans="1:19" ht="25.5" customHeight="1" x14ac:dyDescent="0.25">
      <c r="A17" s="22" t="s">
        <v>106</v>
      </c>
      <c r="B17" s="22" t="s">
        <v>95</v>
      </c>
      <c r="C17" s="23" t="s">
        <v>45</v>
      </c>
      <c r="D17" s="22" t="s">
        <v>78</v>
      </c>
      <c r="E17" s="23" t="s">
        <v>47</v>
      </c>
      <c r="F17" s="23" t="s">
        <v>48</v>
      </c>
      <c r="G17" s="23" t="s">
        <v>39</v>
      </c>
      <c r="H17" s="23" t="s">
        <v>107</v>
      </c>
      <c r="I17" s="22" t="s">
        <v>108</v>
      </c>
      <c r="J17" s="22">
        <v>1</v>
      </c>
      <c r="K17" s="24" t="str">
        <f t="shared" si="0"/>
        <v>09:30</v>
      </c>
      <c r="L17" s="24">
        <v>38</v>
      </c>
      <c r="M17" s="24">
        <v>21</v>
      </c>
      <c r="N17" s="25">
        <f>IFERROR(M17/VLOOKUP(D17,Stammdaten!$B$5:$E$8,2,FALSE()),0)</f>
        <v>0.875</v>
      </c>
      <c r="O17" s="26">
        <f>L17/100*VLOOKUP(D17,Stammdaten!$B$5:$E$8,3,FALSE())</f>
        <v>11.59</v>
      </c>
      <c r="P17" s="27">
        <f>O17*Stammdaten!$H$4</f>
        <v>19.934799999999999</v>
      </c>
      <c r="Q17" s="27">
        <f>P17+L17*Stammdaten!$H$5</f>
        <v>38.174799999999998</v>
      </c>
      <c r="R17" s="29" t="s">
        <v>69</v>
      </c>
      <c r="S17" s="23" t="s">
        <v>109</v>
      </c>
    </row>
    <row r="18" spans="1:19" ht="21.75" customHeight="1" x14ac:dyDescent="0.25">
      <c r="A18" s="6" t="s">
        <v>110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31">
        <f>SUM(L6:L17)</f>
        <v>1991</v>
      </c>
      <c r="M18" s="32">
        <f>SUM(M6:M17)</f>
        <v>174.2</v>
      </c>
      <c r="N18" s="33">
        <f>AVERAGE(N6:N17)</f>
        <v>0.64791666666666659</v>
      </c>
      <c r="O18" s="32">
        <f>SUM(O6:O17)</f>
        <v>579.24</v>
      </c>
      <c r="P18" s="34">
        <f>SUM(P6:P17)</f>
        <v>996.29280000000006</v>
      </c>
      <c r="Q18" s="34">
        <f>SUM(Q6:Q17)</f>
        <v>1951.9728000000002</v>
      </c>
      <c r="R18" s="35"/>
      <c r="S18" s="35"/>
    </row>
  </sheetData>
  <mergeCells count="15">
    <mergeCell ref="L4:N4"/>
    <mergeCell ref="O4:Q4"/>
    <mergeCell ref="R4:S4"/>
    <mergeCell ref="A18:K18"/>
    <mergeCell ref="A4:B4"/>
    <mergeCell ref="C4:D4"/>
    <mergeCell ref="E4:F4"/>
    <mergeCell ref="G4:H4"/>
    <mergeCell ref="I4:K4"/>
    <mergeCell ref="A1:S1"/>
    <mergeCell ref="A2:S2"/>
    <mergeCell ref="A3:E3"/>
    <mergeCell ref="F3:J3"/>
    <mergeCell ref="K3:O3"/>
    <mergeCell ref="P3:S3"/>
  </mergeCells>
  <conditionalFormatting sqref="N6:N17">
    <cfRule type="cellIs" dxfId="1" priority="2" operator="greaterThan">
      <formula>1</formula>
    </cfRule>
    <cfRule type="cellIs" dxfId="0" priority="3" operator="between">
      <formula>0.85</formula>
      <formula>1</formula>
    </cfRule>
  </conditionalFormatting>
  <dataValidations count="1">
    <dataValidation type="list" allowBlank="1" sqref="R6:R17" xr:uid="{00000000-0002-0000-0000-000000000000}">
      <formula1>"Geplant,Unterwegs,Erledigt,Verspätet"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56B8C"/>
  </sheetPr>
  <dimension ref="A1:I18"/>
  <sheetViews>
    <sheetView showGridLines="0" zoomScaleNormal="100" workbookViewId="0">
      <selection sqref="A1:I1"/>
    </sheetView>
  </sheetViews>
  <sheetFormatPr baseColWidth="10" defaultColWidth="8.7109375" defaultRowHeight="15" x14ac:dyDescent="0.25"/>
  <cols>
    <col min="1" max="1" width="18" customWidth="1"/>
    <col min="2" max="2" width="16" customWidth="1"/>
    <col min="3" max="4" width="15" customWidth="1"/>
    <col min="5" max="5" width="18" customWidth="1"/>
    <col min="6" max="6" width="12" customWidth="1"/>
    <col min="7" max="7" width="18" customWidth="1"/>
    <col min="8" max="8" width="12" customWidth="1"/>
    <col min="9" max="9" width="4" customWidth="1"/>
  </cols>
  <sheetData>
    <row r="1" spans="1:9" ht="27.75" customHeight="1" x14ac:dyDescent="0.25">
      <c r="A1" s="5" t="s">
        <v>111</v>
      </c>
      <c r="B1" s="5"/>
      <c r="C1" s="5"/>
      <c r="D1" s="5"/>
      <c r="E1" s="5"/>
      <c r="F1" s="5"/>
      <c r="G1" s="5"/>
      <c r="H1" s="5"/>
      <c r="I1" s="5"/>
    </row>
    <row r="3" spans="1:9" ht="19.5" customHeight="1" x14ac:dyDescent="0.25">
      <c r="A3" s="4" t="s">
        <v>112</v>
      </c>
      <c r="B3" s="4"/>
      <c r="C3" s="4"/>
      <c r="D3" s="4"/>
      <c r="E3" s="4"/>
      <c r="F3" s="4"/>
      <c r="G3" s="3" t="s">
        <v>113</v>
      </c>
      <c r="H3" s="3"/>
    </row>
    <row r="4" spans="1:9" ht="24" x14ac:dyDescent="0.25">
      <c r="A4" s="36" t="s">
        <v>114</v>
      </c>
      <c r="B4" s="36" t="s">
        <v>17</v>
      </c>
      <c r="C4" s="36" t="s">
        <v>115</v>
      </c>
      <c r="D4" s="36" t="s">
        <v>116</v>
      </c>
      <c r="E4" s="36" t="s">
        <v>117</v>
      </c>
      <c r="F4" s="36" t="s">
        <v>118</v>
      </c>
      <c r="G4" s="37" t="s">
        <v>119</v>
      </c>
      <c r="H4" s="38">
        <v>1.72</v>
      </c>
    </row>
    <row r="5" spans="1:9" ht="18" customHeight="1" x14ac:dyDescent="0.25">
      <c r="A5" s="39" t="s">
        <v>120</v>
      </c>
      <c r="B5" s="40" t="s">
        <v>36</v>
      </c>
      <c r="C5" s="41">
        <v>24</v>
      </c>
      <c r="D5" s="41">
        <v>29.5</v>
      </c>
      <c r="E5" s="40" t="s">
        <v>121</v>
      </c>
      <c r="F5" s="40" t="s">
        <v>122</v>
      </c>
      <c r="G5" s="37" t="s">
        <v>123</v>
      </c>
      <c r="H5" s="38">
        <v>0.48</v>
      </c>
    </row>
    <row r="6" spans="1:9" ht="18" customHeight="1" x14ac:dyDescent="0.25">
      <c r="A6" s="42" t="s">
        <v>120</v>
      </c>
      <c r="B6" s="24" t="s">
        <v>46</v>
      </c>
      <c r="C6" s="26">
        <v>24</v>
      </c>
      <c r="D6" s="26">
        <v>31</v>
      </c>
      <c r="E6" s="24" t="s">
        <v>124</v>
      </c>
      <c r="F6" s="24" t="s">
        <v>125</v>
      </c>
      <c r="G6" s="37" t="s">
        <v>126</v>
      </c>
      <c r="H6" s="38">
        <v>28.5</v>
      </c>
    </row>
    <row r="7" spans="1:9" ht="18" customHeight="1" x14ac:dyDescent="0.25">
      <c r="A7" s="39" t="s">
        <v>127</v>
      </c>
      <c r="B7" s="40" t="s">
        <v>54</v>
      </c>
      <c r="C7" s="41">
        <v>18</v>
      </c>
      <c r="D7" s="41">
        <v>27</v>
      </c>
      <c r="E7" s="40" t="s">
        <v>128</v>
      </c>
      <c r="F7" s="40" t="s">
        <v>129</v>
      </c>
    </row>
    <row r="8" spans="1:9" ht="18" customHeight="1" x14ac:dyDescent="0.25">
      <c r="A8" s="42" t="s">
        <v>120</v>
      </c>
      <c r="B8" s="24" t="s">
        <v>78</v>
      </c>
      <c r="C8" s="26">
        <v>24</v>
      </c>
      <c r="D8" s="26">
        <v>30.5</v>
      </c>
      <c r="E8" s="24" t="s">
        <v>130</v>
      </c>
      <c r="F8" s="24" t="s">
        <v>131</v>
      </c>
      <c r="G8" s="2" t="s">
        <v>132</v>
      </c>
      <c r="H8" s="2"/>
    </row>
    <row r="11" spans="1:9" ht="19.5" customHeight="1" x14ac:dyDescent="0.25">
      <c r="A11" s="4" t="s">
        <v>133</v>
      </c>
      <c r="B11" s="4"/>
      <c r="C11" s="4"/>
      <c r="D11" s="4"/>
      <c r="E11" s="4"/>
      <c r="F11" s="4"/>
    </row>
    <row r="12" spans="1:9" ht="24" x14ac:dyDescent="0.25">
      <c r="A12" s="36" t="s">
        <v>134</v>
      </c>
      <c r="B12" s="36" t="s">
        <v>135</v>
      </c>
      <c r="C12" s="36" t="s">
        <v>136</v>
      </c>
      <c r="D12" s="36" t="s">
        <v>137</v>
      </c>
      <c r="E12" s="36" t="s">
        <v>138</v>
      </c>
      <c r="F12" s="36" t="s">
        <v>31</v>
      </c>
    </row>
    <row r="13" spans="1:9" ht="18" customHeight="1" x14ac:dyDescent="0.25">
      <c r="A13" s="39" t="s">
        <v>35</v>
      </c>
      <c r="B13" s="40" t="s">
        <v>139</v>
      </c>
      <c r="C13" s="39" t="s">
        <v>140</v>
      </c>
      <c r="D13" s="39" t="s">
        <v>141</v>
      </c>
      <c r="E13" s="39" t="s">
        <v>142</v>
      </c>
      <c r="F13" s="21" t="s">
        <v>143</v>
      </c>
    </row>
    <row r="14" spans="1:9" ht="18" customHeight="1" x14ac:dyDescent="0.25">
      <c r="A14" s="42" t="s">
        <v>45</v>
      </c>
      <c r="B14" s="24" t="s">
        <v>139</v>
      </c>
      <c r="C14" s="42" t="s">
        <v>144</v>
      </c>
      <c r="D14" s="42" t="s">
        <v>145</v>
      </c>
      <c r="E14" s="42" t="s">
        <v>146</v>
      </c>
      <c r="F14" s="21" t="s">
        <v>143</v>
      </c>
    </row>
    <row r="15" spans="1:9" ht="18" customHeight="1" x14ac:dyDescent="0.25">
      <c r="A15" s="39" t="s">
        <v>53</v>
      </c>
      <c r="B15" s="40" t="s">
        <v>139</v>
      </c>
      <c r="C15" s="39" t="s">
        <v>147</v>
      </c>
      <c r="D15" s="39" t="s">
        <v>148</v>
      </c>
      <c r="E15" s="39" t="s">
        <v>149</v>
      </c>
      <c r="F15" s="21" t="s">
        <v>143</v>
      </c>
    </row>
    <row r="16" spans="1:9" ht="18" customHeight="1" x14ac:dyDescent="0.25">
      <c r="A16" s="42" t="s">
        <v>63</v>
      </c>
      <c r="B16" s="24" t="s">
        <v>139</v>
      </c>
      <c r="C16" s="42" t="s">
        <v>150</v>
      </c>
      <c r="D16" s="42" t="s">
        <v>151</v>
      </c>
      <c r="E16" s="42" t="s">
        <v>152</v>
      </c>
      <c r="F16" s="21" t="s">
        <v>143</v>
      </c>
    </row>
    <row r="17" spans="1:6" ht="18" customHeight="1" x14ac:dyDescent="0.25">
      <c r="A17" s="39" t="s">
        <v>77</v>
      </c>
      <c r="B17" s="40" t="s">
        <v>139</v>
      </c>
      <c r="C17" s="39" t="s">
        <v>153</v>
      </c>
      <c r="D17" s="39" t="s">
        <v>154</v>
      </c>
      <c r="E17" s="39" t="s">
        <v>142</v>
      </c>
      <c r="F17" s="21" t="s">
        <v>143</v>
      </c>
    </row>
    <row r="18" spans="1:6" ht="18" customHeight="1" x14ac:dyDescent="0.25">
      <c r="A18" s="42" t="s">
        <v>155</v>
      </c>
      <c r="B18" s="24" t="s">
        <v>139</v>
      </c>
      <c r="C18" s="42" t="s">
        <v>156</v>
      </c>
      <c r="D18" s="42" t="s">
        <v>157</v>
      </c>
      <c r="E18" s="42" t="s">
        <v>152</v>
      </c>
      <c r="F18" s="28" t="s">
        <v>158</v>
      </c>
    </row>
  </sheetData>
  <mergeCells count="5">
    <mergeCell ref="A1:I1"/>
    <mergeCell ref="A3:F3"/>
    <mergeCell ref="G3:H3"/>
    <mergeCell ref="G8:H8"/>
    <mergeCell ref="A11:F1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8E04"/>
  </sheetPr>
  <dimension ref="A1:H18"/>
  <sheetViews>
    <sheetView showGridLines="0" zoomScaleNormal="100" workbookViewId="0">
      <selection sqref="A1:H1"/>
    </sheetView>
  </sheetViews>
  <sheetFormatPr baseColWidth="10" defaultColWidth="8.7109375" defaultRowHeight="15" x14ac:dyDescent="0.25"/>
  <cols>
    <col min="1" max="1" width="18" customWidth="1"/>
    <col min="2" max="3" width="12" customWidth="1"/>
    <col min="4" max="5" width="14" customWidth="1"/>
    <col min="6" max="6" width="18" customWidth="1"/>
    <col min="7" max="7" width="8" customWidth="1"/>
    <col min="8" max="8" width="12" customWidth="1"/>
  </cols>
  <sheetData>
    <row r="1" spans="1:8" ht="27.75" customHeight="1" x14ac:dyDescent="0.25">
      <c r="A1" s="5" t="s">
        <v>159</v>
      </c>
      <c r="B1" s="5"/>
      <c r="C1" s="5"/>
      <c r="D1" s="5"/>
      <c r="E1" s="5"/>
      <c r="F1" s="5"/>
      <c r="G1" s="5"/>
      <c r="H1" s="5"/>
    </row>
    <row r="3" spans="1:8" ht="19.5" customHeight="1" x14ac:dyDescent="0.25">
      <c r="A3" s="4" t="s">
        <v>160</v>
      </c>
      <c r="B3" s="4"/>
      <c r="C3" s="4"/>
      <c r="D3" s="4"/>
      <c r="F3" s="4" t="s">
        <v>161</v>
      </c>
      <c r="G3" s="4"/>
      <c r="H3" s="4"/>
    </row>
    <row r="4" spans="1:8" ht="19.5" customHeight="1" x14ac:dyDescent="0.25">
      <c r="A4" s="1" t="s">
        <v>162</v>
      </c>
      <c r="B4" s="1"/>
      <c r="C4" s="1"/>
      <c r="D4" s="43">
        <f>COUNTA(Disposition!A6:A17)</f>
        <v>12</v>
      </c>
      <c r="F4" s="1" t="s">
        <v>163</v>
      </c>
      <c r="G4" s="1"/>
      <c r="H4" s="44">
        <f>AVERAGE(Disposition!N6:N17)</f>
        <v>0.64791666666666659</v>
      </c>
    </row>
    <row r="5" spans="1:8" ht="19.5" customHeight="1" x14ac:dyDescent="0.25">
      <c r="A5" s="1" t="s">
        <v>164</v>
      </c>
      <c r="B5" s="1"/>
      <c r="C5" s="1"/>
      <c r="D5" s="45">
        <f>SUM(Disposition!L6:L17)</f>
        <v>1991</v>
      </c>
      <c r="F5" s="1" t="s">
        <v>165</v>
      </c>
      <c r="G5" s="1"/>
      <c r="H5" s="46">
        <f>AVERAGE(Disposition!L6:L17)</f>
        <v>165.91666666666666</v>
      </c>
    </row>
    <row r="6" spans="1:8" ht="19.5" customHeight="1" x14ac:dyDescent="0.25">
      <c r="A6" s="1" t="s">
        <v>166</v>
      </c>
      <c r="B6" s="1"/>
      <c r="C6" s="1"/>
      <c r="D6" s="47">
        <f>SUM(Disposition!M6:M17)</f>
        <v>174.2</v>
      </c>
      <c r="F6" s="1" t="s">
        <v>167</v>
      </c>
      <c r="G6" s="1"/>
      <c r="H6" s="48">
        <f>IFERROR(SUM(Disposition!Q6:Q17)/SUM(Disposition!L6:L17),0)</f>
        <v>0.98039819186338539</v>
      </c>
    </row>
    <row r="7" spans="1:8" ht="19.5" customHeight="1" x14ac:dyDescent="0.25">
      <c r="A7" s="1" t="s">
        <v>168</v>
      </c>
      <c r="B7" s="1"/>
      <c r="C7" s="1"/>
      <c r="D7" s="47">
        <f>SUM(Disposition!O6:O17)</f>
        <v>579.24</v>
      </c>
      <c r="F7" s="1" t="s">
        <v>169</v>
      </c>
      <c r="G7" s="1"/>
      <c r="H7" s="48">
        <f>IFERROR(SUM(Disposition!Q6:Q17)/SUM(Disposition!M6:M17),0)</f>
        <v>11.205354764638349</v>
      </c>
    </row>
    <row r="8" spans="1:8" ht="19.5" customHeight="1" x14ac:dyDescent="0.25">
      <c r="A8" s="1" t="s">
        <v>170</v>
      </c>
      <c r="B8" s="1"/>
      <c r="C8" s="1"/>
      <c r="D8" s="49">
        <f>SUM(Disposition!Q6:Q17)</f>
        <v>1951.9728000000002</v>
      </c>
      <c r="F8" s="1" t="s">
        <v>171</v>
      </c>
      <c r="G8" s="1"/>
      <c r="H8" s="44">
        <f>IFERROR(COUNTIF(Disposition!R6:R17,"Erledigt")/COUNTA(Disposition!A6:A17),0)</f>
        <v>0.16666666666666666</v>
      </c>
    </row>
    <row r="9" spans="1:8" ht="19.5" customHeight="1" x14ac:dyDescent="0.25">
      <c r="A9" s="1" t="s">
        <v>172</v>
      </c>
      <c r="B9" s="1"/>
      <c r="C9" s="1"/>
      <c r="D9" s="43">
        <f>COUNTIF(Disposition!R6:R17,"Erledigt")</f>
        <v>2</v>
      </c>
    </row>
    <row r="10" spans="1:8" ht="19.5" customHeight="1" x14ac:dyDescent="0.25">
      <c r="A10" s="1" t="s">
        <v>173</v>
      </c>
      <c r="B10" s="1"/>
      <c r="C10" s="1"/>
      <c r="D10" s="43">
        <f>COUNTIF(Disposition!R6:R17,"Verspätet")</f>
        <v>1</v>
      </c>
    </row>
    <row r="12" spans="1:8" ht="19.5" customHeight="1" x14ac:dyDescent="0.25">
      <c r="A12" s="4" t="s">
        <v>174</v>
      </c>
      <c r="B12" s="4"/>
      <c r="C12" s="4"/>
      <c r="D12" s="4"/>
      <c r="E12" s="4"/>
    </row>
    <row r="13" spans="1:8" x14ac:dyDescent="0.25">
      <c r="A13" s="36" t="s">
        <v>16</v>
      </c>
      <c r="B13" s="36" t="s">
        <v>175</v>
      </c>
      <c r="C13" s="36" t="s">
        <v>176</v>
      </c>
      <c r="D13" s="36" t="s">
        <v>177</v>
      </c>
      <c r="E13" s="36" t="s">
        <v>178</v>
      </c>
    </row>
    <row r="14" spans="1:8" ht="18" customHeight="1" x14ac:dyDescent="0.25">
      <c r="A14" s="50" t="s">
        <v>35</v>
      </c>
      <c r="B14" s="40">
        <f>COUNTIF(Disposition!C6:C17,A14)</f>
        <v>3</v>
      </c>
      <c r="C14" s="51">
        <f>SUMIF(Disposition!C6:C17,A14,Disposition!L6:L17)</f>
        <v>528</v>
      </c>
      <c r="D14" s="52">
        <f>SUMIF(Disposition!C6:C17,A14,Disposition!M6:M17)</f>
        <v>34</v>
      </c>
      <c r="E14" s="53">
        <f>IFERROR(AVERAGEIF(Disposition!C6:C17,A14,Disposition!N6:N17),0)</f>
        <v>0.52083333333333337</v>
      </c>
    </row>
    <row r="15" spans="1:8" ht="18" customHeight="1" x14ac:dyDescent="0.25">
      <c r="A15" s="54" t="s">
        <v>45</v>
      </c>
      <c r="B15" s="24">
        <f>COUNTIF(Disposition!C6:C17,A15)</f>
        <v>3</v>
      </c>
      <c r="C15" s="55">
        <f>SUMIF(Disposition!C6:C17,A15,Disposition!L6:L17)</f>
        <v>421</v>
      </c>
      <c r="D15" s="56">
        <f>SUMIF(Disposition!C6:C17,A15,Disposition!M6:M17)</f>
        <v>56.5</v>
      </c>
      <c r="E15" s="57">
        <f>IFERROR(AVERAGEIF(Disposition!C6:C17,A15,Disposition!N6:N17),0)</f>
        <v>0.86574074074074081</v>
      </c>
    </row>
    <row r="16" spans="1:8" ht="18" customHeight="1" x14ac:dyDescent="0.25">
      <c r="A16" s="50" t="s">
        <v>53</v>
      </c>
      <c r="B16" s="40">
        <f>COUNTIF(Disposition!C6:C17,A16)</f>
        <v>2</v>
      </c>
      <c r="C16" s="51">
        <f>SUMIF(Disposition!C6:C17,A16,Disposition!L6:L17)</f>
        <v>355</v>
      </c>
      <c r="D16" s="52">
        <f>SUMIF(Disposition!C6:C17,A16,Disposition!M6:M17)</f>
        <v>17.2</v>
      </c>
      <c r="E16" s="53">
        <f>IFERROR(AVERAGEIF(Disposition!C6:C17,A16,Disposition!N6:N17),0)</f>
        <v>0.42222222222222217</v>
      </c>
    </row>
    <row r="17" spans="1:5" ht="18" customHeight="1" x14ac:dyDescent="0.25">
      <c r="A17" s="54" t="s">
        <v>63</v>
      </c>
      <c r="B17" s="24">
        <f>COUNTIF(Disposition!C6:C17,A17)</f>
        <v>2</v>
      </c>
      <c r="C17" s="55">
        <f>SUMIF(Disposition!C6:C17,A17,Disposition!L6:L17)</f>
        <v>560</v>
      </c>
      <c r="D17" s="56">
        <f>SUMIF(Disposition!C6:C17,A17,Disposition!M6:M17)</f>
        <v>27.5</v>
      </c>
      <c r="E17" s="57">
        <f>IFERROR(AVERAGEIF(Disposition!C6:C17,A17,Disposition!N6:N17),0)</f>
        <v>0.57291666666666674</v>
      </c>
    </row>
    <row r="18" spans="1:5" ht="18" customHeight="1" x14ac:dyDescent="0.25">
      <c r="A18" s="50" t="s">
        <v>77</v>
      </c>
      <c r="B18" s="40">
        <f>COUNTIF(Disposition!C6:C17,A18)</f>
        <v>2</v>
      </c>
      <c r="C18" s="51">
        <f>SUMIF(Disposition!C6:C17,A18,Disposition!L6:L17)</f>
        <v>127</v>
      </c>
      <c r="D18" s="52">
        <f>SUMIF(Disposition!C6:C17,A18,Disposition!M6:M17)</f>
        <v>39</v>
      </c>
      <c r="E18" s="53">
        <f>IFERROR(AVERAGEIF(Disposition!C6:C17,A18,Disposition!N6:N17),0)</f>
        <v>0.8125</v>
      </c>
    </row>
  </sheetData>
  <mergeCells count="16">
    <mergeCell ref="A8:C8"/>
    <mergeCell ref="F8:G8"/>
    <mergeCell ref="A9:C9"/>
    <mergeCell ref="A10:C10"/>
    <mergeCell ref="A12:E12"/>
    <mergeCell ref="A5:C5"/>
    <mergeCell ref="F5:G5"/>
    <mergeCell ref="A6:C6"/>
    <mergeCell ref="F6:G6"/>
    <mergeCell ref="A7:C7"/>
    <mergeCell ref="F7:G7"/>
    <mergeCell ref="A1:H1"/>
    <mergeCell ref="A3:D3"/>
    <mergeCell ref="F3:H3"/>
    <mergeCell ref="A4:C4"/>
    <mergeCell ref="F4:G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Disposition</vt:lpstr>
      <vt:lpstr>Stammdaten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2026-05-23T11:28:02Z</dcterms:created>
  <dcterms:modified xsi:type="dcterms:W3CDTF">2026-05-23T13:31:30Z</dcterms:modified>
  <dc:language>en-US</dc:language>
</cp:coreProperties>
</file>