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1DBC7E88-AF8F-4810-ABF9-48A01556A677}" xr6:coauthVersionLast="47" xr6:coauthVersionMax="47" xr10:uidLastSave="{00000000-0000-0000-0000-000000000000}"/>
  <bookViews>
    <workbookView xWindow="-120" yWindow="-120" windowWidth="29040" windowHeight="15720" tabRatio="500" xr2:uid="{00000000-000D-0000-FFFF-FFFF00000000}"/>
  </bookViews>
  <sheets>
    <sheet name="Forecast" sheetId="2" r:id="rId1"/>
    <sheet name="Übersicht" sheetId="1" r:id="rId2"/>
    <sheet name="Annahmen" sheetId="3" r:id="rId3"/>
  </sheets>
  <definedNames>
    <definedName name="_xlnm.Print_Titles" localSheetId="0">Forecast!$1:$5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1" i="3" l="1"/>
  <c r="B3" i="1" s="1"/>
  <c r="C9" i="3"/>
  <c r="Q55" i="2"/>
  <c r="D41" i="1" s="1"/>
  <c r="P55" i="2"/>
  <c r="O55" i="2"/>
  <c r="M55" i="2"/>
  <c r="L55" i="2"/>
  <c r="K55" i="2"/>
  <c r="I55" i="2"/>
  <c r="H55" i="2"/>
  <c r="G55" i="2"/>
  <c r="E55" i="2"/>
  <c r="D55" i="2"/>
  <c r="D31" i="1" s="1"/>
  <c r="C55" i="2"/>
  <c r="Q54" i="2"/>
  <c r="P54" i="2"/>
  <c r="O54" i="2"/>
  <c r="M54" i="2"/>
  <c r="C38" i="1" s="1"/>
  <c r="L54" i="2"/>
  <c r="K54" i="2"/>
  <c r="I54" i="2"/>
  <c r="H54" i="2"/>
  <c r="G54" i="2"/>
  <c r="E54" i="2"/>
  <c r="D54" i="2"/>
  <c r="C31" i="1" s="1"/>
  <c r="C54" i="2"/>
  <c r="C30" i="1" s="1"/>
  <c r="Q53" i="2"/>
  <c r="M53" i="2"/>
  <c r="K53" i="2"/>
  <c r="I53" i="2"/>
  <c r="Q52" i="2"/>
  <c r="P52" i="2"/>
  <c r="P53" i="2" s="1"/>
  <c r="O52" i="2"/>
  <c r="R52" i="2" s="1"/>
  <c r="R53" i="2" s="1"/>
  <c r="N52" i="2"/>
  <c r="N53" i="2" s="1"/>
  <c r="M52" i="2"/>
  <c r="L52" i="2"/>
  <c r="L53" i="2" s="1"/>
  <c r="K52" i="2"/>
  <c r="I52" i="2"/>
  <c r="H52" i="2"/>
  <c r="H53" i="2" s="1"/>
  <c r="G52" i="2"/>
  <c r="G53" i="2" s="1"/>
  <c r="E52" i="2"/>
  <c r="E53" i="2" s="1"/>
  <c r="D52" i="2"/>
  <c r="D53" i="2" s="1"/>
  <c r="C52" i="2"/>
  <c r="F52" i="2" s="1"/>
  <c r="F53" i="2" s="1"/>
  <c r="S51" i="2"/>
  <c r="R51" i="2"/>
  <c r="N51" i="2"/>
  <c r="J51" i="2"/>
  <c r="F51" i="2"/>
  <c r="S50" i="2"/>
  <c r="R50" i="2"/>
  <c r="N50" i="2"/>
  <c r="J50" i="2"/>
  <c r="F50" i="2"/>
  <c r="S49" i="2"/>
  <c r="R49" i="2"/>
  <c r="N49" i="2"/>
  <c r="J49" i="2"/>
  <c r="F49" i="2"/>
  <c r="S48" i="2"/>
  <c r="C24" i="1" s="1"/>
  <c r="R48" i="2"/>
  <c r="N48" i="2"/>
  <c r="J48" i="2"/>
  <c r="F48" i="2"/>
  <c r="A48" i="2"/>
  <c r="P47" i="2"/>
  <c r="O47" i="2"/>
  <c r="M47" i="2"/>
  <c r="L47" i="2"/>
  <c r="H47" i="2"/>
  <c r="E47" i="2"/>
  <c r="D47" i="2"/>
  <c r="Q46" i="2"/>
  <c r="R46" i="2" s="1"/>
  <c r="R47" i="2" s="1"/>
  <c r="P46" i="2"/>
  <c r="O46" i="2"/>
  <c r="M46" i="2"/>
  <c r="L46" i="2"/>
  <c r="N46" i="2" s="1"/>
  <c r="N47" i="2" s="1"/>
  <c r="K46" i="2"/>
  <c r="K47" i="2" s="1"/>
  <c r="J46" i="2"/>
  <c r="J47" i="2" s="1"/>
  <c r="I46" i="2"/>
  <c r="I47" i="2" s="1"/>
  <c r="H46" i="2"/>
  <c r="G46" i="2"/>
  <c r="G47" i="2" s="1"/>
  <c r="E46" i="2"/>
  <c r="D46" i="2"/>
  <c r="C46" i="2"/>
  <c r="C47" i="2" s="1"/>
  <c r="S45" i="2"/>
  <c r="R45" i="2"/>
  <c r="N45" i="2"/>
  <c r="J45" i="2"/>
  <c r="F45" i="2"/>
  <c r="S44" i="2"/>
  <c r="R44" i="2"/>
  <c r="N44" i="2"/>
  <c r="J44" i="2"/>
  <c r="F44" i="2"/>
  <c r="S43" i="2"/>
  <c r="D23" i="1" s="1"/>
  <c r="R43" i="2"/>
  <c r="N43" i="2"/>
  <c r="J43" i="2"/>
  <c r="F43" i="2"/>
  <c r="S42" i="2"/>
  <c r="R42" i="2"/>
  <c r="N42" i="2"/>
  <c r="J42" i="2"/>
  <c r="F42" i="2"/>
  <c r="A42" i="2"/>
  <c r="P41" i="2"/>
  <c r="O41" i="2"/>
  <c r="K41" i="2"/>
  <c r="H41" i="2"/>
  <c r="G41" i="2"/>
  <c r="C41" i="2"/>
  <c r="Q40" i="2"/>
  <c r="Q41" i="2" s="1"/>
  <c r="P40" i="2"/>
  <c r="O40" i="2"/>
  <c r="M40" i="2"/>
  <c r="M41" i="2" s="1"/>
  <c r="L40" i="2"/>
  <c r="N40" i="2" s="1"/>
  <c r="N41" i="2" s="1"/>
  <c r="K40" i="2"/>
  <c r="I40" i="2"/>
  <c r="I41" i="2" s="1"/>
  <c r="H40" i="2"/>
  <c r="G40" i="2"/>
  <c r="J40" i="2" s="1"/>
  <c r="J41" i="2" s="1"/>
  <c r="E40" i="2"/>
  <c r="E41" i="2" s="1"/>
  <c r="D40" i="2"/>
  <c r="F40" i="2" s="1"/>
  <c r="F41" i="2" s="1"/>
  <c r="C40" i="2"/>
  <c r="S40" i="2" s="1"/>
  <c r="S39" i="2"/>
  <c r="R39" i="2"/>
  <c r="N39" i="2"/>
  <c r="J39" i="2"/>
  <c r="F39" i="2"/>
  <c r="S38" i="2"/>
  <c r="R38" i="2"/>
  <c r="N38" i="2"/>
  <c r="J38" i="2"/>
  <c r="F38" i="2"/>
  <c r="S37" i="2"/>
  <c r="D22" i="1" s="1"/>
  <c r="R37" i="2"/>
  <c r="N37" i="2"/>
  <c r="J37" i="2"/>
  <c r="F37" i="2"/>
  <c r="S36" i="2"/>
  <c r="C22" i="1" s="1"/>
  <c r="R36" i="2"/>
  <c r="N36" i="2"/>
  <c r="J36" i="2"/>
  <c r="F36" i="2"/>
  <c r="A36" i="2"/>
  <c r="P35" i="2"/>
  <c r="O35" i="2"/>
  <c r="K35" i="2"/>
  <c r="E35" i="2"/>
  <c r="C35" i="2"/>
  <c r="Q34" i="2"/>
  <c r="Q35" i="2" s="1"/>
  <c r="P34" i="2"/>
  <c r="O34" i="2"/>
  <c r="R34" i="2" s="1"/>
  <c r="R35" i="2" s="1"/>
  <c r="M34" i="2"/>
  <c r="M35" i="2" s="1"/>
  <c r="L34" i="2"/>
  <c r="L35" i="2" s="1"/>
  <c r="K34" i="2"/>
  <c r="N34" i="2" s="1"/>
  <c r="N35" i="2" s="1"/>
  <c r="I34" i="2"/>
  <c r="I35" i="2" s="1"/>
  <c r="H34" i="2"/>
  <c r="H35" i="2" s="1"/>
  <c r="G34" i="2"/>
  <c r="J34" i="2" s="1"/>
  <c r="J35" i="2" s="1"/>
  <c r="E34" i="2"/>
  <c r="D34" i="2"/>
  <c r="D35" i="2" s="1"/>
  <c r="C34" i="2"/>
  <c r="F34" i="2" s="1"/>
  <c r="F35" i="2" s="1"/>
  <c r="S33" i="2"/>
  <c r="R33" i="2"/>
  <c r="N33" i="2"/>
  <c r="J33" i="2"/>
  <c r="F33" i="2"/>
  <c r="S32" i="2"/>
  <c r="R32" i="2"/>
  <c r="N32" i="2"/>
  <c r="J32" i="2"/>
  <c r="F32" i="2"/>
  <c r="S31" i="2"/>
  <c r="D21" i="1" s="1"/>
  <c r="R31" i="2"/>
  <c r="N31" i="2"/>
  <c r="J31" i="2"/>
  <c r="F31" i="2"/>
  <c r="S30" i="2"/>
  <c r="C21" i="1" s="1"/>
  <c r="R30" i="2"/>
  <c r="N30" i="2"/>
  <c r="J30" i="2"/>
  <c r="F30" i="2"/>
  <c r="A30" i="2"/>
  <c r="O29" i="2"/>
  <c r="M29" i="2"/>
  <c r="K29" i="2"/>
  <c r="I29" i="2"/>
  <c r="E29" i="2"/>
  <c r="Q28" i="2"/>
  <c r="Q29" i="2" s="1"/>
  <c r="P28" i="2"/>
  <c r="P29" i="2" s="1"/>
  <c r="O28" i="2"/>
  <c r="R28" i="2" s="1"/>
  <c r="R29" i="2" s="1"/>
  <c r="M28" i="2"/>
  <c r="L28" i="2"/>
  <c r="N28" i="2" s="1"/>
  <c r="N29" i="2" s="1"/>
  <c r="K28" i="2"/>
  <c r="I28" i="2"/>
  <c r="H28" i="2"/>
  <c r="H29" i="2" s="1"/>
  <c r="G28" i="2"/>
  <c r="G29" i="2" s="1"/>
  <c r="E28" i="2"/>
  <c r="D28" i="2"/>
  <c r="D29" i="2" s="1"/>
  <c r="C28" i="2"/>
  <c r="F28" i="2" s="1"/>
  <c r="F29" i="2" s="1"/>
  <c r="S27" i="2"/>
  <c r="R27" i="2"/>
  <c r="N27" i="2"/>
  <c r="J27" i="2"/>
  <c r="F27" i="2"/>
  <c r="S26" i="2"/>
  <c r="R26" i="2"/>
  <c r="N26" i="2"/>
  <c r="J26" i="2"/>
  <c r="F26" i="2"/>
  <c r="S25" i="2"/>
  <c r="D20" i="1" s="1"/>
  <c r="R25" i="2"/>
  <c r="N25" i="2"/>
  <c r="J25" i="2"/>
  <c r="F25" i="2"/>
  <c r="S24" i="2"/>
  <c r="C20" i="1" s="1"/>
  <c r="R24" i="2"/>
  <c r="N24" i="2"/>
  <c r="J24" i="2"/>
  <c r="F24" i="2"/>
  <c r="A24" i="2"/>
  <c r="P23" i="2"/>
  <c r="O23" i="2"/>
  <c r="M23" i="2"/>
  <c r="H23" i="2"/>
  <c r="E23" i="2"/>
  <c r="D23" i="2"/>
  <c r="Q22" i="2"/>
  <c r="R22" i="2" s="1"/>
  <c r="R23" i="2" s="1"/>
  <c r="P22" i="2"/>
  <c r="O22" i="2"/>
  <c r="M22" i="2"/>
  <c r="L22" i="2"/>
  <c r="N22" i="2" s="1"/>
  <c r="N23" i="2" s="1"/>
  <c r="K22" i="2"/>
  <c r="K23" i="2" s="1"/>
  <c r="I22" i="2"/>
  <c r="I23" i="2" s="1"/>
  <c r="H22" i="2"/>
  <c r="G22" i="2"/>
  <c r="J22" i="2" s="1"/>
  <c r="J23" i="2" s="1"/>
  <c r="E22" i="2"/>
  <c r="D22" i="2"/>
  <c r="C22" i="2"/>
  <c r="C23" i="2" s="1"/>
  <c r="S21" i="2"/>
  <c r="R21" i="2"/>
  <c r="N21" i="2"/>
  <c r="J21" i="2"/>
  <c r="F21" i="2"/>
  <c r="S20" i="2"/>
  <c r="R20" i="2"/>
  <c r="N20" i="2"/>
  <c r="J20" i="2"/>
  <c r="F20" i="2"/>
  <c r="S19" i="2"/>
  <c r="D19" i="1" s="1"/>
  <c r="R19" i="2"/>
  <c r="N19" i="2"/>
  <c r="J19" i="2"/>
  <c r="F19" i="2"/>
  <c r="S18" i="2"/>
  <c r="C19" i="1" s="1"/>
  <c r="R18" i="2"/>
  <c r="N18" i="2"/>
  <c r="J18" i="2"/>
  <c r="F18" i="2"/>
  <c r="A18" i="2"/>
  <c r="P17" i="2"/>
  <c r="O17" i="2"/>
  <c r="K17" i="2"/>
  <c r="H17" i="2"/>
  <c r="E17" i="2"/>
  <c r="C17" i="2"/>
  <c r="Q16" i="2"/>
  <c r="Q17" i="2" s="1"/>
  <c r="P16" i="2"/>
  <c r="O16" i="2"/>
  <c r="M16" i="2"/>
  <c r="M17" i="2" s="1"/>
  <c r="L16" i="2"/>
  <c r="N16" i="2" s="1"/>
  <c r="N17" i="2" s="1"/>
  <c r="K16" i="2"/>
  <c r="I16" i="2"/>
  <c r="I17" i="2" s="1"/>
  <c r="H16" i="2"/>
  <c r="G16" i="2"/>
  <c r="J16" i="2" s="1"/>
  <c r="J17" i="2" s="1"/>
  <c r="E16" i="2"/>
  <c r="D16" i="2"/>
  <c r="F16" i="2" s="1"/>
  <c r="F17" i="2" s="1"/>
  <c r="C16" i="2"/>
  <c r="S16" i="2" s="1"/>
  <c r="S15" i="2"/>
  <c r="R15" i="2"/>
  <c r="N15" i="2"/>
  <c r="J15" i="2"/>
  <c r="F15" i="2"/>
  <c r="S14" i="2"/>
  <c r="R14" i="2"/>
  <c r="N14" i="2"/>
  <c r="J14" i="2"/>
  <c r="F14" i="2"/>
  <c r="S13" i="2"/>
  <c r="D18" i="1" s="1"/>
  <c r="R13" i="2"/>
  <c r="N13" i="2"/>
  <c r="J13" i="2"/>
  <c r="F13" i="2"/>
  <c r="S12" i="2"/>
  <c r="C18" i="1" s="1"/>
  <c r="R12" i="2"/>
  <c r="N12" i="2"/>
  <c r="N54" i="2" s="1"/>
  <c r="J12" i="2"/>
  <c r="F12" i="2"/>
  <c r="A12" i="2"/>
  <c r="P11" i="2"/>
  <c r="O11" i="2"/>
  <c r="K11" i="2"/>
  <c r="E11" i="2"/>
  <c r="C11" i="2"/>
  <c r="Q10" i="2"/>
  <c r="Q56" i="2" s="1"/>
  <c r="P10" i="2"/>
  <c r="P56" i="2" s="1"/>
  <c r="O10" i="2"/>
  <c r="O56" i="2" s="1"/>
  <c r="M10" i="2"/>
  <c r="M11" i="2" s="1"/>
  <c r="L10" i="2"/>
  <c r="L11" i="2" s="1"/>
  <c r="K10" i="2"/>
  <c r="K56" i="2" s="1"/>
  <c r="I10" i="2"/>
  <c r="I11" i="2" s="1"/>
  <c r="H10" i="2"/>
  <c r="H11" i="2" s="1"/>
  <c r="G10" i="2"/>
  <c r="J10" i="2" s="1"/>
  <c r="E10" i="2"/>
  <c r="E56" i="2" s="1"/>
  <c r="D10" i="2"/>
  <c r="D11" i="2" s="1"/>
  <c r="C10" i="2"/>
  <c r="F10" i="2" s="1"/>
  <c r="S9" i="2"/>
  <c r="F25" i="1" s="1"/>
  <c r="R9" i="2"/>
  <c r="N9" i="2"/>
  <c r="J9" i="2"/>
  <c r="F9" i="2"/>
  <c r="S8" i="2"/>
  <c r="R8" i="2"/>
  <c r="N8" i="2"/>
  <c r="J8" i="2"/>
  <c r="F8" i="2"/>
  <c r="S7" i="2"/>
  <c r="D17" i="1" s="1"/>
  <c r="R7" i="2"/>
  <c r="R55" i="2" s="1"/>
  <c r="C48" i="1" s="1"/>
  <c r="N7" i="2"/>
  <c r="N55" i="2" s="1"/>
  <c r="C47" i="1" s="1"/>
  <c r="J7" i="2"/>
  <c r="J55" i="2" s="1"/>
  <c r="C46" i="1" s="1"/>
  <c r="F7" i="2"/>
  <c r="F55" i="2" s="1"/>
  <c r="S6" i="2"/>
  <c r="C17" i="1" s="1"/>
  <c r="R6" i="2"/>
  <c r="R54" i="2" s="1"/>
  <c r="N6" i="2"/>
  <c r="J6" i="2"/>
  <c r="J54" i="2" s="1"/>
  <c r="F6" i="2"/>
  <c r="F54" i="2" s="1"/>
  <c r="A6" i="2"/>
  <c r="J2" i="2"/>
  <c r="A2" i="2"/>
  <c r="A1" i="2"/>
  <c r="C41" i="1"/>
  <c r="D40" i="1"/>
  <c r="C40" i="1"/>
  <c r="D39" i="1"/>
  <c r="C39" i="1"/>
  <c r="D38" i="1"/>
  <c r="D37" i="1"/>
  <c r="C37" i="1"/>
  <c r="D36" i="1"/>
  <c r="C36" i="1"/>
  <c r="D35" i="1"/>
  <c r="C35" i="1"/>
  <c r="D34" i="1"/>
  <c r="C34" i="1"/>
  <c r="D33" i="1"/>
  <c r="C33" i="1"/>
  <c r="D32" i="1"/>
  <c r="C32" i="1"/>
  <c r="D30" i="1"/>
  <c r="G25" i="1"/>
  <c r="G24" i="1"/>
  <c r="F24" i="1"/>
  <c r="D24" i="1"/>
  <c r="B24" i="1"/>
  <c r="G23" i="1"/>
  <c r="F23" i="1"/>
  <c r="C23" i="1"/>
  <c r="B23" i="1"/>
  <c r="G22" i="1"/>
  <c r="F22" i="1"/>
  <c r="B22" i="1"/>
  <c r="G21" i="1"/>
  <c r="F21" i="1"/>
  <c r="B21" i="1"/>
  <c r="G20" i="1"/>
  <c r="F20" i="1"/>
  <c r="B20" i="1"/>
  <c r="G19" i="1"/>
  <c r="F19" i="1"/>
  <c r="B19" i="1"/>
  <c r="G18" i="1"/>
  <c r="F18" i="1"/>
  <c r="B18" i="1"/>
  <c r="G17" i="1"/>
  <c r="F17" i="1"/>
  <c r="B17" i="1"/>
  <c r="F13" i="1"/>
  <c r="B13" i="1"/>
  <c r="J12" i="1"/>
  <c r="F12" i="1"/>
  <c r="J7" i="1"/>
  <c r="F7" i="1"/>
  <c r="B7" i="1"/>
  <c r="B2" i="1"/>
  <c r="F11" i="2" l="1"/>
  <c r="E32" i="1"/>
  <c r="E57" i="2"/>
  <c r="J11" i="2"/>
  <c r="B12" i="1"/>
  <c r="C45" i="1"/>
  <c r="S17" i="2"/>
  <c r="J18" i="1"/>
  <c r="I18" i="1"/>
  <c r="H18" i="1"/>
  <c r="E18" i="1"/>
  <c r="E36" i="1"/>
  <c r="K57" i="2"/>
  <c r="O57" i="2"/>
  <c r="E39" i="1"/>
  <c r="P57" i="2"/>
  <c r="E40" i="1"/>
  <c r="S41" i="2"/>
  <c r="J22" i="1"/>
  <c r="I22" i="1"/>
  <c r="H22" i="1"/>
  <c r="E22" i="1"/>
  <c r="Q57" i="2"/>
  <c r="E41" i="1"/>
  <c r="R16" i="2"/>
  <c r="R17" i="2" s="1"/>
  <c r="R40" i="2"/>
  <c r="R41" i="2" s="1"/>
  <c r="N10" i="2"/>
  <c r="Q11" i="2"/>
  <c r="G23" i="2"/>
  <c r="L29" i="2"/>
  <c r="J28" i="2"/>
  <c r="J29" i="2" s="1"/>
  <c r="J52" i="2"/>
  <c r="J53" i="2" s="1"/>
  <c r="S55" i="2"/>
  <c r="D17" i="2"/>
  <c r="F22" i="2"/>
  <c r="F23" i="2" s="1"/>
  <c r="D41" i="2"/>
  <c r="F46" i="2"/>
  <c r="F47" i="2" s="1"/>
  <c r="C56" i="2"/>
  <c r="O53" i="2"/>
  <c r="D56" i="2"/>
  <c r="R10" i="2"/>
  <c r="S54" i="2"/>
  <c r="S10" i="2"/>
  <c r="G17" i="2"/>
  <c r="L23" i="2"/>
  <c r="S34" i="2"/>
  <c r="G56" i="2"/>
  <c r="H56" i="2"/>
  <c r="I56" i="2"/>
  <c r="G11" i="2"/>
  <c r="L17" i="2"/>
  <c r="Q23" i="2"/>
  <c r="S28" i="2"/>
  <c r="G35" i="2"/>
  <c r="L41" i="2"/>
  <c r="Q47" i="2"/>
  <c r="S52" i="2"/>
  <c r="C29" i="2"/>
  <c r="C53" i="2"/>
  <c r="L56" i="2"/>
  <c r="M56" i="2"/>
  <c r="S22" i="2"/>
  <c r="S46" i="2"/>
  <c r="E33" i="1" l="1"/>
  <c r="G57" i="2"/>
  <c r="J56" i="2"/>
  <c r="B6" i="1"/>
  <c r="D25" i="1"/>
  <c r="E31" i="1"/>
  <c r="D57" i="2"/>
  <c r="E35" i="1"/>
  <c r="I57" i="2"/>
  <c r="M57" i="2"/>
  <c r="E38" i="1"/>
  <c r="S29" i="2"/>
  <c r="J20" i="1"/>
  <c r="I20" i="1"/>
  <c r="H20" i="1"/>
  <c r="E20" i="1"/>
  <c r="E34" i="1"/>
  <c r="H57" i="2"/>
  <c r="N11" i="2"/>
  <c r="N56" i="2"/>
  <c r="J21" i="1"/>
  <c r="H21" i="1"/>
  <c r="I21" i="1"/>
  <c r="E21" i="1"/>
  <c r="S35" i="2"/>
  <c r="J23" i="1"/>
  <c r="I23" i="1"/>
  <c r="H23" i="1"/>
  <c r="S47" i="2"/>
  <c r="E23" i="1"/>
  <c r="J19" i="1"/>
  <c r="H19" i="1"/>
  <c r="I19" i="1"/>
  <c r="S23" i="2"/>
  <c r="E19" i="1"/>
  <c r="K19" i="1"/>
  <c r="B8" i="1"/>
  <c r="C25" i="1"/>
  <c r="L57" i="2"/>
  <c r="E37" i="1"/>
  <c r="F56" i="2"/>
  <c r="J17" i="1"/>
  <c r="H17" i="1"/>
  <c r="I17" i="1"/>
  <c r="E17" i="1"/>
  <c r="S11" i="2"/>
  <c r="S56" i="2"/>
  <c r="K23" i="1" s="1"/>
  <c r="R56" i="2"/>
  <c r="R11" i="2"/>
  <c r="E30" i="1"/>
  <c r="F11" i="1"/>
  <c r="B11" i="1"/>
  <c r="C57" i="2"/>
  <c r="K24" i="1"/>
  <c r="S53" i="2"/>
  <c r="J24" i="1"/>
  <c r="I24" i="1"/>
  <c r="H24" i="1"/>
  <c r="E24" i="1"/>
  <c r="I25" i="1" l="1"/>
  <c r="J25" i="1"/>
  <c r="S57" i="2"/>
  <c r="H25" i="1"/>
  <c r="F6" i="1"/>
  <c r="E25" i="1"/>
  <c r="J13" i="1"/>
  <c r="J11" i="1"/>
  <c r="J8" i="1"/>
  <c r="F8" i="1"/>
  <c r="J6" i="1"/>
  <c r="K22" i="1"/>
  <c r="K18" i="1"/>
  <c r="K17" i="1"/>
  <c r="K21" i="1"/>
  <c r="E45" i="1"/>
  <c r="D45" i="1"/>
  <c r="F57" i="2"/>
  <c r="D46" i="1"/>
  <c r="J57" i="2"/>
  <c r="E46" i="1"/>
  <c r="R57" i="2"/>
  <c r="D48" i="1"/>
  <c r="E48" i="1"/>
  <c r="K20" i="1"/>
  <c r="N57" i="2"/>
  <c r="E47" i="1"/>
  <c r="D47" i="1"/>
</calcChain>
</file>

<file path=xl/sharedStrings.xml><?xml version="1.0" encoding="utf-8"?>
<sst xmlns="http://schemas.openxmlformats.org/spreadsheetml/2006/main" count="190" uniqueCount="106">
  <si>
    <t>PLAN GESAMT (Jahr)</t>
  </si>
  <si>
    <t>ERWARTUNG GESAMT (Jahr)</t>
  </si>
  <si>
    <t>ABWEICHUNG (absolut)</t>
  </si>
  <si>
    <t>IST YTD (bis Stichtag)</t>
  </si>
  <si>
    <t>FORECAST RESTJAHR</t>
  </si>
  <si>
    <t>WACHSTUM YoY</t>
  </si>
  <si>
    <t>POSITIONEN — DETAILANSICHT</t>
  </si>
  <si>
    <t>Position</t>
  </si>
  <si>
    <t>Vorjahr</t>
  </si>
  <si>
    <t>Plan</t>
  </si>
  <si>
    <t>Erwartung</t>
  </si>
  <si>
    <t>Forecast (Rest)</t>
  </si>
  <si>
    <t>Ist YTD</t>
  </si>
  <si>
    <t>Abw. abs.</t>
  </si>
  <si>
    <t>Abw. %</t>
  </si>
  <si>
    <t>Wachstum YoY</t>
  </si>
  <si>
    <t>Anteil</t>
  </si>
  <si>
    <t>GESAMT</t>
  </si>
  <si>
    <t>MONATSVERLAUF — Vorjahr / Plan / Erwartung (Summe aller Positionen)</t>
  </si>
  <si>
    <t>Monat</t>
  </si>
  <si>
    <t>Jan</t>
  </si>
  <si>
    <t>Feb</t>
  </si>
  <si>
    <t>Mär</t>
  </si>
  <si>
    <t>Apr</t>
  </si>
  <si>
    <t>Mai</t>
  </si>
  <si>
    <t>Jun</t>
  </si>
  <si>
    <t>Jul</t>
  </si>
  <si>
    <t>Aug</t>
  </si>
  <si>
    <t>Sep</t>
  </si>
  <si>
    <t>Okt</t>
  </si>
  <si>
    <t>Nov</t>
  </si>
  <si>
    <t>Dez</t>
  </si>
  <si>
    <t>QUARTALSVERGLEICH</t>
  </si>
  <si>
    <t>Quartal</t>
  </si>
  <si>
    <t>Q1</t>
  </si>
  <si>
    <t>Q2</t>
  </si>
  <si>
    <t>Q3</t>
  </si>
  <si>
    <t>Q4</t>
  </si>
  <si>
    <t>Diese Vorlage ist als allgemeines Forecast-Werkzeug konzipiert. Die Beispieldaten sind frei erfunden. Passen Sie im Blatt „Annahmen“ die Bezeichnungen der Positionen an Ihren Anwendungsfall an (Produkte, Kostenstellen, Projekte, KPIs ...). Stellen Sie in Zelle C8 den letzten Ist-Monat ein, damit die Erwartung automatisch berechnet wird.</t>
  </si>
  <si>
    <t>Typ</t>
  </si>
  <si>
    <t>Gesamt</t>
  </si>
  <si>
    <t>GJ</t>
  </si>
  <si>
    <t>Ist</t>
  </si>
  <si>
    <t>Forecast</t>
  </si>
  <si>
    <t>Abw. % zu Plan</t>
  </si>
  <si>
    <t>Hinweis: Blaue Schrift = manuell einzugebende Werte. Grüne Zeilen = automatisch berechnete Erwartung (Ist bis Stichtag + Forecast danach). Stichtag, Geschäftsjahr und Bezeichnungen im Blatt „Annahmen“ ändern.</t>
  </si>
  <si>
    <t>ANNAHMEN &amp; PARAMETER</t>
  </si>
  <si>
    <t>Zentrale Steuerung der Vorlage. Änderungen wirken sich auf alle Blätter aus.</t>
  </si>
  <si>
    <t>1. Grundeinstellungen</t>
  </si>
  <si>
    <t>Titel der Vorlage</t>
  </si>
  <si>
    <t>Forecast 2026</t>
  </si>
  <si>
    <t>Frei wählbarer Name (erscheint in der Übersicht).</t>
  </si>
  <si>
    <t>Geschäftsjahr</t>
  </si>
  <si>
    <t>Das Geschäftsjahr, das im Forecast geplant wird.</t>
  </si>
  <si>
    <t>Letzter erfasster Ist-Monat (1 – 12)</t>
  </si>
  <si>
    <t>Bis einschl. diesem Monat liegen Ist-Werte vor. Ab Folgemonat greift der Forecast.</t>
  </si>
  <si>
    <t>Stichtag (Anzeige)</t>
  </si>
  <si>
    <t>Wird automatisch aus Jahr und Ist-Monat berechnet.</t>
  </si>
  <si>
    <t>Einheit</t>
  </si>
  <si>
    <t>€</t>
  </si>
  <si>
    <t>Anzeige-Einheit (z. B. €, $, Stück, Stunden, %).</t>
  </si>
  <si>
    <t>Erstellt am</t>
  </si>
  <si>
    <t>Datum der letzten Aktualisierung.</t>
  </si>
  <si>
    <t>Verantwortlich</t>
  </si>
  <si>
    <t>Abteilung Controlling</t>
  </si>
  <si>
    <t>Verantwortliche Person bzw. Abteilung.</t>
  </si>
  <si>
    <t>2. Positionen</t>
  </si>
  <si>
    <t>Hier können Sie die Bezeichnungen der Positionen frei anpassen (z. B. Produktgruppen, Kostenstellen, Projekte, Vertriebsregionen, KPIs ...). Die Namen erscheinen automatisch in den anderen Blättern.</t>
  </si>
  <si>
    <t>Nr.</t>
  </si>
  <si>
    <t>Bezeichnung</t>
  </si>
  <si>
    <t>Beschreibung (optional)</t>
  </si>
  <si>
    <t>Position A</t>
  </si>
  <si>
    <t>z. B. Hauptprodukt / Hauptkategorie</t>
  </si>
  <si>
    <t>Position B</t>
  </si>
  <si>
    <t>z. B. zweite Produktlinie</t>
  </si>
  <si>
    <t>Position C</t>
  </si>
  <si>
    <t>z. B. Dienstleistungen</t>
  </si>
  <si>
    <t>Position D</t>
  </si>
  <si>
    <t>z. B. After-Sales / Ersatzteile</t>
  </si>
  <si>
    <t>Position E</t>
  </si>
  <si>
    <t>z. B. Lizenzen / Abos</t>
  </si>
  <si>
    <t>Position F</t>
  </si>
  <si>
    <t>z. B. Sonstige Erlöse / Posten</t>
  </si>
  <si>
    <t>Position G</t>
  </si>
  <si>
    <t>frei verfügbar</t>
  </si>
  <si>
    <t>Position H</t>
  </si>
  <si>
    <t>3. Legende &amp; Farbcode</t>
  </si>
  <si>
    <t>Format</t>
  </si>
  <si>
    <t>Bedeutung</t>
  </si>
  <si>
    <t>Ist-Werte des Vorjahres als Referenz (Eingabewerte).</t>
  </si>
  <si>
    <t>Geplante Werte / Budget für das aktuelle Geschäftsjahr (Eingabewerte).</t>
  </si>
  <si>
    <t>Tatsächliche Werte für bereits abgeschlossene Monate (Eingabewerte).</t>
  </si>
  <si>
    <t>Geschätzte Werte für noch ausstehende Monate (Eingabewerte).</t>
  </si>
  <si>
    <t>Ergebniszeile: Ist (bis Stichtag) + Forecast (ab Folgemonat). Wird automatisch berechnet.</t>
  </si>
  <si>
    <t>Abweichung</t>
  </si>
  <si>
    <t>Differenz Erwartung – Plan in % (Formel). Grün = besser als Plan, rot = schlechter.</t>
  </si>
  <si>
    <t>4. So benutzen Sie die Vorlage</t>
  </si>
  <si>
    <t>1.  Tragen Sie unter „Grundeinstellungen“ Geschäftsjahr und letzten Ist-Monat ein (Zelle C8 ist der wichtigste Hebel).</t>
  </si>
  <si>
    <t>2.  Passen Sie die Bezeichnungen der Positionen an Ihren Anwendungsfall an (Produkte, Kostenstellen, Projekte, Regionen ...).</t>
  </si>
  <si>
    <t>3.  Wechseln Sie zum Blatt „Forecast“ und tragen Sie pro Position ein:</t>
  </si>
  <si>
    <t xml:space="preserve">       • Vorjahres-Werte (graue Zeile)</t>
  </si>
  <si>
    <t xml:space="preserve">       • Plan-Werte (hellblaue Zeile)</t>
  </si>
  <si>
    <t xml:space="preserve">       • Ist-Werte (gelbe Zeile) – bis einschließlich Stichtag-Monat</t>
  </si>
  <si>
    <t xml:space="preserve">       • Forecast-Werte (orange Zeile) – ab dem Monat nach dem Stichtag</t>
  </si>
  <si>
    <t>4.  Die grüne Erwartungszeile, alle Summen, Quartale und Abweichungen werden automatisch berechnet.</t>
  </si>
  <si>
    <t>5.  Im Blatt „Übersicht“ sehen Sie KPIs, Verlaufsdiagramme und das Ranking der Positionen auf einen Blick.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</si>
</sst>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Red]\-#,##0;\–"/>
    <numFmt numFmtId="165" formatCode="0.0%;[Red]\-0.0%;\–"/>
    <numFmt numFmtId="166" formatCode="\+#,##0;[Red]\-#,##0;\–"/>
    <numFmt numFmtId="167" formatCode="\+0.0%;[Red]\-0.0%;\–"/>
    <numFmt numFmtId="168" formatCode="\+#,##0;\-#,##0;\–"/>
    <numFmt numFmtId="169" formatCode="\+0.0%;\-0.0%;\–"/>
    <numFmt numFmtId="170" formatCode="0.0%"/>
    <numFmt numFmtId="171" formatCode="mmmm\ yyyy"/>
    <numFmt numFmtId="172" formatCode="dd\.mm\.yyyy"/>
  </numFmts>
  <fonts count="28" x14ac:knownFonts="1">
    <font>
      <sz val="11"/>
      <color theme="1"/>
      <name val="Calibri"/>
      <family val="2"/>
      <charset val="1"/>
    </font>
    <font>
      <b/>
      <sz val="20"/>
      <color rgb="FFFFFFFF"/>
      <name val="Calibri"/>
      <charset val="1"/>
    </font>
    <font>
      <i/>
      <sz val="11"/>
      <color rgb="FF595959"/>
      <name val="Calibri"/>
      <charset val="1"/>
    </font>
    <font>
      <b/>
      <sz val="10"/>
      <color rgb="FFFFFFFF"/>
      <name val="Calibri"/>
      <charset val="1"/>
    </font>
    <font>
      <b/>
      <sz val="22"/>
      <color rgb="FF222222"/>
      <name val="Calibri"/>
      <charset val="1"/>
    </font>
    <font>
      <b/>
      <sz val="10"/>
      <color rgb="FF595959"/>
      <name val="Calibri"/>
      <charset val="1"/>
    </font>
    <font>
      <i/>
      <sz val="9"/>
      <color rgb="FF808080"/>
      <name val="Calibri"/>
      <charset val="1"/>
    </font>
    <font>
      <b/>
      <sz val="12"/>
      <color rgb="FFFFFFFF"/>
      <name val="Calibri"/>
      <charset val="1"/>
    </font>
    <font>
      <b/>
      <sz val="11"/>
      <color rgb="FF1F4E78"/>
      <name val="Calibri"/>
      <charset val="1"/>
    </font>
    <font>
      <sz val="11"/>
      <color rgb="FF404040"/>
      <name val="Calibri"/>
      <charset val="1"/>
    </font>
    <font>
      <b/>
      <sz val="11"/>
      <color rgb="FF548235"/>
      <name val="Calibri"/>
      <charset val="1"/>
    </font>
    <font>
      <b/>
      <sz val="11"/>
      <color rgb="FF000000"/>
      <name val="Calibri"/>
      <charset val="1"/>
    </font>
    <font>
      <b/>
      <sz val="11"/>
      <color rgb="FF2E75B6"/>
      <name val="Calibri"/>
      <charset val="1"/>
    </font>
    <font>
      <b/>
      <sz val="11"/>
      <color rgb="FFFFFFFF"/>
      <name val="Calibri"/>
      <charset val="1"/>
    </font>
    <font>
      <b/>
      <sz val="11"/>
      <color rgb="FF404040"/>
      <name val="Calibri"/>
      <charset val="1"/>
    </font>
    <font>
      <sz val="11"/>
      <color rgb="FF595959"/>
      <name val="Calibri"/>
      <charset val="1"/>
    </font>
    <font>
      <sz val="11"/>
      <color rgb="FF2E75B6"/>
      <name val="Calibri"/>
      <charset val="1"/>
    </font>
    <font>
      <b/>
      <sz val="18"/>
      <color rgb="FFFFFFFF"/>
      <name val="Calibri"/>
      <charset val="1"/>
    </font>
    <font>
      <i/>
      <sz val="9"/>
      <color rgb="FFA6A6A6"/>
      <name val="Calibri"/>
      <charset val="1"/>
    </font>
    <font>
      <sz val="10"/>
      <color rgb="FF404040"/>
      <name val="Calibri"/>
      <charset val="1"/>
    </font>
    <font>
      <sz val="11"/>
      <color rgb="FF0000FF"/>
      <name val="Calibri"/>
      <charset val="1"/>
    </font>
    <font>
      <sz val="11"/>
      <color rgb="FF000000"/>
      <name val="Calibri"/>
      <charset val="1"/>
    </font>
    <font>
      <b/>
      <sz val="13"/>
      <color rgb="FFFFFFFF"/>
      <name val="Calibri"/>
      <charset val="1"/>
    </font>
    <font>
      <i/>
      <sz val="9"/>
      <color rgb="FF595959"/>
      <name val="Calibri"/>
      <charset val="1"/>
    </font>
    <font>
      <b/>
      <sz val="16"/>
      <color rgb="FFFFFFFF"/>
      <name val="Calibri"/>
      <charset val="1"/>
    </font>
    <font>
      <i/>
      <sz val="10"/>
      <color rgb="FF595959"/>
      <name val="Calibri"/>
      <charset val="1"/>
    </font>
    <font>
      <b/>
      <sz val="11"/>
      <color rgb="FF0000FF"/>
      <name val="Calibri"/>
      <charset val="1"/>
    </font>
    <font>
      <sz val="10"/>
      <color rgb="FF000000"/>
      <name val="Calibri"/>
      <charset val="1"/>
    </font>
  </fonts>
  <fills count="18">
    <fill>
      <patternFill patternType="none"/>
    </fill>
    <fill>
      <patternFill patternType="gray125"/>
    </fill>
    <fill>
      <patternFill patternType="solid">
        <fgColor rgb="FF1F4E78"/>
        <bgColor rgb="FF003366"/>
      </patternFill>
    </fill>
    <fill>
      <patternFill patternType="solid">
        <fgColor rgb="FFF8F8F8"/>
        <bgColor rgb="FFFAFAFA"/>
      </patternFill>
    </fill>
    <fill>
      <patternFill patternType="solid">
        <fgColor rgb="FF2E75B6"/>
        <bgColor rgb="FF4672A8"/>
      </patternFill>
    </fill>
    <fill>
      <patternFill patternType="solid">
        <fgColor rgb="FF548235"/>
        <bgColor rgb="FF595959"/>
      </patternFill>
    </fill>
    <fill>
      <patternFill patternType="solid">
        <fgColor rgb="FFBF8F00"/>
        <bgColor rgb="FFDC853E"/>
      </patternFill>
    </fill>
    <fill>
      <patternFill patternType="solid">
        <fgColor rgb="FFFFFFFF"/>
        <bgColor rgb="FFFBFBFB"/>
      </patternFill>
    </fill>
    <fill>
      <patternFill patternType="solid">
        <fgColor rgb="FF404040"/>
        <bgColor rgb="FF595959"/>
      </patternFill>
    </fill>
    <fill>
      <patternFill patternType="solid">
        <fgColor rgb="FFC65911"/>
        <bgColor rgb="FFAB4744"/>
      </patternFill>
    </fill>
    <fill>
      <patternFill patternType="solid">
        <fgColor rgb="FFFBFBFB"/>
        <bgColor rgb="FFFAFAFA"/>
      </patternFill>
    </fill>
    <fill>
      <patternFill patternType="solid">
        <fgColor rgb="FFFAFAFA"/>
        <bgColor rgb="FFFBFBFB"/>
      </patternFill>
    </fill>
    <fill>
      <patternFill patternType="solid">
        <fgColor rgb="FFF2F2F2"/>
        <bgColor rgb="FFF8F8F8"/>
      </patternFill>
    </fill>
    <fill>
      <patternFill patternType="solid">
        <fgColor rgb="FFDDEBF7"/>
        <bgColor rgb="FFF2F2F2"/>
      </patternFill>
    </fill>
    <fill>
      <patternFill patternType="solid">
        <fgColor rgb="FFFFF2CC"/>
        <bgColor rgb="FFFCE4D6"/>
      </patternFill>
    </fill>
    <fill>
      <patternFill patternType="solid">
        <fgColor rgb="FFFCE4D6"/>
        <bgColor rgb="FFFFF2CC"/>
      </patternFill>
    </fill>
    <fill>
      <patternFill patternType="solid">
        <fgColor rgb="FFC6E0B4"/>
        <bgColor rgb="FFD9D9D9"/>
      </patternFill>
    </fill>
    <fill>
      <patternFill patternType="solid">
        <fgColor theme="8" tint="-0.499984740745262"/>
        <bgColor rgb="FF003366"/>
      </patternFill>
    </fill>
  </fills>
  <borders count="10">
    <border>
      <left/>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thin">
        <color rgb="FF2E75B6"/>
      </left>
      <right style="thin">
        <color rgb="FF2E75B6"/>
      </right>
      <top style="thin">
        <color rgb="FF2E75B6"/>
      </top>
      <bottom style="thin">
        <color rgb="FF2E75B6"/>
      </bottom>
      <diagonal/>
    </border>
    <border>
      <left style="thin">
        <color rgb="FF2E75B6"/>
      </left>
      <right/>
      <top style="thin">
        <color rgb="FF2E75B6"/>
      </top>
      <bottom style="thin">
        <color rgb="FF2E75B6"/>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1F4E78"/>
      </left>
      <right style="thin">
        <color rgb="FF1F4E78"/>
      </right>
      <top style="thin">
        <color rgb="FF1F4E78"/>
      </top>
      <bottom style="thin">
        <color rgb="FF1F4E78"/>
      </bottom>
      <diagonal/>
    </border>
    <border>
      <left style="thin">
        <color rgb="FFBFBFBF"/>
      </left>
      <right style="thin">
        <color rgb="FFBFBFBF"/>
      </right>
      <top style="thin">
        <color rgb="FFBFBFBF"/>
      </top>
      <bottom style="medium">
        <color rgb="FF808080"/>
      </bottom>
      <diagonal/>
    </border>
  </borders>
  <cellStyleXfs count="1">
    <xf numFmtId="0" fontId="0" fillId="0" borderId="0"/>
  </cellStyleXfs>
  <cellXfs count="98">
    <xf numFmtId="0" fontId="0" fillId="0" borderId="0" xfId="0"/>
    <xf numFmtId="165" fontId="12" fillId="3" borderId="7" xfId="0" applyNumberFormat="1" applyFont="1" applyFill="1" applyBorder="1" applyAlignment="1">
      <alignment horizontal="right" vertical="center"/>
    </xf>
    <xf numFmtId="0" fontId="3" fillId="4" borderId="5" xfId="0" applyFont="1" applyFill="1" applyBorder="1" applyAlignment="1">
      <alignment horizontal="center" vertical="center" wrapText="1"/>
    </xf>
    <xf numFmtId="0" fontId="7" fillId="2" borderId="0" xfId="0" applyFont="1" applyFill="1" applyAlignment="1">
      <alignment horizontal="left" vertical="center" wrapText="1" indent="1"/>
    </xf>
    <xf numFmtId="165" fontId="4" fillId="7" borderId="2" xfId="0" applyNumberFormat="1"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3" fillId="8" borderId="1" xfId="0" applyFont="1" applyFill="1" applyBorder="1" applyAlignment="1">
      <alignment horizontal="left" vertical="center" wrapText="1" indent="1"/>
    </xf>
    <xf numFmtId="0" fontId="6" fillId="7" borderId="3" xfId="0" applyFont="1" applyFill="1" applyBorder="1" applyAlignment="1">
      <alignment horizontal="left" vertical="center" wrapText="1" indent="1"/>
    </xf>
    <xf numFmtId="0" fontId="5" fillId="7" borderId="2" xfId="0" applyFont="1" applyFill="1" applyBorder="1" applyAlignment="1">
      <alignment horizontal="left" vertical="center" wrapText="1" indent="1"/>
    </xf>
    <xf numFmtId="164" fontId="4" fillId="7" borderId="2" xfId="0" applyNumberFormat="1"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2" fillId="3" borderId="0" xfId="0" applyFont="1" applyFill="1" applyAlignment="1">
      <alignment horizontal="left" vertical="center" wrapText="1" indent="2"/>
    </xf>
    <xf numFmtId="0" fontId="3" fillId="4" borderId="4" xfId="0" applyFont="1" applyFill="1" applyBorder="1" applyAlignment="1">
      <alignment horizontal="center" vertical="center" wrapText="1"/>
    </xf>
    <xf numFmtId="0" fontId="8" fillId="3" borderId="6" xfId="0" applyFont="1" applyFill="1" applyBorder="1" applyAlignment="1">
      <alignment horizontal="left" vertical="center" wrapText="1" indent="1"/>
    </xf>
    <xf numFmtId="164" fontId="9" fillId="3" borderId="6" xfId="0" applyNumberFormat="1" applyFont="1" applyFill="1" applyBorder="1" applyAlignment="1">
      <alignment horizontal="right" vertical="center"/>
    </xf>
    <xf numFmtId="164" fontId="10" fillId="3" borderId="6" xfId="0" applyNumberFormat="1" applyFont="1" applyFill="1" applyBorder="1" applyAlignment="1">
      <alignment horizontal="right" vertical="center"/>
    </xf>
    <xf numFmtId="166" fontId="11" fillId="3" borderId="6" xfId="0" applyNumberFormat="1" applyFont="1" applyFill="1" applyBorder="1" applyAlignment="1">
      <alignment horizontal="right" vertical="center"/>
    </xf>
    <xf numFmtId="167" fontId="11" fillId="3" borderId="6" xfId="0" applyNumberFormat="1" applyFont="1" applyFill="1" applyBorder="1" applyAlignment="1">
      <alignment horizontal="right" vertical="center"/>
    </xf>
    <xf numFmtId="0" fontId="8" fillId="7" borderId="6" xfId="0" applyFont="1" applyFill="1" applyBorder="1" applyAlignment="1">
      <alignment horizontal="left" vertical="center" wrapText="1" indent="1"/>
    </xf>
    <xf numFmtId="164" fontId="9" fillId="7" borderId="6" xfId="0" applyNumberFormat="1" applyFont="1" applyFill="1" applyBorder="1" applyAlignment="1">
      <alignment horizontal="right" vertical="center"/>
    </xf>
    <xf numFmtId="164" fontId="10" fillId="7" borderId="6" xfId="0" applyNumberFormat="1" applyFont="1" applyFill="1" applyBorder="1" applyAlignment="1">
      <alignment horizontal="right" vertical="center"/>
    </xf>
    <xf numFmtId="166" fontId="11" fillId="7" borderId="6" xfId="0" applyNumberFormat="1" applyFont="1" applyFill="1" applyBorder="1" applyAlignment="1">
      <alignment horizontal="right" vertical="center"/>
    </xf>
    <xf numFmtId="167" fontId="11" fillId="7" borderId="6" xfId="0" applyNumberFormat="1" applyFont="1" applyFill="1" applyBorder="1" applyAlignment="1">
      <alignment horizontal="right" vertical="center"/>
    </xf>
    <xf numFmtId="0" fontId="13" fillId="2" borderId="6" xfId="0" applyFont="1" applyFill="1" applyBorder="1" applyAlignment="1">
      <alignment horizontal="left" vertical="center" wrapText="1" indent="1"/>
    </xf>
    <xf numFmtId="3" fontId="13" fillId="2" borderId="6" xfId="0" applyNumberFormat="1" applyFont="1" applyFill="1" applyBorder="1" applyAlignment="1">
      <alignment horizontal="right" vertical="center"/>
    </xf>
    <xf numFmtId="168" fontId="13" fillId="2" borderId="6" xfId="0" applyNumberFormat="1" applyFont="1" applyFill="1" applyBorder="1" applyAlignment="1">
      <alignment horizontal="right" vertical="center"/>
    </xf>
    <xf numFmtId="169" fontId="13" fillId="2" borderId="6" xfId="0" applyNumberFormat="1" applyFont="1" applyFill="1" applyBorder="1" applyAlignment="1">
      <alignment horizontal="right" vertical="center"/>
    </xf>
    <xf numFmtId="0" fontId="13" fillId="4" borderId="6" xfId="0" applyFont="1" applyFill="1" applyBorder="1" applyAlignment="1">
      <alignment horizontal="center" vertical="center" wrapText="1"/>
    </xf>
    <xf numFmtId="0" fontId="14" fillId="3" borderId="6" xfId="0" applyFont="1" applyFill="1" applyBorder="1" applyAlignment="1">
      <alignment horizontal="left" vertical="center" wrapText="1" indent="1"/>
    </xf>
    <xf numFmtId="3" fontId="15" fillId="3" borderId="6" xfId="0" applyNumberFormat="1" applyFont="1" applyFill="1" applyBorder="1" applyAlignment="1">
      <alignment horizontal="right" vertical="center"/>
    </xf>
    <xf numFmtId="3" fontId="16" fillId="3" borderId="6" xfId="0" applyNumberFormat="1" applyFont="1" applyFill="1" applyBorder="1" applyAlignment="1">
      <alignment horizontal="right" vertical="center"/>
    </xf>
    <xf numFmtId="3" fontId="10" fillId="3" borderId="6" xfId="0" applyNumberFormat="1" applyFont="1" applyFill="1" applyBorder="1" applyAlignment="1">
      <alignment horizontal="right" vertical="center"/>
    </xf>
    <xf numFmtId="0" fontId="14" fillId="7" borderId="6" xfId="0" applyFont="1" applyFill="1" applyBorder="1" applyAlignment="1">
      <alignment horizontal="left" vertical="center" wrapText="1" indent="1"/>
    </xf>
    <xf numFmtId="3" fontId="15" fillId="7" borderId="6" xfId="0" applyNumberFormat="1" applyFont="1" applyFill="1" applyBorder="1" applyAlignment="1">
      <alignment horizontal="right" vertical="center"/>
    </xf>
    <xf numFmtId="3" fontId="16" fillId="7" borderId="6" xfId="0" applyNumberFormat="1" applyFont="1" applyFill="1" applyBorder="1" applyAlignment="1">
      <alignment horizontal="right" vertical="center"/>
    </xf>
    <xf numFmtId="3" fontId="10" fillId="7" borderId="6" xfId="0" applyNumberFormat="1" applyFont="1" applyFill="1" applyBorder="1" applyAlignment="1">
      <alignment horizontal="right" vertical="center"/>
    </xf>
    <xf numFmtId="0" fontId="3" fillId="2" borderId="6" xfId="0" applyFont="1" applyFill="1" applyBorder="1" applyAlignment="1">
      <alignment horizontal="center" vertical="center" wrapText="1"/>
    </xf>
    <xf numFmtId="0" fontId="11" fillId="3" borderId="6" xfId="0" applyFont="1" applyFill="1" applyBorder="1" applyAlignment="1">
      <alignment horizontal="left" vertical="center" wrapText="1" indent="1"/>
    </xf>
    <xf numFmtId="0" fontId="11" fillId="7" borderId="6" xfId="0" applyFont="1" applyFill="1" applyBorder="1" applyAlignment="1">
      <alignment horizontal="left" vertical="center" wrapText="1" indent="1"/>
    </xf>
    <xf numFmtId="0" fontId="13" fillId="2" borderId="8" xfId="0" applyFont="1" applyFill="1" applyBorder="1" applyAlignment="1">
      <alignment horizontal="center" vertical="center" wrapText="1"/>
    </xf>
    <xf numFmtId="0" fontId="18" fillId="0" borderId="0" xfId="0" applyFont="1" applyAlignment="1">
      <alignment horizontal="center" vertical="center" wrapText="1"/>
    </xf>
    <xf numFmtId="0" fontId="19" fillId="12" borderId="6" xfId="0" applyFont="1" applyFill="1" applyBorder="1" applyAlignment="1">
      <alignment horizontal="left" vertical="center" wrapText="1" indent="1"/>
    </xf>
    <xf numFmtId="164" fontId="20" fillId="12" borderId="6" xfId="0" applyNumberFormat="1" applyFont="1" applyFill="1" applyBorder="1" applyAlignment="1">
      <alignment horizontal="right" vertical="center"/>
    </xf>
    <xf numFmtId="164" fontId="21" fillId="12" borderId="6" xfId="0" applyNumberFormat="1" applyFont="1" applyFill="1" applyBorder="1" applyAlignment="1">
      <alignment horizontal="right" vertical="center"/>
    </xf>
    <xf numFmtId="164" fontId="11" fillId="12" borderId="6" xfId="0" applyNumberFormat="1" applyFont="1" applyFill="1" applyBorder="1" applyAlignment="1">
      <alignment horizontal="right" vertical="center"/>
    </xf>
    <xf numFmtId="0" fontId="19" fillId="13" borderId="6" xfId="0" applyFont="1" applyFill="1" applyBorder="1" applyAlignment="1">
      <alignment horizontal="left" vertical="center" wrapText="1" indent="1"/>
    </xf>
    <xf numFmtId="164" fontId="20" fillId="13" borderId="6" xfId="0" applyNumberFormat="1" applyFont="1" applyFill="1" applyBorder="1" applyAlignment="1">
      <alignment horizontal="right" vertical="center"/>
    </xf>
    <xf numFmtId="164" fontId="21" fillId="13" borderId="6" xfId="0" applyNumberFormat="1" applyFont="1" applyFill="1" applyBorder="1" applyAlignment="1">
      <alignment horizontal="right" vertical="center"/>
    </xf>
    <xf numFmtId="164" fontId="11" fillId="13" borderId="6" xfId="0" applyNumberFormat="1" applyFont="1" applyFill="1" applyBorder="1" applyAlignment="1">
      <alignment horizontal="right" vertical="center"/>
    </xf>
    <xf numFmtId="0" fontId="19" fillId="14" borderId="6" xfId="0" applyFont="1" applyFill="1" applyBorder="1" applyAlignment="1">
      <alignment horizontal="left" vertical="center" wrapText="1" indent="1"/>
    </xf>
    <xf numFmtId="164" fontId="20" fillId="14" borderId="6" xfId="0" applyNumberFormat="1" applyFont="1" applyFill="1" applyBorder="1" applyAlignment="1">
      <alignment horizontal="right" vertical="center"/>
    </xf>
    <xf numFmtId="164" fontId="21" fillId="14" borderId="6" xfId="0" applyNumberFormat="1" applyFont="1" applyFill="1" applyBorder="1" applyAlignment="1">
      <alignment horizontal="right" vertical="center"/>
    </xf>
    <xf numFmtId="164" fontId="11" fillId="14" borderId="6" xfId="0" applyNumberFormat="1" applyFont="1" applyFill="1" applyBorder="1" applyAlignment="1">
      <alignment horizontal="right" vertical="center"/>
    </xf>
    <xf numFmtId="0" fontId="19" fillId="15" borderId="6" xfId="0" applyFont="1" applyFill="1" applyBorder="1" applyAlignment="1">
      <alignment horizontal="left" vertical="center" wrapText="1" indent="1"/>
    </xf>
    <xf numFmtId="164" fontId="20" fillId="15" borderId="6" xfId="0" applyNumberFormat="1" applyFont="1" applyFill="1" applyBorder="1" applyAlignment="1">
      <alignment horizontal="right" vertical="center"/>
    </xf>
    <xf numFmtId="164" fontId="21" fillId="15" borderId="6" xfId="0" applyNumberFormat="1" applyFont="1" applyFill="1" applyBorder="1" applyAlignment="1">
      <alignment horizontal="right" vertical="center"/>
    </xf>
    <xf numFmtId="164" fontId="11" fillId="15" borderId="6" xfId="0" applyNumberFormat="1" applyFont="1" applyFill="1" applyBorder="1" applyAlignment="1">
      <alignment horizontal="right" vertical="center"/>
    </xf>
    <xf numFmtId="0" fontId="19" fillId="16" borderId="6" xfId="0" applyFont="1" applyFill="1" applyBorder="1" applyAlignment="1">
      <alignment horizontal="left" vertical="center" wrapText="1" indent="1"/>
    </xf>
    <xf numFmtId="164" fontId="11" fillId="16" borderId="6" xfId="0" applyNumberFormat="1" applyFont="1" applyFill="1" applyBorder="1" applyAlignment="1">
      <alignment horizontal="right" vertical="center"/>
    </xf>
    <xf numFmtId="0" fontId="19" fillId="7" borderId="9" xfId="0" applyFont="1" applyFill="1" applyBorder="1" applyAlignment="1">
      <alignment horizontal="left" vertical="center" wrapText="1" indent="1"/>
    </xf>
    <xf numFmtId="167" fontId="0" fillId="7" borderId="9" xfId="0" applyNumberFormat="1" applyFill="1" applyBorder="1" applyAlignment="1">
      <alignment horizontal="right" vertical="center"/>
    </xf>
    <xf numFmtId="167" fontId="11" fillId="7" borderId="9" xfId="0" applyNumberFormat="1" applyFont="1" applyFill="1" applyBorder="1" applyAlignment="1">
      <alignment horizontal="right" vertical="center"/>
    </xf>
    <xf numFmtId="164" fontId="13" fillId="2" borderId="6" xfId="0" applyNumberFormat="1" applyFont="1" applyFill="1" applyBorder="1" applyAlignment="1">
      <alignment horizontal="right" vertical="center"/>
    </xf>
    <xf numFmtId="0" fontId="11" fillId="12" borderId="6" xfId="0" applyFont="1" applyFill="1" applyBorder="1" applyAlignment="1">
      <alignment horizontal="left" vertical="center" wrapText="1" indent="1"/>
    </xf>
    <xf numFmtId="0" fontId="26" fillId="13" borderId="6" xfId="0" applyFont="1" applyFill="1" applyBorder="1" applyAlignment="1">
      <alignment horizontal="center" vertical="center" wrapText="1"/>
    </xf>
    <xf numFmtId="0" fontId="25" fillId="0" borderId="6" xfId="0" applyFont="1" applyBorder="1" applyAlignment="1">
      <alignment horizontal="left" vertical="center" wrapText="1" indent="1"/>
    </xf>
    <xf numFmtId="1" fontId="26" fillId="13" borderId="6" xfId="0" applyNumberFormat="1" applyFont="1" applyFill="1" applyBorder="1" applyAlignment="1">
      <alignment horizontal="center" vertical="center" wrapText="1"/>
    </xf>
    <xf numFmtId="171" fontId="21" fillId="7" borderId="6" xfId="0" applyNumberFormat="1" applyFont="1" applyFill="1" applyBorder="1" applyAlignment="1">
      <alignment horizontal="center" vertical="center" wrapText="1"/>
    </xf>
    <xf numFmtId="172" fontId="21" fillId="7" borderId="6" xfId="0" applyNumberFormat="1" applyFont="1" applyFill="1" applyBorder="1" applyAlignment="1">
      <alignment horizontal="center" vertical="center" wrapText="1"/>
    </xf>
    <xf numFmtId="0" fontId="11" fillId="12" borderId="6" xfId="0" applyFont="1" applyFill="1" applyBorder="1" applyAlignment="1">
      <alignment horizontal="center" vertical="center" wrapText="1"/>
    </xf>
    <xf numFmtId="0" fontId="26" fillId="13" borderId="6" xfId="0" applyFont="1" applyFill="1" applyBorder="1" applyAlignment="1">
      <alignment horizontal="left" vertical="center" wrapText="1" indent="1"/>
    </xf>
    <xf numFmtId="0" fontId="0" fillId="12" borderId="6" xfId="0" applyFill="1" applyBorder="1"/>
    <xf numFmtId="0" fontId="11" fillId="0" borderId="6" xfId="0" applyFont="1" applyBorder="1" applyAlignment="1">
      <alignment horizontal="left" vertical="center" wrapText="1" indent="1"/>
    </xf>
    <xf numFmtId="0" fontId="19" fillId="0" borderId="6" xfId="0" applyFont="1" applyBorder="1" applyAlignment="1">
      <alignment horizontal="left" vertical="center" wrapText="1" indent="1"/>
    </xf>
    <xf numFmtId="0" fontId="0" fillId="13" borderId="6" xfId="0" applyFill="1" applyBorder="1"/>
    <xf numFmtId="0" fontId="0" fillId="14" borderId="6" xfId="0" applyFill="1" applyBorder="1"/>
    <xf numFmtId="0" fontId="0" fillId="15" borderId="6" xfId="0" applyFill="1" applyBorder="1"/>
    <xf numFmtId="0" fontId="0" fillId="16" borderId="6" xfId="0" applyFill="1" applyBorder="1"/>
    <xf numFmtId="0" fontId="0" fillId="7" borderId="6" xfId="0" applyFill="1" applyBorder="1"/>
    <xf numFmtId="165" fontId="12" fillId="7" borderId="7" xfId="0" applyNumberFormat="1" applyFont="1" applyFill="1" applyBorder="1" applyAlignment="1">
      <alignment horizontal="right" vertical="center"/>
    </xf>
    <xf numFmtId="170" fontId="13" fillId="2" borderId="7" xfId="0" applyNumberFormat="1" applyFont="1" applyFill="1" applyBorder="1" applyAlignment="1">
      <alignment horizontal="right" vertical="center"/>
    </xf>
    <xf numFmtId="0" fontId="13" fillId="4" borderId="0" xfId="0" applyFont="1" applyFill="1" applyAlignment="1">
      <alignment horizontal="left" vertical="center" wrapText="1" indent="1"/>
    </xf>
    <xf numFmtId="0" fontId="6" fillId="10" borderId="0" xfId="0" applyFont="1" applyFill="1" applyAlignment="1">
      <alignment horizontal="left" vertical="center" wrapText="1" indent="1"/>
    </xf>
    <xf numFmtId="0" fontId="2" fillId="3" borderId="0" xfId="0" applyFont="1" applyFill="1" applyAlignment="1">
      <alignment horizontal="right" vertical="center" indent="2"/>
    </xf>
    <xf numFmtId="0" fontId="8" fillId="11" borderId="6" xfId="0" applyFont="1" applyFill="1" applyBorder="1" applyAlignment="1">
      <alignment horizontal="left" vertical="center" wrapText="1" indent="1"/>
    </xf>
    <xf numFmtId="0" fontId="22" fillId="2" borderId="0" xfId="0" applyFont="1" applyFill="1" applyAlignment="1">
      <alignment horizontal="left" vertical="center" wrapText="1" indent="1"/>
    </xf>
    <xf numFmtId="0" fontId="23" fillId="10" borderId="0" xfId="0" applyFont="1" applyFill="1" applyAlignment="1">
      <alignment horizontal="left" vertical="center" wrapText="1" indent="1"/>
    </xf>
    <xf numFmtId="0" fontId="25" fillId="12" borderId="0" xfId="0" applyFont="1" applyFill="1" applyAlignment="1">
      <alignment horizontal="left" vertical="center" wrapText="1" indent="1"/>
    </xf>
    <xf numFmtId="0" fontId="7" fillId="4" borderId="0" xfId="0" applyFont="1" applyFill="1" applyAlignment="1">
      <alignment horizontal="left" vertical="center" wrapText="1" indent="1"/>
    </xf>
    <xf numFmtId="0" fontId="25" fillId="10" borderId="0" xfId="0" applyFont="1" applyFill="1" applyAlignment="1">
      <alignment horizontal="left" vertical="center" wrapText="1" indent="1"/>
    </xf>
    <xf numFmtId="0" fontId="27" fillId="10" borderId="0" xfId="0" applyFont="1" applyFill="1" applyAlignment="1">
      <alignment horizontal="left" vertical="center" wrapText="1" indent="1"/>
    </xf>
    <xf numFmtId="0" fontId="17" fillId="17" borderId="0" xfId="0" applyFont="1" applyFill="1" applyAlignment="1">
      <alignment horizontal="left" vertical="center" wrapText="1" indent="2"/>
    </xf>
    <xf numFmtId="0" fontId="13" fillId="17" borderId="8" xfId="0" applyFont="1" applyFill="1" applyBorder="1" applyAlignment="1">
      <alignment horizontal="center" vertical="center" wrapText="1"/>
    </xf>
    <xf numFmtId="0" fontId="1" fillId="17" borderId="0" xfId="0" applyFont="1" applyFill="1" applyAlignment="1">
      <alignment horizontal="left" vertical="center" wrapText="1" indent="2"/>
    </xf>
    <xf numFmtId="0" fontId="7" fillId="17" borderId="0" xfId="0" applyFont="1" applyFill="1" applyAlignment="1">
      <alignment horizontal="left" vertical="center" wrapText="1" indent="1"/>
    </xf>
    <xf numFmtId="0" fontId="24" fillId="17" borderId="0" xfId="0" applyFont="1" applyFill="1" applyAlignment="1">
      <alignment horizontal="left" vertical="center" wrapText="1" indent="1"/>
    </xf>
  </cellXfs>
  <cellStyles count="1">
    <cellStyle name="Standard" xfId="0" builtinId="0"/>
  </cellStyles>
  <dxfs count="22">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
      <font>
        <b/>
        <color rgb="FF9C0006"/>
        <name val="Calibri"/>
        <charset val="1"/>
      </font>
    </dxf>
    <dxf>
      <font>
        <b/>
        <color rgb="FF006100"/>
        <name val="Calibri"/>
        <charset val="1"/>
      </font>
    </dxf>
  </dxfs>
  <tableStyles count="0" defaultTableStyle="TableStyleMedium2" defaultPivotStyle="PivotStyleLight16"/>
  <colors>
    <indexedColors>
      <rgbColor rgb="FF000000"/>
      <rgbColor rgb="FFFFFFFF"/>
      <rgbColor rgb="FFFF0000"/>
      <rgbColor rgb="FF00FF00"/>
      <rgbColor rgb="FF0000FF"/>
      <rgbColor rgb="FFFBFBFB"/>
      <rgbColor rgb="FFFF00FF"/>
      <rgbColor rgb="FF00FFFF"/>
      <rgbColor rgb="FF9C0006"/>
      <rgbColor rgb="FF006100"/>
      <rgbColor rgb="FF000080"/>
      <rgbColor rgb="FF548235"/>
      <rgbColor rgb="FF800080"/>
      <rgbColor rgb="FF4F81BD"/>
      <rgbColor rgb="FFBFBFBF"/>
      <rgbColor rgb="FF808080"/>
      <rgbColor rgb="FF93A9CE"/>
      <rgbColor rgb="FFAB4744"/>
      <rgbColor rgb="FFFFF2CC"/>
      <rgbColor rgb="FFDDEBF7"/>
      <rgbColor rgb="FF660066"/>
      <rgbColor rgb="FFDC853E"/>
      <rgbColor rgb="FF4672A8"/>
      <rgbColor rgb="FFD9D9D9"/>
      <rgbColor rgb="FF000080"/>
      <rgbColor rgb="FFFF00FF"/>
      <rgbColor rgb="FFFFFF00"/>
      <rgbColor rgb="FF00FFFF"/>
      <rgbColor rgb="FF800080"/>
      <rgbColor rgb="FF800000"/>
      <rgbColor rgb="FF008080"/>
      <rgbColor rgb="FF0000FF"/>
      <rgbColor rgb="FF00CCFF"/>
      <rgbColor rgb="FFF2F2F2"/>
      <rgbColor rgb="FFC6E0B4"/>
      <rgbColor rgb="FFF8F8F8"/>
      <rgbColor rgb="FFFAFAFA"/>
      <rgbColor rgb="FFD09493"/>
      <rgbColor rgb="FFA6A6A6"/>
      <rgbColor rgb="FFFCE4D6"/>
      <rgbColor rgb="FF2E75B6"/>
      <rgbColor rgb="FF33CCCC"/>
      <rgbColor rgb="FF8AA64F"/>
      <rgbColor rgb="FFFFCC00"/>
      <rgbColor rgb="FFBF8F00"/>
      <rgbColor rgb="FFC65911"/>
      <rgbColor rgb="FF725990"/>
      <rgbColor rgb="FF878787"/>
      <rgbColor rgb="FF003366"/>
      <rgbColor rgb="FF4299B0"/>
      <rgbColor rgb="FF003300"/>
      <rgbColor rgb="FF222222"/>
      <rgbColor rgb="FF993300"/>
      <rgbColor rgb="FF595959"/>
      <rgbColor rgb="FF1F4E78"/>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lang="de-DE" sz="1800" b="1" strike="noStrike" spc="-1">
                <a:solidFill>
                  <a:srgbClr val="000000"/>
                </a:solidFill>
                <a:latin typeface="Calibri"/>
              </a:rPr>
              <a:t>Monatsverlauf</a:t>
            </a:r>
          </a:p>
        </c:rich>
      </c:tx>
      <c:overlay val="0"/>
      <c:spPr>
        <a:noFill/>
        <a:ln w="0">
          <a:noFill/>
        </a:ln>
      </c:spPr>
    </c:title>
    <c:autoTitleDeleted val="0"/>
    <c:plotArea>
      <c:layout/>
      <c:lineChart>
        <c:grouping val="standard"/>
        <c:varyColors val="0"/>
        <c:ser>
          <c:idx val="0"/>
          <c:order val="0"/>
          <c:tx>
            <c:strRef>
              <c:f>Übersicht!$C$29</c:f>
              <c:strCache>
                <c:ptCount val="1"/>
                <c:pt idx="0">
                  <c:v>Vorjahr</c:v>
                </c:pt>
              </c:strCache>
            </c:strRef>
          </c:tx>
          <c:spPr>
            <a:ln w="24120">
              <a:solidFill>
                <a:srgbClr val="A6A6A6"/>
              </a:solidFill>
              <a:round/>
            </a:ln>
          </c:spPr>
          <c:marker>
            <c:symbol val="none"/>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Übersicht!$B$30:$B$41</c:f>
              <c:strCache>
                <c:ptCount val="12"/>
                <c:pt idx="0">
                  <c:v>Jan</c:v>
                </c:pt>
                <c:pt idx="1">
                  <c:v>Feb</c:v>
                </c:pt>
                <c:pt idx="2">
                  <c:v>Mär</c:v>
                </c:pt>
                <c:pt idx="3">
                  <c:v>Apr</c:v>
                </c:pt>
                <c:pt idx="4">
                  <c:v>Mai</c:v>
                </c:pt>
                <c:pt idx="5">
                  <c:v>Jun</c:v>
                </c:pt>
                <c:pt idx="6">
                  <c:v>Jul</c:v>
                </c:pt>
                <c:pt idx="7">
                  <c:v>Aug</c:v>
                </c:pt>
                <c:pt idx="8">
                  <c:v>Sep</c:v>
                </c:pt>
                <c:pt idx="9">
                  <c:v>Okt</c:v>
                </c:pt>
                <c:pt idx="10">
                  <c:v>Nov</c:v>
                </c:pt>
                <c:pt idx="11">
                  <c:v>Dez</c:v>
                </c:pt>
              </c:strCache>
            </c:strRef>
          </c:cat>
          <c:val>
            <c:numRef>
              <c:f>Übersicht!$C$30:$C$41</c:f>
              <c:numCache>
                <c:formatCode>#,##0</c:formatCode>
                <c:ptCount val="12"/>
                <c:pt idx="0">
                  <c:v>733600</c:v>
                </c:pt>
                <c:pt idx="1">
                  <c:v>654600</c:v>
                </c:pt>
                <c:pt idx="2">
                  <c:v>781800</c:v>
                </c:pt>
                <c:pt idx="3">
                  <c:v>805300</c:v>
                </c:pt>
                <c:pt idx="4">
                  <c:v>851500</c:v>
                </c:pt>
                <c:pt idx="5">
                  <c:v>812000</c:v>
                </c:pt>
                <c:pt idx="6">
                  <c:v>696700</c:v>
                </c:pt>
                <c:pt idx="7">
                  <c:v>660000</c:v>
                </c:pt>
                <c:pt idx="8">
                  <c:v>837100</c:v>
                </c:pt>
                <c:pt idx="9">
                  <c:v>894100</c:v>
                </c:pt>
                <c:pt idx="10">
                  <c:v>839400</c:v>
                </c:pt>
                <c:pt idx="11">
                  <c:v>774100</c:v>
                </c:pt>
              </c:numCache>
            </c:numRef>
          </c:val>
          <c:smooth val="0"/>
          <c:extLst>
            <c:ext xmlns:c16="http://schemas.microsoft.com/office/drawing/2014/chart" uri="{C3380CC4-5D6E-409C-BE32-E72D297353CC}">
              <c16:uniqueId val="{00000000-3873-4FE3-A829-B31551BDAA95}"/>
            </c:ext>
          </c:extLst>
        </c:ser>
        <c:ser>
          <c:idx val="1"/>
          <c:order val="1"/>
          <c:tx>
            <c:strRef>
              <c:f>Übersicht!$D$29</c:f>
              <c:strCache>
                <c:ptCount val="1"/>
                <c:pt idx="0">
                  <c:v>Plan</c:v>
                </c:pt>
              </c:strCache>
            </c:strRef>
          </c:tx>
          <c:spPr>
            <a:ln w="24120">
              <a:solidFill>
                <a:srgbClr val="2E75B6"/>
              </a:solidFill>
              <a:round/>
            </a:ln>
          </c:spPr>
          <c:marker>
            <c:symbol val="none"/>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Übersicht!$B$30:$B$41</c:f>
              <c:strCache>
                <c:ptCount val="12"/>
                <c:pt idx="0">
                  <c:v>Jan</c:v>
                </c:pt>
                <c:pt idx="1">
                  <c:v>Feb</c:v>
                </c:pt>
                <c:pt idx="2">
                  <c:v>Mär</c:v>
                </c:pt>
                <c:pt idx="3">
                  <c:v>Apr</c:v>
                </c:pt>
                <c:pt idx="4">
                  <c:v>Mai</c:v>
                </c:pt>
                <c:pt idx="5">
                  <c:v>Jun</c:v>
                </c:pt>
                <c:pt idx="6">
                  <c:v>Jul</c:v>
                </c:pt>
                <c:pt idx="7">
                  <c:v>Aug</c:v>
                </c:pt>
                <c:pt idx="8">
                  <c:v>Sep</c:v>
                </c:pt>
                <c:pt idx="9">
                  <c:v>Okt</c:v>
                </c:pt>
                <c:pt idx="10">
                  <c:v>Nov</c:v>
                </c:pt>
                <c:pt idx="11">
                  <c:v>Dez</c:v>
                </c:pt>
              </c:strCache>
            </c:strRef>
          </c:cat>
          <c:val>
            <c:numRef>
              <c:f>Übersicht!$D$30:$D$41</c:f>
              <c:numCache>
                <c:formatCode>#,##0</c:formatCode>
                <c:ptCount val="12"/>
                <c:pt idx="0">
                  <c:v>789000</c:v>
                </c:pt>
                <c:pt idx="1">
                  <c:v>704700</c:v>
                </c:pt>
                <c:pt idx="2">
                  <c:v>827700</c:v>
                </c:pt>
                <c:pt idx="3">
                  <c:v>875600</c:v>
                </c:pt>
                <c:pt idx="4">
                  <c:v>911900</c:v>
                </c:pt>
                <c:pt idx="5">
                  <c:v>888100</c:v>
                </c:pt>
                <c:pt idx="6">
                  <c:v>745100</c:v>
                </c:pt>
                <c:pt idx="7">
                  <c:v>707000</c:v>
                </c:pt>
                <c:pt idx="8">
                  <c:v>916300</c:v>
                </c:pt>
                <c:pt idx="9">
                  <c:v>952900</c:v>
                </c:pt>
                <c:pt idx="10">
                  <c:v>925300</c:v>
                </c:pt>
                <c:pt idx="11">
                  <c:v>829100</c:v>
                </c:pt>
              </c:numCache>
            </c:numRef>
          </c:val>
          <c:smooth val="0"/>
          <c:extLst>
            <c:ext xmlns:c16="http://schemas.microsoft.com/office/drawing/2014/chart" uri="{C3380CC4-5D6E-409C-BE32-E72D297353CC}">
              <c16:uniqueId val="{00000001-3873-4FE3-A829-B31551BDAA95}"/>
            </c:ext>
          </c:extLst>
        </c:ser>
        <c:ser>
          <c:idx val="2"/>
          <c:order val="2"/>
          <c:tx>
            <c:strRef>
              <c:f>Übersicht!$E$29</c:f>
              <c:strCache>
                <c:ptCount val="1"/>
                <c:pt idx="0">
                  <c:v>Erwartung</c:v>
                </c:pt>
              </c:strCache>
            </c:strRef>
          </c:tx>
          <c:spPr>
            <a:ln w="24120">
              <a:solidFill>
                <a:srgbClr val="548235"/>
              </a:solidFill>
              <a:round/>
            </a:ln>
          </c:spPr>
          <c:marker>
            <c:symbol val="none"/>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Übersicht!$B$30:$B$41</c:f>
              <c:strCache>
                <c:ptCount val="12"/>
                <c:pt idx="0">
                  <c:v>Jan</c:v>
                </c:pt>
                <c:pt idx="1">
                  <c:v>Feb</c:v>
                </c:pt>
                <c:pt idx="2">
                  <c:v>Mär</c:v>
                </c:pt>
                <c:pt idx="3">
                  <c:v>Apr</c:v>
                </c:pt>
                <c:pt idx="4">
                  <c:v>Mai</c:v>
                </c:pt>
                <c:pt idx="5">
                  <c:v>Jun</c:v>
                </c:pt>
                <c:pt idx="6">
                  <c:v>Jul</c:v>
                </c:pt>
                <c:pt idx="7">
                  <c:v>Aug</c:v>
                </c:pt>
                <c:pt idx="8">
                  <c:v>Sep</c:v>
                </c:pt>
                <c:pt idx="9">
                  <c:v>Okt</c:v>
                </c:pt>
                <c:pt idx="10">
                  <c:v>Nov</c:v>
                </c:pt>
                <c:pt idx="11">
                  <c:v>Dez</c:v>
                </c:pt>
              </c:strCache>
            </c:strRef>
          </c:cat>
          <c:val>
            <c:numRef>
              <c:f>Übersicht!$E$30:$E$41</c:f>
              <c:numCache>
                <c:formatCode>#,##0</c:formatCode>
                <c:ptCount val="12"/>
                <c:pt idx="0">
                  <c:v>773900</c:v>
                </c:pt>
                <c:pt idx="1">
                  <c:v>686600</c:v>
                </c:pt>
                <c:pt idx="2">
                  <c:v>822600</c:v>
                </c:pt>
                <c:pt idx="3">
                  <c:v>896100</c:v>
                </c:pt>
                <c:pt idx="4">
                  <c:v>894300</c:v>
                </c:pt>
                <c:pt idx="5">
                  <c:v>881400</c:v>
                </c:pt>
                <c:pt idx="6">
                  <c:v>753100</c:v>
                </c:pt>
                <c:pt idx="7">
                  <c:v>725300</c:v>
                </c:pt>
                <c:pt idx="8">
                  <c:v>927400</c:v>
                </c:pt>
                <c:pt idx="9">
                  <c:v>955200</c:v>
                </c:pt>
                <c:pt idx="10">
                  <c:v>910900</c:v>
                </c:pt>
                <c:pt idx="11">
                  <c:v>834400</c:v>
                </c:pt>
              </c:numCache>
            </c:numRef>
          </c:val>
          <c:smooth val="0"/>
          <c:extLst>
            <c:ext xmlns:c16="http://schemas.microsoft.com/office/drawing/2014/chart" uri="{C3380CC4-5D6E-409C-BE32-E72D297353CC}">
              <c16:uniqueId val="{00000002-3873-4FE3-A829-B31551BDAA95}"/>
            </c:ext>
          </c:extLst>
        </c:ser>
        <c:dLbls>
          <c:showLegendKey val="0"/>
          <c:showVal val="0"/>
          <c:showCatName val="0"/>
          <c:showSerName val="0"/>
          <c:showPercent val="0"/>
          <c:showBubbleSize val="0"/>
        </c:dLbls>
        <c:hiLowLines>
          <c:spPr>
            <a:ln w="0">
              <a:noFill/>
            </a:ln>
          </c:spPr>
        </c:hiLowLines>
        <c:smooth val="0"/>
        <c:axId val="44991667"/>
        <c:axId val="94552060"/>
      </c:lineChart>
      <c:catAx>
        <c:axId val="44991667"/>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94552060"/>
        <c:crosses val="autoZero"/>
        <c:auto val="1"/>
        <c:lblAlgn val="ctr"/>
        <c:lblOffset val="100"/>
        <c:noMultiLvlLbl val="0"/>
      </c:catAx>
      <c:valAx>
        <c:axId val="94552060"/>
        <c:scaling>
          <c:orientation val="minMax"/>
        </c:scaling>
        <c:delete val="0"/>
        <c:axPos val="l"/>
        <c:majorGridlines>
          <c:spPr>
            <a:ln w="9360">
              <a:solidFill>
                <a:srgbClr val="878787"/>
              </a:solidFill>
              <a:round/>
            </a:ln>
          </c:spPr>
        </c:majorGridlines>
        <c:numFmt formatCode="#,##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44991667"/>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sz="1800" b="1" strike="noStrike" spc="-1">
                <a:solidFill>
                  <a:srgbClr val="000000"/>
                </a:solidFill>
                <a:latin typeface="Calibri"/>
              </a:rPr>
              <a:t>Anteil der Positionen (Erwartung)</a:t>
            </a:r>
          </a:p>
        </c:rich>
      </c:tx>
      <c:overlay val="0"/>
      <c:spPr>
        <a:noFill/>
        <a:ln w="0">
          <a:noFill/>
        </a:ln>
      </c:spPr>
    </c:title>
    <c:autoTitleDeleted val="0"/>
    <c:plotArea>
      <c:layout/>
      <c:doughnutChart>
        <c:varyColors val="1"/>
        <c:ser>
          <c:idx val="0"/>
          <c:order val="0"/>
          <c:tx>
            <c:strRef>
              <c:f>Übersicht!$E$16</c:f>
              <c:strCache>
                <c:ptCount val="1"/>
                <c:pt idx="0">
                  <c:v>Erwartung</c:v>
                </c:pt>
              </c:strCache>
            </c:strRef>
          </c:tx>
          <c:spPr>
            <a:solidFill>
              <a:srgbClr val="4F81BD"/>
            </a:solidFill>
            <a:ln w="0">
              <a:noFill/>
            </a:ln>
          </c:spPr>
          <c:dPt>
            <c:idx val="0"/>
            <c:bubble3D val="0"/>
            <c:spPr>
              <a:solidFill>
                <a:srgbClr val="4672A8"/>
              </a:solidFill>
              <a:ln w="0">
                <a:noFill/>
              </a:ln>
            </c:spPr>
            <c:extLst>
              <c:ext xmlns:c16="http://schemas.microsoft.com/office/drawing/2014/chart" uri="{C3380CC4-5D6E-409C-BE32-E72D297353CC}">
                <c16:uniqueId val="{00000001-F5E0-444C-B613-97894838D0AB}"/>
              </c:ext>
            </c:extLst>
          </c:dPt>
          <c:dPt>
            <c:idx val="1"/>
            <c:bubble3D val="0"/>
            <c:spPr>
              <a:solidFill>
                <a:srgbClr val="AB4744"/>
              </a:solidFill>
              <a:ln w="0">
                <a:noFill/>
              </a:ln>
            </c:spPr>
            <c:extLst>
              <c:ext xmlns:c16="http://schemas.microsoft.com/office/drawing/2014/chart" uri="{C3380CC4-5D6E-409C-BE32-E72D297353CC}">
                <c16:uniqueId val="{00000003-F5E0-444C-B613-97894838D0AB}"/>
              </c:ext>
            </c:extLst>
          </c:dPt>
          <c:dPt>
            <c:idx val="2"/>
            <c:bubble3D val="0"/>
            <c:spPr>
              <a:solidFill>
                <a:srgbClr val="8AA64F"/>
              </a:solidFill>
              <a:ln w="0">
                <a:noFill/>
              </a:ln>
            </c:spPr>
            <c:extLst>
              <c:ext xmlns:c16="http://schemas.microsoft.com/office/drawing/2014/chart" uri="{C3380CC4-5D6E-409C-BE32-E72D297353CC}">
                <c16:uniqueId val="{00000005-F5E0-444C-B613-97894838D0AB}"/>
              </c:ext>
            </c:extLst>
          </c:dPt>
          <c:dPt>
            <c:idx val="3"/>
            <c:bubble3D val="0"/>
            <c:spPr>
              <a:solidFill>
                <a:srgbClr val="725990"/>
              </a:solidFill>
              <a:ln w="0">
                <a:noFill/>
              </a:ln>
            </c:spPr>
            <c:extLst>
              <c:ext xmlns:c16="http://schemas.microsoft.com/office/drawing/2014/chart" uri="{C3380CC4-5D6E-409C-BE32-E72D297353CC}">
                <c16:uniqueId val="{00000007-F5E0-444C-B613-97894838D0AB}"/>
              </c:ext>
            </c:extLst>
          </c:dPt>
          <c:dPt>
            <c:idx val="4"/>
            <c:bubble3D val="0"/>
            <c:spPr>
              <a:solidFill>
                <a:srgbClr val="4299B0"/>
              </a:solidFill>
              <a:ln w="0">
                <a:noFill/>
              </a:ln>
            </c:spPr>
            <c:extLst>
              <c:ext xmlns:c16="http://schemas.microsoft.com/office/drawing/2014/chart" uri="{C3380CC4-5D6E-409C-BE32-E72D297353CC}">
                <c16:uniqueId val="{00000009-F5E0-444C-B613-97894838D0AB}"/>
              </c:ext>
            </c:extLst>
          </c:dPt>
          <c:dPt>
            <c:idx val="5"/>
            <c:bubble3D val="0"/>
            <c:spPr>
              <a:solidFill>
                <a:srgbClr val="DC853E"/>
              </a:solidFill>
              <a:ln w="0">
                <a:noFill/>
              </a:ln>
            </c:spPr>
            <c:extLst>
              <c:ext xmlns:c16="http://schemas.microsoft.com/office/drawing/2014/chart" uri="{C3380CC4-5D6E-409C-BE32-E72D297353CC}">
                <c16:uniqueId val="{0000000B-F5E0-444C-B613-97894838D0AB}"/>
              </c:ext>
            </c:extLst>
          </c:dPt>
          <c:dPt>
            <c:idx val="6"/>
            <c:bubble3D val="0"/>
            <c:spPr>
              <a:solidFill>
                <a:srgbClr val="93A9CE"/>
              </a:solidFill>
              <a:ln w="0">
                <a:noFill/>
              </a:ln>
            </c:spPr>
            <c:extLst>
              <c:ext xmlns:c16="http://schemas.microsoft.com/office/drawing/2014/chart" uri="{C3380CC4-5D6E-409C-BE32-E72D297353CC}">
                <c16:uniqueId val="{0000000D-F5E0-444C-B613-97894838D0AB}"/>
              </c:ext>
            </c:extLst>
          </c:dPt>
          <c:dPt>
            <c:idx val="7"/>
            <c:bubble3D val="0"/>
            <c:spPr>
              <a:solidFill>
                <a:srgbClr val="D09493"/>
              </a:solidFill>
              <a:ln w="0">
                <a:noFill/>
              </a:ln>
            </c:spPr>
            <c:extLst>
              <c:ext xmlns:c16="http://schemas.microsoft.com/office/drawing/2014/chart" uri="{C3380CC4-5D6E-409C-BE32-E72D297353CC}">
                <c16:uniqueId val="{0000000F-F5E0-444C-B613-97894838D0AB}"/>
              </c:ext>
            </c:extLst>
          </c:dPt>
          <c:dLbls>
            <c:dLbl>
              <c:idx val="0"/>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extLst>
                <c:ext xmlns:c16="http://schemas.microsoft.com/office/drawing/2014/chart" uri="{C3380CC4-5D6E-409C-BE32-E72D297353CC}">
                  <c16:uniqueId val="{00000001-F5E0-444C-B613-97894838D0AB}"/>
                </c:ext>
              </c:extLst>
            </c:dLbl>
            <c:dLbl>
              <c:idx val="1"/>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extLst>
                <c:ext xmlns:c16="http://schemas.microsoft.com/office/drawing/2014/chart" uri="{C3380CC4-5D6E-409C-BE32-E72D297353CC}">
                  <c16:uniqueId val="{00000003-F5E0-444C-B613-97894838D0AB}"/>
                </c:ext>
              </c:extLst>
            </c:dLbl>
            <c:dLbl>
              <c:idx val="2"/>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extLst>
                <c:ext xmlns:c16="http://schemas.microsoft.com/office/drawing/2014/chart" uri="{C3380CC4-5D6E-409C-BE32-E72D297353CC}">
                  <c16:uniqueId val="{00000005-F5E0-444C-B613-97894838D0AB}"/>
                </c:ext>
              </c:extLst>
            </c:dLbl>
            <c:dLbl>
              <c:idx val="3"/>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extLst>
                <c:ext xmlns:c16="http://schemas.microsoft.com/office/drawing/2014/chart" uri="{C3380CC4-5D6E-409C-BE32-E72D297353CC}">
                  <c16:uniqueId val="{00000007-F5E0-444C-B613-97894838D0AB}"/>
                </c:ext>
              </c:extLst>
            </c:dLbl>
            <c:dLbl>
              <c:idx val="4"/>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extLst>
                <c:ext xmlns:c16="http://schemas.microsoft.com/office/drawing/2014/chart" uri="{C3380CC4-5D6E-409C-BE32-E72D297353CC}">
                  <c16:uniqueId val="{00000009-F5E0-444C-B613-97894838D0AB}"/>
                </c:ext>
              </c:extLst>
            </c:dLbl>
            <c:dLbl>
              <c:idx val="5"/>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extLst>
                <c:ext xmlns:c16="http://schemas.microsoft.com/office/drawing/2014/chart" uri="{C3380CC4-5D6E-409C-BE32-E72D297353CC}">
                  <c16:uniqueId val="{0000000B-F5E0-444C-B613-97894838D0AB}"/>
                </c:ext>
              </c:extLst>
            </c:dLbl>
            <c:dLbl>
              <c:idx val="6"/>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extLst>
                <c:ext xmlns:c16="http://schemas.microsoft.com/office/drawing/2014/chart" uri="{C3380CC4-5D6E-409C-BE32-E72D297353CC}">
                  <c16:uniqueId val="{0000000D-F5E0-444C-B613-97894838D0AB}"/>
                </c:ext>
              </c:extLst>
            </c:dLbl>
            <c:dLbl>
              <c:idx val="7"/>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extLst>
                <c:ext xmlns:c16="http://schemas.microsoft.com/office/drawing/2014/chart" uri="{C3380CC4-5D6E-409C-BE32-E72D297353CC}">
                  <c16:uniqueId val="{0000000F-F5E0-444C-B613-97894838D0AB}"/>
                </c:ext>
              </c:extLst>
            </c:dLbl>
            <c:spPr>
              <a:noFill/>
              <a:ln>
                <a:noFill/>
              </a:ln>
              <a:effectLst/>
            </c:spPr>
            <c:txPr>
              <a:bodyPr wrap="square"/>
              <a:lstStyle/>
              <a:p>
                <a:pPr>
                  <a:defRPr sz="1000" b="0" strike="noStrike" spc="-1">
                    <a:solidFill>
                      <a:srgbClr val="000000"/>
                    </a:solidFill>
                    <a:latin typeface="Calibri"/>
                  </a:defRPr>
                </a:pPr>
                <a:endParaRPr lang="de-DE"/>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cat>
            <c:strRef>
              <c:f>Übersicht!$B$17:$B$24</c:f>
              <c:strCache>
                <c:ptCount val="8"/>
                <c:pt idx="0">
                  <c:v>Position A</c:v>
                </c:pt>
                <c:pt idx="1">
                  <c:v>Position B</c:v>
                </c:pt>
                <c:pt idx="2">
                  <c:v>Position C</c:v>
                </c:pt>
                <c:pt idx="3">
                  <c:v>Position D</c:v>
                </c:pt>
                <c:pt idx="4">
                  <c:v>Position E</c:v>
                </c:pt>
                <c:pt idx="5">
                  <c:v>Position F</c:v>
                </c:pt>
                <c:pt idx="6">
                  <c:v>Position G</c:v>
                </c:pt>
                <c:pt idx="7">
                  <c:v>Position H</c:v>
                </c:pt>
              </c:strCache>
            </c:strRef>
          </c:cat>
          <c:val>
            <c:numRef>
              <c:f>Übersicht!$E$17:$E$24</c:f>
              <c:numCache>
                <c:formatCode>General</c:formatCode>
                <c:ptCount val="8"/>
                <c:pt idx="0">
                  <c:v>2777500</c:v>
                </c:pt>
                <c:pt idx="1">
                  <c:v>2153300</c:v>
                </c:pt>
                <c:pt idx="2">
                  <c:v>1493800</c:v>
                </c:pt>
                <c:pt idx="3">
                  <c:v>1166000</c:v>
                </c:pt>
                <c:pt idx="4">
                  <c:v>925700</c:v>
                </c:pt>
                <c:pt idx="5">
                  <c:v>724100</c:v>
                </c:pt>
                <c:pt idx="6">
                  <c:v>510600</c:v>
                </c:pt>
                <c:pt idx="7">
                  <c:v>310200</c:v>
                </c:pt>
              </c:numCache>
            </c:numRef>
          </c:val>
          <c:extLst>
            <c:ext xmlns:c16="http://schemas.microsoft.com/office/drawing/2014/chart" uri="{C3380CC4-5D6E-409C-BE32-E72D297353CC}">
              <c16:uniqueId val="{00000010-F5E0-444C-B613-97894838D0AB}"/>
            </c:ext>
          </c:extLst>
        </c:ser>
        <c:dLbls>
          <c:showLegendKey val="0"/>
          <c:showVal val="0"/>
          <c:showCatName val="0"/>
          <c:showSerName val="0"/>
          <c:showPercent val="0"/>
          <c:showBubbleSize val="0"/>
          <c:showLeaderLines val="1"/>
        </c:dLbls>
        <c:firstSliceAng val="0"/>
        <c:holeSize val="50"/>
      </c:doughnutChart>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sz="1800" b="1" strike="noStrike" spc="-1">
                <a:solidFill>
                  <a:srgbClr val="000000"/>
                </a:solidFill>
                <a:latin typeface="Calibri"/>
              </a:rPr>
              <a:t>Ranking nach Erwartung</a:t>
            </a:r>
          </a:p>
        </c:rich>
      </c:tx>
      <c:overlay val="0"/>
      <c:spPr>
        <a:noFill/>
        <a:ln w="0">
          <a:noFill/>
        </a:ln>
      </c:spPr>
    </c:title>
    <c:autoTitleDeleted val="0"/>
    <c:plotArea>
      <c:layout/>
      <c:barChart>
        <c:barDir val="bar"/>
        <c:grouping val="clustered"/>
        <c:varyColors val="0"/>
        <c:ser>
          <c:idx val="0"/>
          <c:order val="0"/>
          <c:tx>
            <c:strRef>
              <c:f>Übersicht!$E$16</c:f>
              <c:strCache>
                <c:ptCount val="1"/>
                <c:pt idx="0">
                  <c:v>Erwartung</c:v>
                </c:pt>
              </c:strCache>
            </c:strRef>
          </c:tx>
          <c:spPr>
            <a:solidFill>
              <a:srgbClr val="2E75B6"/>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de-D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Übersicht!$B$17:$B$24</c:f>
              <c:strCache>
                <c:ptCount val="8"/>
                <c:pt idx="0">
                  <c:v>Position A</c:v>
                </c:pt>
                <c:pt idx="1">
                  <c:v>Position B</c:v>
                </c:pt>
                <c:pt idx="2">
                  <c:v>Position C</c:v>
                </c:pt>
                <c:pt idx="3">
                  <c:v>Position D</c:v>
                </c:pt>
                <c:pt idx="4">
                  <c:v>Position E</c:v>
                </c:pt>
                <c:pt idx="5">
                  <c:v>Position F</c:v>
                </c:pt>
                <c:pt idx="6">
                  <c:v>Position G</c:v>
                </c:pt>
                <c:pt idx="7">
                  <c:v>Position H</c:v>
                </c:pt>
              </c:strCache>
            </c:strRef>
          </c:cat>
          <c:val>
            <c:numRef>
              <c:f>Übersicht!$E$17:$E$24</c:f>
              <c:numCache>
                <c:formatCode>General</c:formatCode>
                <c:ptCount val="8"/>
                <c:pt idx="0">
                  <c:v>2777500</c:v>
                </c:pt>
                <c:pt idx="1">
                  <c:v>2153300</c:v>
                </c:pt>
                <c:pt idx="2">
                  <c:v>1493800</c:v>
                </c:pt>
                <c:pt idx="3">
                  <c:v>1166000</c:v>
                </c:pt>
                <c:pt idx="4">
                  <c:v>925700</c:v>
                </c:pt>
                <c:pt idx="5">
                  <c:v>724100</c:v>
                </c:pt>
                <c:pt idx="6">
                  <c:v>510600</c:v>
                </c:pt>
                <c:pt idx="7">
                  <c:v>310200</c:v>
                </c:pt>
              </c:numCache>
            </c:numRef>
          </c:val>
          <c:extLst>
            <c:ext xmlns:c16="http://schemas.microsoft.com/office/drawing/2014/chart" uri="{C3380CC4-5D6E-409C-BE32-E72D297353CC}">
              <c16:uniqueId val="{00000000-A09B-46D6-8249-293713BB08D0}"/>
            </c:ext>
          </c:extLst>
        </c:ser>
        <c:dLbls>
          <c:showLegendKey val="0"/>
          <c:showVal val="0"/>
          <c:showCatName val="0"/>
          <c:showSerName val="0"/>
          <c:showPercent val="0"/>
          <c:showBubbleSize val="0"/>
        </c:dLbls>
        <c:gapWidth val="150"/>
        <c:axId val="47663747"/>
        <c:axId val="70219077"/>
      </c:barChart>
      <c:catAx>
        <c:axId val="47663747"/>
        <c:scaling>
          <c:orientation val="minMax"/>
        </c:scaling>
        <c:delete val="0"/>
        <c:axPos val="l"/>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70219077"/>
        <c:crosses val="autoZero"/>
        <c:auto val="1"/>
        <c:lblAlgn val="ctr"/>
        <c:lblOffset val="100"/>
        <c:noMultiLvlLbl val="0"/>
      </c:catAx>
      <c:valAx>
        <c:axId val="70219077"/>
        <c:scaling>
          <c:orientation val="minMax"/>
        </c:scaling>
        <c:delete val="0"/>
        <c:axPos val="b"/>
        <c:majorGridlines>
          <c:spPr>
            <a:ln w="9360">
              <a:solidFill>
                <a:srgbClr val="878787"/>
              </a:solidFill>
              <a:round/>
            </a:ln>
          </c:spPr>
        </c:majorGridlines>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47663747"/>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27</xdr:row>
      <xdr:rowOff>0</xdr:rowOff>
    </xdr:from>
    <xdr:to>
      <xdr:col>14</xdr:col>
      <xdr:colOff>229320</xdr:colOff>
      <xdr:row>40</xdr:row>
      <xdr:rowOff>144000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42</xdr:row>
      <xdr:rowOff>0</xdr:rowOff>
    </xdr:from>
    <xdr:to>
      <xdr:col>10</xdr:col>
      <xdr:colOff>372240</xdr:colOff>
      <xdr:row>55</xdr:row>
      <xdr:rowOff>31680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50</xdr:row>
      <xdr:rowOff>0</xdr:rowOff>
    </xdr:from>
    <xdr:to>
      <xdr:col>5</xdr:col>
      <xdr:colOff>528840</xdr:colOff>
      <xdr:row>63</xdr:row>
      <xdr:rowOff>42840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0"/>
  <sheetViews>
    <sheetView showGridLines="0" tabSelected="1" zoomScaleNormal="100" workbookViewId="0">
      <pane xSplit="2" ySplit="5" topLeftCell="C6" activePane="bottomRight" state="frozen"/>
      <selection pane="topRight" activeCell="C1" sqref="C1"/>
      <selection pane="bottomLeft" activeCell="A6" sqref="A6"/>
      <selection pane="bottomRight" activeCell="F10" sqref="F10"/>
    </sheetView>
  </sheetViews>
  <sheetFormatPr baseColWidth="10" defaultColWidth="8.7109375" defaultRowHeight="15" x14ac:dyDescent="0.25"/>
  <cols>
    <col min="1" max="1" width="22" customWidth="1"/>
    <col min="2" max="2" width="17" customWidth="1"/>
    <col min="3" max="5" width="11.42578125" customWidth="1"/>
    <col min="6" max="6" width="13" customWidth="1"/>
    <col min="7" max="9" width="11.42578125" customWidth="1"/>
    <col min="10" max="10" width="13" customWidth="1"/>
    <col min="11" max="13" width="11.42578125" customWidth="1"/>
    <col min="14" max="14" width="13" customWidth="1"/>
    <col min="15" max="17" width="11.42578125" customWidth="1"/>
    <col min="18" max="18" width="13" customWidth="1"/>
    <col min="19" max="19" width="15" customWidth="1"/>
  </cols>
  <sheetData>
    <row r="1" spans="1:19" ht="37.5" customHeight="1" x14ac:dyDescent="0.25">
      <c r="A1" s="93" t="str">
        <f>"FORECAST — "&amp;Annahmen!C6</f>
        <v>FORECAST — Forecast 2026</v>
      </c>
      <c r="B1" s="93"/>
      <c r="C1" s="93"/>
      <c r="D1" s="93"/>
      <c r="E1" s="93"/>
      <c r="F1" s="93"/>
      <c r="G1" s="93"/>
      <c r="H1" s="93"/>
      <c r="I1" s="93"/>
      <c r="J1" s="93"/>
      <c r="K1" s="93"/>
      <c r="L1" s="93"/>
      <c r="M1" s="93"/>
      <c r="N1" s="93"/>
      <c r="O1" s="93"/>
      <c r="P1" s="93"/>
      <c r="Q1" s="93"/>
      <c r="R1" s="93"/>
      <c r="S1" s="93"/>
    </row>
    <row r="2" spans="1:19" ht="21.75" customHeight="1" x14ac:dyDescent="0.25">
      <c r="A2" s="13" t="str">
        <f>"Geschäftsjahr: "&amp;Annahmen!C7&amp;"   |   Stichtag: Ende "&amp;CHOOSE(Annahmen!C8,"Januar","Februar","März","April","Mai","Juni","Juli","August","September","Oktober","November","Dezember")&amp;" "&amp;Annahmen!C7</f>
        <v>Geschäftsjahr: 2026   |   Stichtag: Ende Juli 2026</v>
      </c>
      <c r="B2" s="13"/>
      <c r="C2" s="13"/>
      <c r="D2" s="13"/>
      <c r="E2" s="13"/>
      <c r="F2" s="13"/>
      <c r="G2" s="13"/>
      <c r="H2" s="13"/>
      <c r="I2" s="13"/>
      <c r="J2" s="85" t="str">
        <f>"Alle Werte in "&amp;Annahmen!C10&amp;"   |   Letzter Ist-Monat: "&amp;CHOOSE(Annahmen!C8,"Januar","Februar","März","April","Mai","Juni","Juli","August","September","Oktober","November","Dezember")</f>
        <v>Alle Werte in €   |   Letzter Ist-Monat: Juli</v>
      </c>
      <c r="K2" s="85"/>
      <c r="L2" s="85"/>
      <c r="M2" s="85"/>
      <c r="N2" s="85"/>
      <c r="O2" s="85"/>
      <c r="P2" s="85"/>
      <c r="Q2" s="85"/>
      <c r="R2" s="85"/>
      <c r="S2" s="85"/>
    </row>
    <row r="4" spans="1:19" ht="31.5" customHeight="1" x14ac:dyDescent="0.25">
      <c r="A4" s="94" t="s">
        <v>7</v>
      </c>
      <c r="B4" s="94" t="s">
        <v>39</v>
      </c>
      <c r="C4" s="94" t="s">
        <v>20</v>
      </c>
      <c r="D4" s="94" t="s">
        <v>21</v>
      </c>
      <c r="E4" s="94" t="s">
        <v>22</v>
      </c>
      <c r="F4" s="94" t="s">
        <v>34</v>
      </c>
      <c r="G4" s="94" t="s">
        <v>23</v>
      </c>
      <c r="H4" s="94" t="s">
        <v>24</v>
      </c>
      <c r="I4" s="94" t="s">
        <v>25</v>
      </c>
      <c r="J4" s="94" t="s">
        <v>35</v>
      </c>
      <c r="K4" s="94" t="s">
        <v>26</v>
      </c>
      <c r="L4" s="94" t="s">
        <v>27</v>
      </c>
      <c r="M4" s="94" t="s">
        <v>28</v>
      </c>
      <c r="N4" s="94" t="s">
        <v>36</v>
      </c>
      <c r="O4" s="94" t="s">
        <v>29</v>
      </c>
      <c r="P4" s="94" t="s">
        <v>30</v>
      </c>
      <c r="Q4" s="94" t="s">
        <v>31</v>
      </c>
      <c r="R4" s="94" t="s">
        <v>37</v>
      </c>
      <c r="S4" s="94" t="s">
        <v>40</v>
      </c>
    </row>
    <row r="5" spans="1:19" ht="13.5" customHeight="1" x14ac:dyDescent="0.25">
      <c r="C5" s="42">
        <v>1</v>
      </c>
      <c r="D5" s="42">
        <v>2</v>
      </c>
      <c r="E5" s="42">
        <v>3</v>
      </c>
      <c r="F5" s="42" t="s">
        <v>34</v>
      </c>
      <c r="G5" s="42">
        <v>4</v>
      </c>
      <c r="H5" s="42">
        <v>5</v>
      </c>
      <c r="I5" s="42">
        <v>6</v>
      </c>
      <c r="J5" s="42" t="s">
        <v>35</v>
      </c>
      <c r="K5" s="42">
        <v>7</v>
      </c>
      <c r="L5" s="42">
        <v>8</v>
      </c>
      <c r="M5" s="42">
        <v>9</v>
      </c>
      <c r="N5" s="42" t="s">
        <v>36</v>
      </c>
      <c r="O5" s="42">
        <v>10</v>
      </c>
      <c r="P5" s="42">
        <v>11</v>
      </c>
      <c r="Q5" s="42">
        <v>12</v>
      </c>
      <c r="R5" s="42" t="s">
        <v>37</v>
      </c>
      <c r="S5" s="42" t="s">
        <v>41</v>
      </c>
    </row>
    <row r="6" spans="1:19" ht="18" customHeight="1" x14ac:dyDescent="0.25">
      <c r="A6" s="86" t="str">
        <f>Annahmen!C17</f>
        <v>Position A</v>
      </c>
      <c r="B6" s="43" t="s">
        <v>8</v>
      </c>
      <c r="C6" s="44">
        <v>202200</v>
      </c>
      <c r="D6" s="44">
        <v>177700</v>
      </c>
      <c r="E6" s="44">
        <v>219900</v>
      </c>
      <c r="F6" s="45">
        <f>SUM(C6,D6,E6)</f>
        <v>599800</v>
      </c>
      <c r="G6" s="44">
        <v>217800</v>
      </c>
      <c r="H6" s="44">
        <v>239200</v>
      </c>
      <c r="I6" s="44">
        <v>224400</v>
      </c>
      <c r="J6" s="45">
        <f>SUM(G6,H6,I6)</f>
        <v>681400</v>
      </c>
      <c r="K6" s="44">
        <v>186400</v>
      </c>
      <c r="L6" s="44">
        <v>184300</v>
      </c>
      <c r="M6" s="44">
        <v>227300</v>
      </c>
      <c r="N6" s="45">
        <f>SUM(K6,L6,M6)</f>
        <v>598000</v>
      </c>
      <c r="O6" s="44">
        <v>247500</v>
      </c>
      <c r="P6" s="44">
        <v>228100</v>
      </c>
      <c r="Q6" s="44">
        <v>207800</v>
      </c>
      <c r="R6" s="45">
        <f>SUM(O6,P6,Q6)</f>
        <v>683400</v>
      </c>
      <c r="S6" s="46">
        <f>SUM(C6,D6,E6,G6,H6,I6,K6,L6,M6,O6,P6,Q6)</f>
        <v>2562600</v>
      </c>
    </row>
    <row r="7" spans="1:19" ht="18" customHeight="1" x14ac:dyDescent="0.25">
      <c r="A7" s="86"/>
      <c r="B7" s="47" t="s">
        <v>9</v>
      </c>
      <c r="C7" s="48">
        <v>220000</v>
      </c>
      <c r="D7" s="48">
        <v>204800</v>
      </c>
      <c r="E7" s="48">
        <v>224600</v>
      </c>
      <c r="F7" s="49">
        <f>SUM(C7,D7,E7)</f>
        <v>649400</v>
      </c>
      <c r="G7" s="48">
        <v>238200</v>
      </c>
      <c r="H7" s="48">
        <v>259900</v>
      </c>
      <c r="I7" s="48">
        <v>256000</v>
      </c>
      <c r="J7" s="49">
        <f>SUM(G7,H7,I7)</f>
        <v>754100</v>
      </c>
      <c r="K7" s="48">
        <v>211600</v>
      </c>
      <c r="L7" s="48">
        <v>196300</v>
      </c>
      <c r="M7" s="48">
        <v>268900</v>
      </c>
      <c r="N7" s="49">
        <f>SUM(K7,L7,M7)</f>
        <v>676800</v>
      </c>
      <c r="O7" s="48">
        <v>256200</v>
      </c>
      <c r="P7" s="48">
        <v>265900</v>
      </c>
      <c r="Q7" s="48">
        <v>228400</v>
      </c>
      <c r="R7" s="49">
        <f>SUM(O7,P7,Q7)</f>
        <v>750500</v>
      </c>
      <c r="S7" s="50">
        <f>SUM(C7,D7,E7,G7,H7,I7,K7,L7,M7,O7,P7,Q7)</f>
        <v>2830800</v>
      </c>
    </row>
    <row r="8" spans="1:19" ht="18" customHeight="1" x14ac:dyDescent="0.25">
      <c r="A8" s="86"/>
      <c r="B8" s="51" t="s">
        <v>42</v>
      </c>
      <c r="C8" s="52">
        <v>207200</v>
      </c>
      <c r="D8" s="52">
        <v>192000</v>
      </c>
      <c r="E8" s="52">
        <v>217000</v>
      </c>
      <c r="F8" s="53">
        <f>SUM(C8,D8,E8)</f>
        <v>616200</v>
      </c>
      <c r="G8" s="52">
        <v>248300</v>
      </c>
      <c r="H8" s="52">
        <v>246200</v>
      </c>
      <c r="I8" s="52">
        <v>257900</v>
      </c>
      <c r="J8" s="53">
        <f>SUM(G8,H8,I8)</f>
        <v>752400</v>
      </c>
      <c r="K8" s="52">
        <v>215000</v>
      </c>
      <c r="L8" s="52"/>
      <c r="M8" s="52"/>
      <c r="N8" s="53">
        <f>SUM(K8,L8,M8)</f>
        <v>215000</v>
      </c>
      <c r="O8" s="52"/>
      <c r="P8" s="52"/>
      <c r="Q8" s="52"/>
      <c r="R8" s="53">
        <f>SUM(O8,P8,Q8)</f>
        <v>0</v>
      </c>
      <c r="S8" s="54">
        <f>SUM(C8,D8,E8,G8,H8,I8,K8,L8,M8,O8,P8,Q8)</f>
        <v>1583600</v>
      </c>
    </row>
    <row r="9" spans="1:19" ht="18" customHeight="1" x14ac:dyDescent="0.25">
      <c r="A9" s="86"/>
      <c r="B9" s="55" t="s">
        <v>43</v>
      </c>
      <c r="C9" s="56"/>
      <c r="D9" s="56"/>
      <c r="E9" s="56"/>
      <c r="F9" s="57">
        <f>SUM(C9,D9,E9)</f>
        <v>0</v>
      </c>
      <c r="G9" s="56"/>
      <c r="H9" s="56"/>
      <c r="I9" s="56"/>
      <c r="J9" s="57">
        <f>SUM(G9,H9,I9)</f>
        <v>0</v>
      </c>
      <c r="K9" s="56"/>
      <c r="L9" s="56">
        <v>196000</v>
      </c>
      <c r="M9" s="56">
        <v>274600</v>
      </c>
      <c r="N9" s="57">
        <f>SUM(K9,L9,M9)</f>
        <v>470600</v>
      </c>
      <c r="O9" s="56">
        <v>245500</v>
      </c>
      <c r="P9" s="56">
        <v>254700</v>
      </c>
      <c r="Q9" s="56">
        <v>223100</v>
      </c>
      <c r="R9" s="57">
        <f>SUM(O9,P9,Q9)</f>
        <v>723300</v>
      </c>
      <c r="S9" s="58">
        <f>SUM(C9,D9,E9,G9,H9,I9,K9,L9,M9,O9,P9,Q9)</f>
        <v>1193900</v>
      </c>
    </row>
    <row r="10" spans="1:19" ht="18" customHeight="1" x14ac:dyDescent="0.25">
      <c r="A10" s="86"/>
      <c r="B10" s="59" t="s">
        <v>10</v>
      </c>
      <c r="C10" s="60">
        <f>IF(C$5&lt;=Annahmen!$C$8,IFERROR(C8,0),IFERROR(C9,0))</f>
        <v>207200</v>
      </c>
      <c r="D10" s="60">
        <f>IF(D$5&lt;=Annahmen!$C$8,IFERROR(D8,0),IFERROR(D9,0))</f>
        <v>192000</v>
      </c>
      <c r="E10" s="60">
        <f>IF(E$5&lt;=Annahmen!$C$8,IFERROR(E8,0),IFERROR(E9,0))</f>
        <v>217000</v>
      </c>
      <c r="F10" s="60">
        <f>SUM(C10,D10,E10)</f>
        <v>616200</v>
      </c>
      <c r="G10" s="60">
        <f>IF(G$5&lt;=Annahmen!$C$8,IFERROR(G8,0),IFERROR(G9,0))</f>
        <v>248300</v>
      </c>
      <c r="H10" s="60">
        <f>IF(H$5&lt;=Annahmen!$C$8,IFERROR(H8,0),IFERROR(H9,0))</f>
        <v>246200</v>
      </c>
      <c r="I10" s="60">
        <f>IF(I$5&lt;=Annahmen!$C$8,IFERROR(I8,0),IFERROR(I9,0))</f>
        <v>257900</v>
      </c>
      <c r="J10" s="60">
        <f>SUM(G10,H10,I10)</f>
        <v>752400</v>
      </c>
      <c r="K10" s="60">
        <f>IF(K$5&lt;=Annahmen!$C$8,IFERROR(K8,0),IFERROR(K9,0))</f>
        <v>215000</v>
      </c>
      <c r="L10" s="60">
        <f>IF(L$5&lt;=Annahmen!$C$8,IFERROR(L8,0),IFERROR(L9,0))</f>
        <v>196000</v>
      </c>
      <c r="M10" s="60">
        <f>IF(M$5&lt;=Annahmen!$C$8,IFERROR(M8,0),IFERROR(M9,0))</f>
        <v>274600</v>
      </c>
      <c r="N10" s="60">
        <f>SUM(K10,L10,M10)</f>
        <v>685600</v>
      </c>
      <c r="O10" s="60">
        <f>IF(O$5&lt;=Annahmen!$C$8,IFERROR(O8,0),IFERROR(O9,0))</f>
        <v>245500</v>
      </c>
      <c r="P10" s="60">
        <f>IF(P$5&lt;=Annahmen!$C$8,IFERROR(P8,0),IFERROR(P9,0))</f>
        <v>254700</v>
      </c>
      <c r="Q10" s="60">
        <f>IF(Q$5&lt;=Annahmen!$C$8,IFERROR(Q8,0),IFERROR(Q9,0))</f>
        <v>223100</v>
      </c>
      <c r="R10" s="60">
        <f>SUM(O10,P10,Q10)</f>
        <v>723300</v>
      </c>
      <c r="S10" s="60">
        <f>SUM(C10,D10,E10,G10,H10,I10,K10,L10,M10,O10,P10,Q10)</f>
        <v>2777500</v>
      </c>
    </row>
    <row r="11" spans="1:19" ht="18" customHeight="1" x14ac:dyDescent="0.25">
      <c r="A11" s="86"/>
      <c r="B11" s="61" t="s">
        <v>44</v>
      </c>
      <c r="C11" s="62">
        <f t="shared" ref="C11:S11" si="0">IFERROR(C10/C7-1,0)</f>
        <v>-5.8181818181818223E-2</v>
      </c>
      <c r="D11" s="62">
        <f t="shared" si="0"/>
        <v>-6.25E-2</v>
      </c>
      <c r="E11" s="62">
        <f t="shared" si="0"/>
        <v>-3.383793410507574E-2</v>
      </c>
      <c r="F11" s="62">
        <f t="shared" si="0"/>
        <v>-5.1124114567292933E-2</v>
      </c>
      <c r="G11" s="62">
        <f t="shared" si="0"/>
        <v>4.2401343408900116E-2</v>
      </c>
      <c r="H11" s="62">
        <f t="shared" si="0"/>
        <v>-5.2712581762216271E-2</v>
      </c>
      <c r="I11" s="62">
        <f t="shared" si="0"/>
        <v>7.4218749999999112E-3</v>
      </c>
      <c r="J11" s="62">
        <f t="shared" si="0"/>
        <v>-2.2543429253414349E-3</v>
      </c>
      <c r="K11" s="62">
        <f t="shared" si="0"/>
        <v>1.6068052930056753E-2</v>
      </c>
      <c r="L11" s="62">
        <f t="shared" si="0"/>
        <v>-1.5282730514518672E-3</v>
      </c>
      <c r="M11" s="62">
        <f t="shared" si="0"/>
        <v>2.1197471178876937E-2</v>
      </c>
      <c r="N11" s="62">
        <f t="shared" si="0"/>
        <v>1.3002364066193817E-2</v>
      </c>
      <c r="O11" s="62">
        <f t="shared" si="0"/>
        <v>-4.1764246682279516E-2</v>
      </c>
      <c r="P11" s="62">
        <f t="shared" si="0"/>
        <v>-4.2121098157201997E-2</v>
      </c>
      <c r="Q11" s="62">
        <f t="shared" si="0"/>
        <v>-2.3204903677758293E-2</v>
      </c>
      <c r="R11" s="62">
        <f t="shared" si="0"/>
        <v>-3.6242504996668923E-2</v>
      </c>
      <c r="S11" s="63">
        <f t="shared" si="0"/>
        <v>-1.8828599689133863E-2</v>
      </c>
    </row>
    <row r="12" spans="1:19" ht="18" customHeight="1" x14ac:dyDescent="0.25">
      <c r="A12" s="86" t="str">
        <f>Annahmen!C18</f>
        <v>Position B</v>
      </c>
      <c r="B12" s="43" t="s">
        <v>8</v>
      </c>
      <c r="C12" s="44">
        <v>165200</v>
      </c>
      <c r="D12" s="44">
        <v>144200</v>
      </c>
      <c r="E12" s="44">
        <v>167700</v>
      </c>
      <c r="F12" s="45">
        <f>SUM(C12,D12,E12)</f>
        <v>477100</v>
      </c>
      <c r="G12" s="44">
        <v>180900</v>
      </c>
      <c r="H12" s="44">
        <v>187000</v>
      </c>
      <c r="I12" s="44">
        <v>175800</v>
      </c>
      <c r="J12" s="45">
        <f>SUM(G12,H12,I12)</f>
        <v>543700</v>
      </c>
      <c r="K12" s="44">
        <v>158300</v>
      </c>
      <c r="L12" s="44">
        <v>148100</v>
      </c>
      <c r="M12" s="44">
        <v>183100</v>
      </c>
      <c r="N12" s="45">
        <f>SUM(K12,L12,M12)</f>
        <v>489500</v>
      </c>
      <c r="O12" s="44">
        <v>197900</v>
      </c>
      <c r="P12" s="44">
        <v>188400</v>
      </c>
      <c r="Q12" s="44">
        <v>177200</v>
      </c>
      <c r="R12" s="45">
        <f>SUM(O12,P12,Q12)</f>
        <v>563500</v>
      </c>
      <c r="S12" s="46">
        <f>SUM(C12,D12,E12,G12,H12,I12,K12,L12,M12,O12,P12,Q12)</f>
        <v>2073800</v>
      </c>
    </row>
    <row r="13" spans="1:19" ht="18" customHeight="1" x14ac:dyDescent="0.25">
      <c r="A13" s="86"/>
      <c r="B13" s="47" t="s">
        <v>9</v>
      </c>
      <c r="C13" s="48">
        <v>170100</v>
      </c>
      <c r="D13" s="48">
        <v>145600</v>
      </c>
      <c r="E13" s="48">
        <v>183400</v>
      </c>
      <c r="F13" s="49">
        <f>SUM(C13,D13,E13)</f>
        <v>499100</v>
      </c>
      <c r="G13" s="48">
        <v>176700</v>
      </c>
      <c r="H13" s="48">
        <v>190900</v>
      </c>
      <c r="I13" s="48">
        <v>188500</v>
      </c>
      <c r="J13" s="49">
        <f>SUM(G13,H13,I13)</f>
        <v>556100</v>
      </c>
      <c r="K13" s="48">
        <v>152000</v>
      </c>
      <c r="L13" s="48">
        <v>148600</v>
      </c>
      <c r="M13" s="48">
        <v>183600</v>
      </c>
      <c r="N13" s="49">
        <f>SUM(K13,L13,M13)</f>
        <v>484200</v>
      </c>
      <c r="O13" s="48">
        <v>204600</v>
      </c>
      <c r="P13" s="48">
        <v>197600</v>
      </c>
      <c r="Q13" s="48">
        <v>176300</v>
      </c>
      <c r="R13" s="49">
        <f>SUM(O13,P13,Q13)</f>
        <v>578500</v>
      </c>
      <c r="S13" s="50">
        <f>SUM(C13,D13,E13,G13,H13,I13,K13,L13,M13,O13,P13,Q13)</f>
        <v>2117900</v>
      </c>
    </row>
    <row r="14" spans="1:19" ht="18" customHeight="1" x14ac:dyDescent="0.25">
      <c r="A14" s="86"/>
      <c r="B14" s="51" t="s">
        <v>42</v>
      </c>
      <c r="C14" s="52">
        <v>178800</v>
      </c>
      <c r="D14" s="52">
        <v>140800</v>
      </c>
      <c r="E14" s="52">
        <v>187900</v>
      </c>
      <c r="F14" s="53">
        <f>SUM(C14,D14,E14)</f>
        <v>507500</v>
      </c>
      <c r="G14" s="52">
        <v>178300</v>
      </c>
      <c r="H14" s="52">
        <v>192200</v>
      </c>
      <c r="I14" s="52">
        <v>186300</v>
      </c>
      <c r="J14" s="53">
        <f>SUM(G14,H14,I14)</f>
        <v>556800</v>
      </c>
      <c r="K14" s="52">
        <v>159000</v>
      </c>
      <c r="L14" s="52"/>
      <c r="M14" s="52"/>
      <c r="N14" s="53">
        <f>SUM(K14,L14,M14)</f>
        <v>159000</v>
      </c>
      <c r="O14" s="52"/>
      <c r="P14" s="52"/>
      <c r="Q14" s="52"/>
      <c r="R14" s="53">
        <f>SUM(O14,P14,Q14)</f>
        <v>0</v>
      </c>
      <c r="S14" s="54">
        <f>SUM(C14,D14,E14,G14,H14,I14,K14,L14,M14,O14,P14,Q14)</f>
        <v>1223300</v>
      </c>
    </row>
    <row r="15" spans="1:19" ht="18" customHeight="1" x14ac:dyDescent="0.25">
      <c r="A15" s="86"/>
      <c r="B15" s="55" t="s">
        <v>43</v>
      </c>
      <c r="C15" s="56"/>
      <c r="D15" s="56"/>
      <c r="E15" s="56"/>
      <c r="F15" s="57">
        <f>SUM(C15,D15,E15)</f>
        <v>0</v>
      </c>
      <c r="G15" s="56"/>
      <c r="H15" s="56"/>
      <c r="I15" s="56"/>
      <c r="J15" s="57">
        <f>SUM(G15,H15,I15)</f>
        <v>0</v>
      </c>
      <c r="K15" s="56"/>
      <c r="L15" s="56">
        <v>159400</v>
      </c>
      <c r="M15" s="56">
        <v>185700</v>
      </c>
      <c r="N15" s="57">
        <f>SUM(K15,L15,M15)</f>
        <v>345100</v>
      </c>
      <c r="O15" s="56">
        <v>212000</v>
      </c>
      <c r="P15" s="56">
        <v>189300</v>
      </c>
      <c r="Q15" s="56">
        <v>183600</v>
      </c>
      <c r="R15" s="57">
        <f>SUM(O15,P15,Q15)</f>
        <v>584900</v>
      </c>
      <c r="S15" s="58">
        <f>SUM(C15,D15,E15,G15,H15,I15,K15,L15,M15,O15,P15,Q15)</f>
        <v>930000</v>
      </c>
    </row>
    <row r="16" spans="1:19" ht="18" customHeight="1" x14ac:dyDescent="0.25">
      <c r="A16" s="86"/>
      <c r="B16" s="59" t="s">
        <v>10</v>
      </c>
      <c r="C16" s="60">
        <f>IF(C$5&lt;=Annahmen!$C$8,IFERROR(C14,0),IFERROR(C15,0))</f>
        <v>178800</v>
      </c>
      <c r="D16" s="60">
        <f>IF(D$5&lt;=Annahmen!$C$8,IFERROR(D14,0),IFERROR(D15,0))</f>
        <v>140800</v>
      </c>
      <c r="E16" s="60">
        <f>IF(E$5&lt;=Annahmen!$C$8,IFERROR(E14,0),IFERROR(E15,0))</f>
        <v>187900</v>
      </c>
      <c r="F16" s="60">
        <f>SUM(C16,D16,E16)</f>
        <v>507500</v>
      </c>
      <c r="G16" s="60">
        <f>IF(G$5&lt;=Annahmen!$C$8,IFERROR(G14,0),IFERROR(G15,0))</f>
        <v>178300</v>
      </c>
      <c r="H16" s="60">
        <f>IF(H$5&lt;=Annahmen!$C$8,IFERROR(H14,0),IFERROR(H15,0))</f>
        <v>192200</v>
      </c>
      <c r="I16" s="60">
        <f>IF(I$5&lt;=Annahmen!$C$8,IFERROR(I14,0),IFERROR(I15,0))</f>
        <v>186300</v>
      </c>
      <c r="J16" s="60">
        <f>SUM(G16,H16,I16)</f>
        <v>556800</v>
      </c>
      <c r="K16" s="60">
        <f>IF(K$5&lt;=Annahmen!$C$8,IFERROR(K14,0),IFERROR(K15,0))</f>
        <v>159000</v>
      </c>
      <c r="L16" s="60">
        <f>IF(L$5&lt;=Annahmen!$C$8,IFERROR(L14,0),IFERROR(L15,0))</f>
        <v>159400</v>
      </c>
      <c r="M16" s="60">
        <f>IF(M$5&lt;=Annahmen!$C$8,IFERROR(M14,0),IFERROR(M15,0))</f>
        <v>185700</v>
      </c>
      <c r="N16" s="60">
        <f>SUM(K16,L16,M16)</f>
        <v>504100</v>
      </c>
      <c r="O16" s="60">
        <f>IF(O$5&lt;=Annahmen!$C$8,IFERROR(O14,0),IFERROR(O15,0))</f>
        <v>212000</v>
      </c>
      <c r="P16" s="60">
        <f>IF(P$5&lt;=Annahmen!$C$8,IFERROR(P14,0),IFERROR(P15,0))</f>
        <v>189300</v>
      </c>
      <c r="Q16" s="60">
        <f>IF(Q$5&lt;=Annahmen!$C$8,IFERROR(Q14,0),IFERROR(Q15,0))</f>
        <v>183600</v>
      </c>
      <c r="R16" s="60">
        <f>SUM(O16,P16,Q16)</f>
        <v>584900</v>
      </c>
      <c r="S16" s="60">
        <f>SUM(C16,D16,E16,G16,H16,I16,K16,L16,M16,O16,P16,Q16)</f>
        <v>2153300</v>
      </c>
    </row>
    <row r="17" spans="1:19" ht="18" customHeight="1" x14ac:dyDescent="0.25">
      <c r="A17" s="86"/>
      <c r="B17" s="61" t="s">
        <v>44</v>
      </c>
      <c r="C17" s="62">
        <f t="shared" ref="C17:S17" si="1">IFERROR(C16/C13-1,0)</f>
        <v>5.1146384479717755E-2</v>
      </c>
      <c r="D17" s="62">
        <f t="shared" si="1"/>
        <v>-3.2967032967032961E-2</v>
      </c>
      <c r="E17" s="62">
        <f t="shared" si="1"/>
        <v>2.4536532170119862E-2</v>
      </c>
      <c r="F17" s="62">
        <f t="shared" si="1"/>
        <v>1.6830294530154388E-2</v>
      </c>
      <c r="G17" s="62">
        <f t="shared" si="1"/>
        <v>9.0548953027731471E-3</v>
      </c>
      <c r="H17" s="62">
        <f t="shared" si="1"/>
        <v>6.8098480880041112E-3</v>
      </c>
      <c r="I17" s="62">
        <f t="shared" si="1"/>
        <v>-1.1671087533156488E-2</v>
      </c>
      <c r="J17" s="62">
        <f t="shared" si="1"/>
        <v>1.2587664089191986E-3</v>
      </c>
      <c r="K17" s="62">
        <f t="shared" si="1"/>
        <v>4.6052631578947345E-2</v>
      </c>
      <c r="L17" s="62">
        <f t="shared" si="1"/>
        <v>7.2678331090175075E-2</v>
      </c>
      <c r="M17" s="62">
        <f t="shared" si="1"/>
        <v>1.1437908496731986E-2</v>
      </c>
      <c r="N17" s="62">
        <f t="shared" si="1"/>
        <v>4.1098719537381312E-2</v>
      </c>
      <c r="O17" s="62">
        <f t="shared" si="1"/>
        <v>3.6168132942326459E-2</v>
      </c>
      <c r="P17" s="62">
        <f t="shared" si="1"/>
        <v>-4.2004048582996001E-2</v>
      </c>
      <c r="Q17" s="62">
        <f t="shared" si="1"/>
        <v>4.1406693136698758E-2</v>
      </c>
      <c r="R17" s="62">
        <f t="shared" si="1"/>
        <v>1.1063094209161628E-2</v>
      </c>
      <c r="S17" s="63">
        <f t="shared" si="1"/>
        <v>1.6714670192171432E-2</v>
      </c>
    </row>
    <row r="18" spans="1:19" ht="18" customHeight="1" x14ac:dyDescent="0.25">
      <c r="A18" s="86" t="str">
        <f>Annahmen!C19</f>
        <v>Position C</v>
      </c>
      <c r="B18" s="43" t="s">
        <v>8</v>
      </c>
      <c r="C18" s="44">
        <v>108400</v>
      </c>
      <c r="D18" s="44">
        <v>100300</v>
      </c>
      <c r="E18" s="44">
        <v>116100</v>
      </c>
      <c r="F18" s="45">
        <f>SUM(C18,D18,E18)</f>
        <v>324800</v>
      </c>
      <c r="G18" s="44">
        <v>115600</v>
      </c>
      <c r="H18" s="44">
        <v>122300</v>
      </c>
      <c r="I18" s="44">
        <v>120100</v>
      </c>
      <c r="J18" s="45">
        <f>SUM(G18,H18,I18)</f>
        <v>358000</v>
      </c>
      <c r="K18" s="44">
        <v>96400</v>
      </c>
      <c r="L18" s="44">
        <v>95300</v>
      </c>
      <c r="M18" s="44">
        <v>119600</v>
      </c>
      <c r="N18" s="45">
        <f>SUM(K18,L18,M18)</f>
        <v>311300</v>
      </c>
      <c r="O18" s="44">
        <v>124400</v>
      </c>
      <c r="P18" s="44">
        <v>118300</v>
      </c>
      <c r="Q18" s="44">
        <v>115500</v>
      </c>
      <c r="R18" s="45">
        <f>SUM(O18,P18,Q18)</f>
        <v>358200</v>
      </c>
      <c r="S18" s="46">
        <f>SUM(C18,D18,E18,G18,H18,I18,K18,L18,M18,O18,P18,Q18)</f>
        <v>1352300</v>
      </c>
    </row>
    <row r="19" spans="1:19" ht="18" customHeight="1" x14ac:dyDescent="0.25">
      <c r="A19" s="86"/>
      <c r="B19" s="47" t="s">
        <v>9</v>
      </c>
      <c r="C19" s="48">
        <v>114300</v>
      </c>
      <c r="D19" s="48">
        <v>103600</v>
      </c>
      <c r="E19" s="48">
        <v>123600</v>
      </c>
      <c r="F19" s="49">
        <f>SUM(C19,D19,E19)</f>
        <v>341500</v>
      </c>
      <c r="G19" s="48">
        <v>136100</v>
      </c>
      <c r="H19" s="48">
        <v>131700</v>
      </c>
      <c r="I19" s="48">
        <v>130600</v>
      </c>
      <c r="J19" s="49">
        <f>SUM(G19,H19,I19)</f>
        <v>398400</v>
      </c>
      <c r="K19" s="48">
        <v>113100</v>
      </c>
      <c r="L19" s="48">
        <v>110300</v>
      </c>
      <c r="M19" s="48">
        <v>141900</v>
      </c>
      <c r="N19" s="49">
        <f>SUM(K19,L19,M19)</f>
        <v>365300</v>
      </c>
      <c r="O19" s="48">
        <v>149000</v>
      </c>
      <c r="P19" s="48">
        <v>134500</v>
      </c>
      <c r="Q19" s="48">
        <v>123900</v>
      </c>
      <c r="R19" s="49">
        <f>SUM(O19,P19,Q19)</f>
        <v>407400</v>
      </c>
      <c r="S19" s="50">
        <f>SUM(C19,D19,E19,G19,H19,I19,K19,L19,M19,O19,P19,Q19)</f>
        <v>1512600</v>
      </c>
    </row>
    <row r="20" spans="1:19" ht="18" customHeight="1" x14ac:dyDescent="0.25">
      <c r="A20" s="86"/>
      <c r="B20" s="51" t="s">
        <v>42</v>
      </c>
      <c r="C20" s="52">
        <v>111300</v>
      </c>
      <c r="D20" s="52">
        <v>109100</v>
      </c>
      <c r="E20" s="52">
        <v>131500</v>
      </c>
      <c r="F20" s="53">
        <f>SUM(C20,D20,E20)</f>
        <v>351900</v>
      </c>
      <c r="G20" s="52">
        <v>128300</v>
      </c>
      <c r="H20" s="52">
        <v>124600</v>
      </c>
      <c r="I20" s="52">
        <v>124700</v>
      </c>
      <c r="J20" s="53">
        <f>SUM(G20,H20,I20)</f>
        <v>377600</v>
      </c>
      <c r="K20" s="52">
        <v>108000</v>
      </c>
      <c r="L20" s="52"/>
      <c r="M20" s="52"/>
      <c r="N20" s="53">
        <f>SUM(K20,L20,M20)</f>
        <v>108000</v>
      </c>
      <c r="O20" s="52"/>
      <c r="P20" s="52"/>
      <c r="Q20" s="52"/>
      <c r="R20" s="53">
        <f>SUM(O20,P20,Q20)</f>
        <v>0</v>
      </c>
      <c r="S20" s="54">
        <f>SUM(C20,D20,E20,G20,H20,I20,K20,L20,M20,O20,P20,Q20)</f>
        <v>837500</v>
      </c>
    </row>
    <row r="21" spans="1:19" ht="18" customHeight="1" x14ac:dyDescent="0.25">
      <c r="A21" s="86"/>
      <c r="B21" s="55" t="s">
        <v>43</v>
      </c>
      <c r="C21" s="56"/>
      <c r="D21" s="56"/>
      <c r="E21" s="56"/>
      <c r="F21" s="57">
        <f>SUM(C21,D21,E21)</f>
        <v>0</v>
      </c>
      <c r="G21" s="56"/>
      <c r="H21" s="56"/>
      <c r="I21" s="56"/>
      <c r="J21" s="57">
        <f>SUM(G21,H21,I21)</f>
        <v>0</v>
      </c>
      <c r="K21" s="56"/>
      <c r="L21" s="56">
        <v>111700</v>
      </c>
      <c r="M21" s="56">
        <v>145700</v>
      </c>
      <c r="N21" s="57">
        <f>SUM(K21,L21,M21)</f>
        <v>257400</v>
      </c>
      <c r="O21" s="56">
        <v>146600</v>
      </c>
      <c r="P21" s="56">
        <v>127800</v>
      </c>
      <c r="Q21" s="56">
        <v>124500</v>
      </c>
      <c r="R21" s="57">
        <f>SUM(O21,P21,Q21)</f>
        <v>398900</v>
      </c>
      <c r="S21" s="58">
        <f>SUM(C21,D21,E21,G21,H21,I21,K21,L21,M21,O21,P21,Q21)</f>
        <v>656300</v>
      </c>
    </row>
    <row r="22" spans="1:19" ht="18" customHeight="1" x14ac:dyDescent="0.25">
      <c r="A22" s="86"/>
      <c r="B22" s="59" t="s">
        <v>10</v>
      </c>
      <c r="C22" s="60">
        <f>IF(C$5&lt;=Annahmen!$C$8,IFERROR(C20,0),IFERROR(C21,0))</f>
        <v>111300</v>
      </c>
      <c r="D22" s="60">
        <f>IF(D$5&lt;=Annahmen!$C$8,IFERROR(D20,0),IFERROR(D21,0))</f>
        <v>109100</v>
      </c>
      <c r="E22" s="60">
        <f>IF(E$5&lt;=Annahmen!$C$8,IFERROR(E20,0),IFERROR(E21,0))</f>
        <v>131500</v>
      </c>
      <c r="F22" s="60">
        <f>SUM(C22,D22,E22)</f>
        <v>351900</v>
      </c>
      <c r="G22" s="60">
        <f>IF(G$5&lt;=Annahmen!$C$8,IFERROR(G20,0),IFERROR(G21,0))</f>
        <v>128300</v>
      </c>
      <c r="H22" s="60">
        <f>IF(H$5&lt;=Annahmen!$C$8,IFERROR(H20,0),IFERROR(H21,0))</f>
        <v>124600</v>
      </c>
      <c r="I22" s="60">
        <f>IF(I$5&lt;=Annahmen!$C$8,IFERROR(I20,0),IFERROR(I21,0))</f>
        <v>124700</v>
      </c>
      <c r="J22" s="60">
        <f>SUM(G22,H22,I22)</f>
        <v>377600</v>
      </c>
      <c r="K22" s="60">
        <f>IF(K$5&lt;=Annahmen!$C$8,IFERROR(K20,0),IFERROR(K21,0))</f>
        <v>108000</v>
      </c>
      <c r="L22" s="60">
        <f>IF(L$5&lt;=Annahmen!$C$8,IFERROR(L20,0),IFERROR(L21,0))</f>
        <v>111700</v>
      </c>
      <c r="M22" s="60">
        <f>IF(M$5&lt;=Annahmen!$C$8,IFERROR(M20,0),IFERROR(M21,0))</f>
        <v>145700</v>
      </c>
      <c r="N22" s="60">
        <f>SUM(K22,L22,M22)</f>
        <v>365400</v>
      </c>
      <c r="O22" s="60">
        <f>IF(O$5&lt;=Annahmen!$C$8,IFERROR(O20,0),IFERROR(O21,0))</f>
        <v>146600</v>
      </c>
      <c r="P22" s="60">
        <f>IF(P$5&lt;=Annahmen!$C$8,IFERROR(P20,0),IFERROR(P21,0))</f>
        <v>127800</v>
      </c>
      <c r="Q22" s="60">
        <f>IF(Q$5&lt;=Annahmen!$C$8,IFERROR(Q20,0),IFERROR(Q21,0))</f>
        <v>124500</v>
      </c>
      <c r="R22" s="60">
        <f>SUM(O22,P22,Q22)</f>
        <v>398900</v>
      </c>
      <c r="S22" s="60">
        <f>SUM(C22,D22,E22,G22,H22,I22,K22,L22,M22,O22,P22,Q22)</f>
        <v>1493800</v>
      </c>
    </row>
    <row r="23" spans="1:19" ht="18" customHeight="1" x14ac:dyDescent="0.25">
      <c r="A23" s="86"/>
      <c r="B23" s="61" t="s">
        <v>44</v>
      </c>
      <c r="C23" s="62">
        <f t="shared" ref="C23:S23" si="2">IFERROR(C22/C19-1,0)</f>
        <v>-2.6246719160105014E-2</v>
      </c>
      <c r="D23" s="62">
        <f t="shared" si="2"/>
        <v>5.3088803088803038E-2</v>
      </c>
      <c r="E23" s="62">
        <f t="shared" si="2"/>
        <v>6.3915857605177928E-2</v>
      </c>
      <c r="F23" s="62">
        <f t="shared" si="2"/>
        <v>3.0453879941434892E-2</v>
      </c>
      <c r="G23" s="62">
        <f t="shared" si="2"/>
        <v>-5.7310800881704593E-2</v>
      </c>
      <c r="H23" s="62">
        <f t="shared" si="2"/>
        <v>-5.3910402429764637E-2</v>
      </c>
      <c r="I23" s="62">
        <f t="shared" si="2"/>
        <v>-4.5176110260336855E-2</v>
      </c>
      <c r="J23" s="62">
        <f t="shared" si="2"/>
        <v>-5.2208835341365445E-2</v>
      </c>
      <c r="K23" s="62">
        <f t="shared" si="2"/>
        <v>-4.5092838196286511E-2</v>
      </c>
      <c r="L23" s="62">
        <f t="shared" si="2"/>
        <v>1.2692656391659174E-2</v>
      </c>
      <c r="M23" s="62">
        <f t="shared" si="2"/>
        <v>2.6779422128259345E-2</v>
      </c>
      <c r="N23" s="62">
        <f t="shared" si="2"/>
        <v>2.7374760470855186E-4</v>
      </c>
      <c r="O23" s="62">
        <f t="shared" si="2"/>
        <v>-1.6107382550335614E-2</v>
      </c>
      <c r="P23" s="62">
        <f t="shared" si="2"/>
        <v>-4.9814126394052027E-2</v>
      </c>
      <c r="Q23" s="62">
        <f t="shared" si="2"/>
        <v>4.8426150121065881E-3</v>
      </c>
      <c r="R23" s="62">
        <f t="shared" si="2"/>
        <v>-2.0864015709376571E-2</v>
      </c>
      <c r="S23" s="63">
        <f t="shared" si="2"/>
        <v>-1.2428930318656661E-2</v>
      </c>
    </row>
    <row r="24" spans="1:19" ht="18" customHeight="1" x14ac:dyDescent="0.25">
      <c r="A24" s="86" t="str">
        <f>Annahmen!C20</f>
        <v>Position D</v>
      </c>
      <c r="B24" s="43" t="s">
        <v>8</v>
      </c>
      <c r="C24" s="44">
        <v>85900</v>
      </c>
      <c r="D24" s="44">
        <v>78400</v>
      </c>
      <c r="E24" s="44">
        <v>95800</v>
      </c>
      <c r="F24" s="45">
        <f>SUM(C24,D24,E24)</f>
        <v>260100</v>
      </c>
      <c r="G24" s="44">
        <v>98100</v>
      </c>
      <c r="H24" s="44">
        <v>101000</v>
      </c>
      <c r="I24" s="44">
        <v>97400</v>
      </c>
      <c r="J24" s="45">
        <f>SUM(G24,H24,I24)</f>
        <v>296500</v>
      </c>
      <c r="K24" s="44">
        <v>84000</v>
      </c>
      <c r="L24" s="44">
        <v>74400</v>
      </c>
      <c r="M24" s="44">
        <v>104900</v>
      </c>
      <c r="N24" s="45">
        <f>SUM(K24,L24,M24)</f>
        <v>263300</v>
      </c>
      <c r="O24" s="44">
        <v>108400</v>
      </c>
      <c r="P24" s="44">
        <v>104600</v>
      </c>
      <c r="Q24" s="44">
        <v>94400</v>
      </c>
      <c r="R24" s="45">
        <f>SUM(O24,P24,Q24)</f>
        <v>307400</v>
      </c>
      <c r="S24" s="46">
        <f>SUM(C24,D24,E24,G24,H24,I24,K24,L24,M24,O24,P24,Q24)</f>
        <v>1127300</v>
      </c>
    </row>
    <row r="25" spans="1:19" ht="18" customHeight="1" x14ac:dyDescent="0.25">
      <c r="A25" s="86"/>
      <c r="B25" s="47" t="s">
        <v>9</v>
      </c>
      <c r="C25" s="48">
        <v>94000</v>
      </c>
      <c r="D25" s="48">
        <v>84100</v>
      </c>
      <c r="E25" s="48">
        <v>96000</v>
      </c>
      <c r="F25" s="49">
        <f>SUM(C25,D25,E25)</f>
        <v>274100</v>
      </c>
      <c r="G25" s="48">
        <v>106400</v>
      </c>
      <c r="H25" s="48">
        <v>105200</v>
      </c>
      <c r="I25" s="48">
        <v>100500</v>
      </c>
      <c r="J25" s="49">
        <f>SUM(G25,H25,I25)</f>
        <v>312100</v>
      </c>
      <c r="K25" s="48">
        <v>87400</v>
      </c>
      <c r="L25" s="48">
        <v>82100</v>
      </c>
      <c r="M25" s="48">
        <v>108200</v>
      </c>
      <c r="N25" s="49">
        <f>SUM(K25,L25,M25)</f>
        <v>277700</v>
      </c>
      <c r="O25" s="48">
        <v>109900</v>
      </c>
      <c r="P25" s="48">
        <v>104500</v>
      </c>
      <c r="Q25" s="48">
        <v>96500</v>
      </c>
      <c r="R25" s="49">
        <f>SUM(O25,P25,Q25)</f>
        <v>310900</v>
      </c>
      <c r="S25" s="50">
        <f>SUM(C25,D25,E25,G25,H25,I25,K25,L25,M25,O25,P25,Q25)</f>
        <v>1174800</v>
      </c>
    </row>
    <row r="26" spans="1:19" ht="18" customHeight="1" x14ac:dyDescent="0.25">
      <c r="A26" s="86"/>
      <c r="B26" s="51" t="s">
        <v>42</v>
      </c>
      <c r="C26" s="52">
        <v>87900</v>
      </c>
      <c r="D26" s="52">
        <v>82000</v>
      </c>
      <c r="E26" s="52">
        <v>88700</v>
      </c>
      <c r="F26" s="53">
        <f>SUM(C26,D26,E26)</f>
        <v>258600</v>
      </c>
      <c r="G26" s="52">
        <v>111800</v>
      </c>
      <c r="H26" s="52">
        <v>106500</v>
      </c>
      <c r="I26" s="52">
        <v>94700</v>
      </c>
      <c r="J26" s="53">
        <f>SUM(G26,H26,I26)</f>
        <v>313000</v>
      </c>
      <c r="K26" s="52">
        <v>83700</v>
      </c>
      <c r="L26" s="52"/>
      <c r="M26" s="52"/>
      <c r="N26" s="53">
        <f>SUM(K26,L26,M26)</f>
        <v>83700</v>
      </c>
      <c r="O26" s="52"/>
      <c r="P26" s="52"/>
      <c r="Q26" s="52"/>
      <c r="R26" s="53">
        <f>SUM(O26,P26,Q26)</f>
        <v>0</v>
      </c>
      <c r="S26" s="54">
        <f>SUM(C26,D26,E26,G26,H26,I26,K26,L26,M26,O26,P26,Q26)</f>
        <v>655300</v>
      </c>
    </row>
    <row r="27" spans="1:19" ht="18" customHeight="1" x14ac:dyDescent="0.25">
      <c r="A27" s="86"/>
      <c r="B27" s="55" t="s">
        <v>43</v>
      </c>
      <c r="C27" s="56"/>
      <c r="D27" s="56"/>
      <c r="E27" s="56"/>
      <c r="F27" s="57">
        <f>SUM(C27,D27,E27)</f>
        <v>0</v>
      </c>
      <c r="G27" s="56"/>
      <c r="H27" s="56"/>
      <c r="I27" s="56"/>
      <c r="J27" s="57">
        <f>SUM(G27,H27,I27)</f>
        <v>0</v>
      </c>
      <c r="K27" s="56"/>
      <c r="L27" s="56">
        <v>81700</v>
      </c>
      <c r="M27" s="56">
        <v>107900</v>
      </c>
      <c r="N27" s="57">
        <f>SUM(K27,L27,M27)</f>
        <v>189600</v>
      </c>
      <c r="O27" s="56">
        <v>106200</v>
      </c>
      <c r="P27" s="56">
        <v>110800</v>
      </c>
      <c r="Q27" s="56">
        <v>104100</v>
      </c>
      <c r="R27" s="57">
        <f>SUM(O27,P27,Q27)</f>
        <v>321100</v>
      </c>
      <c r="S27" s="58">
        <f>SUM(C27,D27,E27,G27,H27,I27,K27,L27,M27,O27,P27,Q27)</f>
        <v>510700</v>
      </c>
    </row>
    <row r="28" spans="1:19" ht="18" customHeight="1" x14ac:dyDescent="0.25">
      <c r="A28" s="86"/>
      <c r="B28" s="59" t="s">
        <v>10</v>
      </c>
      <c r="C28" s="60">
        <f>IF(C$5&lt;=Annahmen!$C$8,IFERROR(C26,0),IFERROR(C27,0))</f>
        <v>87900</v>
      </c>
      <c r="D28" s="60">
        <f>IF(D$5&lt;=Annahmen!$C$8,IFERROR(D26,0),IFERROR(D27,0))</f>
        <v>82000</v>
      </c>
      <c r="E28" s="60">
        <f>IF(E$5&lt;=Annahmen!$C$8,IFERROR(E26,0),IFERROR(E27,0))</f>
        <v>88700</v>
      </c>
      <c r="F28" s="60">
        <f>SUM(C28,D28,E28)</f>
        <v>258600</v>
      </c>
      <c r="G28" s="60">
        <f>IF(G$5&lt;=Annahmen!$C$8,IFERROR(G26,0),IFERROR(G27,0))</f>
        <v>111800</v>
      </c>
      <c r="H28" s="60">
        <f>IF(H$5&lt;=Annahmen!$C$8,IFERROR(H26,0),IFERROR(H27,0))</f>
        <v>106500</v>
      </c>
      <c r="I28" s="60">
        <f>IF(I$5&lt;=Annahmen!$C$8,IFERROR(I26,0),IFERROR(I27,0))</f>
        <v>94700</v>
      </c>
      <c r="J28" s="60">
        <f>SUM(G28,H28,I28)</f>
        <v>313000</v>
      </c>
      <c r="K28" s="60">
        <f>IF(K$5&lt;=Annahmen!$C$8,IFERROR(K26,0),IFERROR(K27,0))</f>
        <v>83700</v>
      </c>
      <c r="L28" s="60">
        <f>IF(L$5&lt;=Annahmen!$C$8,IFERROR(L26,0),IFERROR(L27,0))</f>
        <v>81700</v>
      </c>
      <c r="M28" s="60">
        <f>IF(M$5&lt;=Annahmen!$C$8,IFERROR(M26,0),IFERROR(M27,0))</f>
        <v>107900</v>
      </c>
      <c r="N28" s="60">
        <f>SUM(K28,L28,M28)</f>
        <v>273300</v>
      </c>
      <c r="O28" s="60">
        <f>IF(O$5&lt;=Annahmen!$C$8,IFERROR(O26,0),IFERROR(O27,0))</f>
        <v>106200</v>
      </c>
      <c r="P28" s="60">
        <f>IF(P$5&lt;=Annahmen!$C$8,IFERROR(P26,0),IFERROR(P27,0))</f>
        <v>110800</v>
      </c>
      <c r="Q28" s="60">
        <f>IF(Q$5&lt;=Annahmen!$C$8,IFERROR(Q26,0),IFERROR(Q27,0))</f>
        <v>104100</v>
      </c>
      <c r="R28" s="60">
        <f>SUM(O28,P28,Q28)</f>
        <v>321100</v>
      </c>
      <c r="S28" s="60">
        <f>SUM(C28,D28,E28,G28,H28,I28,K28,L28,M28,O28,P28,Q28)</f>
        <v>1166000</v>
      </c>
    </row>
    <row r="29" spans="1:19" ht="18" customHeight="1" x14ac:dyDescent="0.25">
      <c r="A29" s="86"/>
      <c r="B29" s="61" t="s">
        <v>44</v>
      </c>
      <c r="C29" s="62">
        <f t="shared" ref="C29:S29" si="3">IFERROR(C28/C25-1,0)</f>
        <v>-6.4893617021276606E-2</v>
      </c>
      <c r="D29" s="62">
        <f t="shared" si="3"/>
        <v>-2.4970273483947647E-2</v>
      </c>
      <c r="E29" s="62">
        <f t="shared" si="3"/>
        <v>-7.6041666666666674E-2</v>
      </c>
      <c r="F29" s="62">
        <f t="shared" si="3"/>
        <v>-5.6548704852243725E-2</v>
      </c>
      <c r="G29" s="62">
        <f t="shared" si="3"/>
        <v>5.0751879699248104E-2</v>
      </c>
      <c r="H29" s="62">
        <f t="shared" si="3"/>
        <v>1.2357414448669113E-2</v>
      </c>
      <c r="I29" s="62">
        <f t="shared" si="3"/>
        <v>-5.7711442786069655E-2</v>
      </c>
      <c r="J29" s="62">
        <f t="shared" si="3"/>
        <v>2.883691124639487E-3</v>
      </c>
      <c r="K29" s="62">
        <f t="shared" si="3"/>
        <v>-4.2334096109839847E-2</v>
      </c>
      <c r="L29" s="62">
        <f t="shared" si="3"/>
        <v>-4.87210718635811E-3</v>
      </c>
      <c r="M29" s="62">
        <f t="shared" si="3"/>
        <v>-2.7726432532347856E-3</v>
      </c>
      <c r="N29" s="62">
        <f t="shared" si="3"/>
        <v>-1.5844436442203791E-2</v>
      </c>
      <c r="O29" s="62">
        <f t="shared" si="3"/>
        <v>-3.3666969972702465E-2</v>
      </c>
      <c r="P29" s="62">
        <f t="shared" si="3"/>
        <v>6.0287081339712945E-2</v>
      </c>
      <c r="Q29" s="62">
        <f t="shared" si="3"/>
        <v>7.8756476683937926E-2</v>
      </c>
      <c r="R29" s="62">
        <f t="shared" si="3"/>
        <v>3.2807976841428221E-2</v>
      </c>
      <c r="S29" s="63">
        <f t="shared" si="3"/>
        <v>-7.4906367041198685E-3</v>
      </c>
    </row>
    <row r="30" spans="1:19" ht="18" customHeight="1" x14ac:dyDescent="0.25">
      <c r="A30" s="86" t="str">
        <f>Annahmen!C21</f>
        <v>Position E</v>
      </c>
      <c r="B30" s="43" t="s">
        <v>8</v>
      </c>
      <c r="C30" s="44">
        <v>67100</v>
      </c>
      <c r="D30" s="44">
        <v>60100</v>
      </c>
      <c r="E30" s="44">
        <v>67900</v>
      </c>
      <c r="F30" s="45">
        <f>SUM(C30,D30,E30)</f>
        <v>195100</v>
      </c>
      <c r="G30" s="44">
        <v>71400</v>
      </c>
      <c r="H30" s="44">
        <v>76700</v>
      </c>
      <c r="I30" s="44">
        <v>72600</v>
      </c>
      <c r="J30" s="45">
        <f>SUM(G30,H30,I30)</f>
        <v>220700</v>
      </c>
      <c r="K30" s="44">
        <v>65800</v>
      </c>
      <c r="L30" s="44">
        <v>58200</v>
      </c>
      <c r="M30" s="44">
        <v>74200</v>
      </c>
      <c r="N30" s="45">
        <f>SUM(K30,L30,M30)</f>
        <v>198200</v>
      </c>
      <c r="O30" s="44">
        <v>85100</v>
      </c>
      <c r="P30" s="44">
        <v>78100</v>
      </c>
      <c r="Q30" s="44">
        <v>68300</v>
      </c>
      <c r="R30" s="45">
        <f>SUM(O30,P30,Q30)</f>
        <v>231500</v>
      </c>
      <c r="S30" s="46">
        <f>SUM(C30,D30,E30,G30,H30,I30,K30,L30,M30,O30,P30,Q30)</f>
        <v>845500</v>
      </c>
    </row>
    <row r="31" spans="1:19" ht="18" customHeight="1" x14ac:dyDescent="0.25">
      <c r="A31" s="86"/>
      <c r="B31" s="47" t="s">
        <v>9</v>
      </c>
      <c r="C31" s="48">
        <v>71600</v>
      </c>
      <c r="D31" s="48">
        <v>60700</v>
      </c>
      <c r="E31" s="48">
        <v>75200</v>
      </c>
      <c r="F31" s="49">
        <f>SUM(C31,D31,E31)</f>
        <v>207500</v>
      </c>
      <c r="G31" s="48">
        <v>82500</v>
      </c>
      <c r="H31" s="48">
        <v>85500</v>
      </c>
      <c r="I31" s="48">
        <v>80300</v>
      </c>
      <c r="J31" s="49">
        <f>SUM(G31,H31,I31)</f>
        <v>248300</v>
      </c>
      <c r="K31" s="48">
        <v>65900</v>
      </c>
      <c r="L31" s="48">
        <v>62900</v>
      </c>
      <c r="M31" s="48">
        <v>79800</v>
      </c>
      <c r="N31" s="49">
        <f>SUM(K31,L31,M31)</f>
        <v>208600</v>
      </c>
      <c r="O31" s="48">
        <v>88600</v>
      </c>
      <c r="P31" s="48">
        <v>82800</v>
      </c>
      <c r="Q31" s="48">
        <v>77100</v>
      </c>
      <c r="R31" s="49">
        <f>SUM(O31,P31,Q31)</f>
        <v>248500</v>
      </c>
      <c r="S31" s="50">
        <f>SUM(C31,D31,E31,G31,H31,I31,K31,L31,M31,O31,P31,Q31)</f>
        <v>912900</v>
      </c>
    </row>
    <row r="32" spans="1:19" ht="18" customHeight="1" x14ac:dyDescent="0.25">
      <c r="A32" s="86"/>
      <c r="B32" s="51" t="s">
        <v>42</v>
      </c>
      <c r="C32" s="52">
        <v>69400</v>
      </c>
      <c r="D32" s="52">
        <v>57900</v>
      </c>
      <c r="E32" s="52">
        <v>78300</v>
      </c>
      <c r="F32" s="53">
        <f>SUM(C32,D32,E32)</f>
        <v>205600</v>
      </c>
      <c r="G32" s="52">
        <v>88100</v>
      </c>
      <c r="H32" s="52">
        <v>89600</v>
      </c>
      <c r="I32" s="52">
        <v>83600</v>
      </c>
      <c r="J32" s="53">
        <f>SUM(G32,H32,I32)</f>
        <v>261300</v>
      </c>
      <c r="K32" s="52">
        <v>68700</v>
      </c>
      <c r="L32" s="52"/>
      <c r="M32" s="52"/>
      <c r="N32" s="53">
        <f>SUM(K32,L32,M32)</f>
        <v>68700</v>
      </c>
      <c r="O32" s="52"/>
      <c r="P32" s="52"/>
      <c r="Q32" s="52"/>
      <c r="R32" s="53">
        <f>SUM(O32,P32,Q32)</f>
        <v>0</v>
      </c>
      <c r="S32" s="54">
        <f>SUM(C32,D32,E32,G32,H32,I32,K32,L32,M32,O32,P32,Q32)</f>
        <v>535600</v>
      </c>
    </row>
    <row r="33" spans="1:19" ht="18" customHeight="1" x14ac:dyDescent="0.25">
      <c r="A33" s="86"/>
      <c r="B33" s="55" t="s">
        <v>43</v>
      </c>
      <c r="C33" s="56"/>
      <c r="D33" s="56"/>
      <c r="E33" s="56"/>
      <c r="F33" s="57">
        <f>SUM(C33,D33,E33)</f>
        <v>0</v>
      </c>
      <c r="G33" s="56"/>
      <c r="H33" s="56"/>
      <c r="I33" s="56"/>
      <c r="J33" s="57">
        <f>SUM(G33,H33,I33)</f>
        <v>0</v>
      </c>
      <c r="K33" s="56"/>
      <c r="L33" s="56">
        <v>65800</v>
      </c>
      <c r="M33" s="56">
        <v>78200</v>
      </c>
      <c r="N33" s="57">
        <f>SUM(K33,L33,M33)</f>
        <v>144000</v>
      </c>
      <c r="O33" s="56">
        <v>90100</v>
      </c>
      <c r="P33" s="56">
        <v>82500</v>
      </c>
      <c r="Q33" s="56">
        <v>73500</v>
      </c>
      <c r="R33" s="57">
        <f>SUM(O33,P33,Q33)</f>
        <v>246100</v>
      </c>
      <c r="S33" s="58">
        <f>SUM(C33,D33,E33,G33,H33,I33,K33,L33,M33,O33,P33,Q33)</f>
        <v>390100</v>
      </c>
    </row>
    <row r="34" spans="1:19" ht="18" customHeight="1" x14ac:dyDescent="0.25">
      <c r="A34" s="86"/>
      <c r="B34" s="59" t="s">
        <v>10</v>
      </c>
      <c r="C34" s="60">
        <f>IF(C$5&lt;=Annahmen!$C$8,IFERROR(C32,0),IFERROR(C33,0))</f>
        <v>69400</v>
      </c>
      <c r="D34" s="60">
        <f>IF(D$5&lt;=Annahmen!$C$8,IFERROR(D32,0),IFERROR(D33,0))</f>
        <v>57900</v>
      </c>
      <c r="E34" s="60">
        <f>IF(E$5&lt;=Annahmen!$C$8,IFERROR(E32,0),IFERROR(E33,0))</f>
        <v>78300</v>
      </c>
      <c r="F34" s="60">
        <f>SUM(C34,D34,E34)</f>
        <v>205600</v>
      </c>
      <c r="G34" s="60">
        <f>IF(G$5&lt;=Annahmen!$C$8,IFERROR(G32,0),IFERROR(G33,0))</f>
        <v>88100</v>
      </c>
      <c r="H34" s="60">
        <f>IF(H$5&lt;=Annahmen!$C$8,IFERROR(H32,0),IFERROR(H33,0))</f>
        <v>89600</v>
      </c>
      <c r="I34" s="60">
        <f>IF(I$5&lt;=Annahmen!$C$8,IFERROR(I32,0),IFERROR(I33,0))</f>
        <v>83600</v>
      </c>
      <c r="J34" s="60">
        <f>SUM(G34,H34,I34)</f>
        <v>261300</v>
      </c>
      <c r="K34" s="60">
        <f>IF(K$5&lt;=Annahmen!$C$8,IFERROR(K32,0),IFERROR(K33,0))</f>
        <v>68700</v>
      </c>
      <c r="L34" s="60">
        <f>IF(L$5&lt;=Annahmen!$C$8,IFERROR(L32,0),IFERROR(L33,0))</f>
        <v>65800</v>
      </c>
      <c r="M34" s="60">
        <f>IF(M$5&lt;=Annahmen!$C$8,IFERROR(M32,0),IFERROR(M33,0))</f>
        <v>78200</v>
      </c>
      <c r="N34" s="60">
        <f>SUM(K34,L34,M34)</f>
        <v>212700</v>
      </c>
      <c r="O34" s="60">
        <f>IF(O$5&lt;=Annahmen!$C$8,IFERROR(O32,0),IFERROR(O33,0))</f>
        <v>90100</v>
      </c>
      <c r="P34" s="60">
        <f>IF(P$5&lt;=Annahmen!$C$8,IFERROR(P32,0),IFERROR(P33,0))</f>
        <v>82500</v>
      </c>
      <c r="Q34" s="60">
        <f>IF(Q$5&lt;=Annahmen!$C$8,IFERROR(Q32,0),IFERROR(Q33,0))</f>
        <v>73500</v>
      </c>
      <c r="R34" s="60">
        <f>SUM(O34,P34,Q34)</f>
        <v>246100</v>
      </c>
      <c r="S34" s="60">
        <f>SUM(C34,D34,E34,G34,H34,I34,K34,L34,M34,O34,P34,Q34)</f>
        <v>925700</v>
      </c>
    </row>
    <row r="35" spans="1:19" ht="18" customHeight="1" x14ac:dyDescent="0.25">
      <c r="A35" s="86"/>
      <c r="B35" s="61" t="s">
        <v>44</v>
      </c>
      <c r="C35" s="62">
        <f t="shared" ref="C35:S35" si="4">IFERROR(C34/C31-1,0)</f>
        <v>-3.0726256983240274E-2</v>
      </c>
      <c r="D35" s="62">
        <f t="shared" si="4"/>
        <v>-4.6128500823723217E-2</v>
      </c>
      <c r="E35" s="62">
        <f t="shared" si="4"/>
        <v>4.1223404255319229E-2</v>
      </c>
      <c r="F35" s="62">
        <f t="shared" si="4"/>
        <v>-9.1566265060241125E-3</v>
      </c>
      <c r="G35" s="62">
        <f t="shared" si="4"/>
        <v>6.7878787878787872E-2</v>
      </c>
      <c r="H35" s="62">
        <f t="shared" si="4"/>
        <v>4.7953216374269081E-2</v>
      </c>
      <c r="I35" s="62">
        <f t="shared" si="4"/>
        <v>4.1095890410958846E-2</v>
      </c>
      <c r="J35" s="62">
        <f t="shared" si="4"/>
        <v>5.2356020942408321E-2</v>
      </c>
      <c r="K35" s="62">
        <f t="shared" si="4"/>
        <v>4.2488619119878557E-2</v>
      </c>
      <c r="L35" s="62">
        <f t="shared" si="4"/>
        <v>4.6104928457869621E-2</v>
      </c>
      <c r="M35" s="62">
        <f t="shared" si="4"/>
        <v>-2.0050125313283207E-2</v>
      </c>
      <c r="N35" s="62">
        <f t="shared" si="4"/>
        <v>1.9654841802492884E-2</v>
      </c>
      <c r="O35" s="62">
        <f t="shared" si="4"/>
        <v>1.6930022573363512E-2</v>
      </c>
      <c r="P35" s="62">
        <f t="shared" si="4"/>
        <v>-3.6231884057971175E-3</v>
      </c>
      <c r="Q35" s="62">
        <f t="shared" si="4"/>
        <v>-4.6692607003890996E-2</v>
      </c>
      <c r="R35" s="62">
        <f t="shared" si="4"/>
        <v>-9.6579476861167191E-3</v>
      </c>
      <c r="S35" s="63">
        <f t="shared" si="4"/>
        <v>1.4021250958484055E-2</v>
      </c>
    </row>
    <row r="36" spans="1:19" ht="18" customHeight="1" x14ac:dyDescent="0.25">
      <c r="A36" s="86" t="str">
        <f>Annahmen!C22</f>
        <v>Position F</v>
      </c>
      <c r="B36" s="43" t="s">
        <v>8</v>
      </c>
      <c r="C36" s="44">
        <v>46800</v>
      </c>
      <c r="D36" s="44">
        <v>42900</v>
      </c>
      <c r="E36" s="44">
        <v>50400</v>
      </c>
      <c r="F36" s="45">
        <f>SUM(C36,D36,E36)</f>
        <v>140100</v>
      </c>
      <c r="G36" s="44">
        <v>55300</v>
      </c>
      <c r="H36" s="44">
        <v>59400</v>
      </c>
      <c r="I36" s="44">
        <v>54000</v>
      </c>
      <c r="J36" s="45">
        <f>SUM(G36,H36,I36)</f>
        <v>168700</v>
      </c>
      <c r="K36" s="44">
        <v>48500</v>
      </c>
      <c r="L36" s="44">
        <v>46100</v>
      </c>
      <c r="M36" s="44">
        <v>59400</v>
      </c>
      <c r="N36" s="45">
        <f>SUM(K36,L36,M36)</f>
        <v>154000</v>
      </c>
      <c r="O36" s="44">
        <v>58600</v>
      </c>
      <c r="P36" s="44">
        <v>55200</v>
      </c>
      <c r="Q36" s="44">
        <v>50300</v>
      </c>
      <c r="R36" s="45">
        <f>SUM(O36,P36,Q36)</f>
        <v>164100</v>
      </c>
      <c r="S36" s="46">
        <f>SUM(C36,D36,E36,G36,H36,I36,K36,L36,M36,O36,P36,Q36)</f>
        <v>626900</v>
      </c>
    </row>
    <row r="37" spans="1:19" ht="18" customHeight="1" x14ac:dyDescent="0.25">
      <c r="A37" s="86"/>
      <c r="B37" s="47" t="s">
        <v>9</v>
      </c>
      <c r="C37" s="48">
        <v>53700</v>
      </c>
      <c r="D37" s="48">
        <v>48100</v>
      </c>
      <c r="E37" s="48">
        <v>59100</v>
      </c>
      <c r="F37" s="49">
        <f>SUM(C37,D37,E37)</f>
        <v>160900</v>
      </c>
      <c r="G37" s="48">
        <v>63700</v>
      </c>
      <c r="H37" s="48">
        <v>66400</v>
      </c>
      <c r="I37" s="48">
        <v>61100</v>
      </c>
      <c r="J37" s="49">
        <f>SUM(G37,H37,I37)</f>
        <v>191200</v>
      </c>
      <c r="K37" s="48">
        <v>53300</v>
      </c>
      <c r="L37" s="48">
        <v>51100</v>
      </c>
      <c r="M37" s="48">
        <v>61500</v>
      </c>
      <c r="N37" s="49">
        <f>SUM(K37,L37,M37)</f>
        <v>165900</v>
      </c>
      <c r="O37" s="48">
        <v>68200</v>
      </c>
      <c r="P37" s="48">
        <v>66800</v>
      </c>
      <c r="Q37" s="48">
        <v>60000</v>
      </c>
      <c r="R37" s="49">
        <f>SUM(O37,P37,Q37)</f>
        <v>195000</v>
      </c>
      <c r="S37" s="50">
        <f>SUM(C37,D37,E37,G37,H37,I37,K37,L37,M37,O37,P37,Q37)</f>
        <v>713000</v>
      </c>
    </row>
    <row r="38" spans="1:19" ht="18" customHeight="1" x14ac:dyDescent="0.25">
      <c r="A38" s="86"/>
      <c r="B38" s="51" t="s">
        <v>42</v>
      </c>
      <c r="C38" s="52">
        <v>55400</v>
      </c>
      <c r="D38" s="52">
        <v>47700</v>
      </c>
      <c r="E38" s="52">
        <v>56000</v>
      </c>
      <c r="F38" s="53">
        <f>SUM(C38,D38,E38)</f>
        <v>159100</v>
      </c>
      <c r="G38" s="52">
        <v>66100</v>
      </c>
      <c r="H38" s="52">
        <v>64400</v>
      </c>
      <c r="I38" s="52">
        <v>63600</v>
      </c>
      <c r="J38" s="53">
        <f>SUM(G38,H38,I38)</f>
        <v>194100</v>
      </c>
      <c r="K38" s="52">
        <v>56800</v>
      </c>
      <c r="L38" s="52"/>
      <c r="M38" s="52"/>
      <c r="N38" s="53">
        <f>SUM(K38,L38,M38)</f>
        <v>56800</v>
      </c>
      <c r="O38" s="52"/>
      <c r="P38" s="52"/>
      <c r="Q38" s="52"/>
      <c r="R38" s="53">
        <f>SUM(O38,P38,Q38)</f>
        <v>0</v>
      </c>
      <c r="S38" s="54">
        <f>SUM(C38,D38,E38,G38,H38,I38,K38,L38,M38,O38,P38,Q38)</f>
        <v>410000</v>
      </c>
    </row>
    <row r="39" spans="1:19" ht="18" customHeight="1" x14ac:dyDescent="0.25">
      <c r="A39" s="86"/>
      <c r="B39" s="55" t="s">
        <v>43</v>
      </c>
      <c r="C39" s="56"/>
      <c r="D39" s="56"/>
      <c r="E39" s="56"/>
      <c r="F39" s="57">
        <f>SUM(C39,D39,E39)</f>
        <v>0</v>
      </c>
      <c r="G39" s="56"/>
      <c r="H39" s="56"/>
      <c r="I39" s="56"/>
      <c r="J39" s="57">
        <f>SUM(G39,H39,I39)</f>
        <v>0</v>
      </c>
      <c r="K39" s="56"/>
      <c r="L39" s="56">
        <v>51200</v>
      </c>
      <c r="M39" s="56">
        <v>61600</v>
      </c>
      <c r="N39" s="57">
        <f>SUM(K39,L39,M39)</f>
        <v>112800</v>
      </c>
      <c r="O39" s="56">
        <v>73200</v>
      </c>
      <c r="P39" s="56">
        <v>69800</v>
      </c>
      <c r="Q39" s="56">
        <v>58300</v>
      </c>
      <c r="R39" s="57">
        <f>SUM(O39,P39,Q39)</f>
        <v>201300</v>
      </c>
      <c r="S39" s="58">
        <f>SUM(C39,D39,E39,G39,H39,I39,K39,L39,M39,O39,P39,Q39)</f>
        <v>314100</v>
      </c>
    </row>
    <row r="40" spans="1:19" ht="18" customHeight="1" x14ac:dyDescent="0.25">
      <c r="A40" s="86"/>
      <c r="B40" s="59" t="s">
        <v>10</v>
      </c>
      <c r="C40" s="60">
        <f>IF(C$5&lt;=Annahmen!$C$8,IFERROR(C38,0),IFERROR(C39,0))</f>
        <v>55400</v>
      </c>
      <c r="D40" s="60">
        <f>IF(D$5&lt;=Annahmen!$C$8,IFERROR(D38,0),IFERROR(D39,0))</f>
        <v>47700</v>
      </c>
      <c r="E40" s="60">
        <f>IF(E$5&lt;=Annahmen!$C$8,IFERROR(E38,0),IFERROR(E39,0))</f>
        <v>56000</v>
      </c>
      <c r="F40" s="60">
        <f>SUM(C40,D40,E40)</f>
        <v>159100</v>
      </c>
      <c r="G40" s="60">
        <f>IF(G$5&lt;=Annahmen!$C$8,IFERROR(G38,0),IFERROR(G39,0))</f>
        <v>66100</v>
      </c>
      <c r="H40" s="60">
        <f>IF(H$5&lt;=Annahmen!$C$8,IFERROR(H38,0),IFERROR(H39,0))</f>
        <v>64400</v>
      </c>
      <c r="I40" s="60">
        <f>IF(I$5&lt;=Annahmen!$C$8,IFERROR(I38,0),IFERROR(I39,0))</f>
        <v>63600</v>
      </c>
      <c r="J40" s="60">
        <f>SUM(G40,H40,I40)</f>
        <v>194100</v>
      </c>
      <c r="K40" s="60">
        <f>IF(K$5&lt;=Annahmen!$C$8,IFERROR(K38,0),IFERROR(K39,0))</f>
        <v>56800</v>
      </c>
      <c r="L40" s="60">
        <f>IF(L$5&lt;=Annahmen!$C$8,IFERROR(L38,0),IFERROR(L39,0))</f>
        <v>51200</v>
      </c>
      <c r="M40" s="60">
        <f>IF(M$5&lt;=Annahmen!$C$8,IFERROR(M38,0),IFERROR(M39,0))</f>
        <v>61600</v>
      </c>
      <c r="N40" s="60">
        <f>SUM(K40,L40,M40)</f>
        <v>169600</v>
      </c>
      <c r="O40" s="60">
        <f>IF(O$5&lt;=Annahmen!$C$8,IFERROR(O38,0),IFERROR(O39,0))</f>
        <v>73200</v>
      </c>
      <c r="P40" s="60">
        <f>IF(P$5&lt;=Annahmen!$C$8,IFERROR(P38,0),IFERROR(P39,0))</f>
        <v>69800</v>
      </c>
      <c r="Q40" s="60">
        <f>IF(Q$5&lt;=Annahmen!$C$8,IFERROR(Q38,0),IFERROR(Q39,0))</f>
        <v>58300</v>
      </c>
      <c r="R40" s="60">
        <f>SUM(O40,P40,Q40)</f>
        <v>201300</v>
      </c>
      <c r="S40" s="60">
        <f>SUM(C40,D40,E40,G40,H40,I40,K40,L40,M40,O40,P40,Q40)</f>
        <v>724100</v>
      </c>
    </row>
    <row r="41" spans="1:19" ht="18" customHeight="1" x14ac:dyDescent="0.25">
      <c r="A41" s="86"/>
      <c r="B41" s="61" t="s">
        <v>44</v>
      </c>
      <c r="C41" s="62">
        <f t="shared" ref="C41:S41" si="5">IFERROR(C40/C37-1,0)</f>
        <v>3.165735567970196E-2</v>
      </c>
      <c r="D41" s="62">
        <f t="shared" si="5"/>
        <v>-8.3160083160083165E-3</v>
      </c>
      <c r="E41" s="62">
        <f t="shared" si="5"/>
        <v>-5.2453468697123529E-2</v>
      </c>
      <c r="F41" s="62">
        <f t="shared" si="5"/>
        <v>-1.1187072715972635E-2</v>
      </c>
      <c r="G41" s="62">
        <f t="shared" si="5"/>
        <v>3.7676609105180559E-2</v>
      </c>
      <c r="H41" s="62">
        <f t="shared" si="5"/>
        <v>-3.0120481927710885E-2</v>
      </c>
      <c r="I41" s="62">
        <f t="shared" si="5"/>
        <v>4.0916530278232388E-2</v>
      </c>
      <c r="J41" s="62">
        <f t="shared" si="5"/>
        <v>1.5167364016736462E-2</v>
      </c>
      <c r="K41" s="62">
        <f t="shared" si="5"/>
        <v>6.5666041275797449E-2</v>
      </c>
      <c r="L41" s="62">
        <f t="shared" si="5"/>
        <v>1.9569471624265589E-3</v>
      </c>
      <c r="M41" s="62">
        <f t="shared" si="5"/>
        <v>1.6260162601626771E-3</v>
      </c>
      <c r="N41" s="62">
        <f t="shared" si="5"/>
        <v>2.2302591922845005E-2</v>
      </c>
      <c r="O41" s="62">
        <f t="shared" si="5"/>
        <v>7.3313782991202281E-2</v>
      </c>
      <c r="P41" s="62">
        <f t="shared" si="5"/>
        <v>4.4910179640718528E-2</v>
      </c>
      <c r="Q41" s="62">
        <f t="shared" si="5"/>
        <v>-2.8333333333333321E-2</v>
      </c>
      <c r="R41" s="62">
        <f t="shared" si="5"/>
        <v>3.2307692307692371E-2</v>
      </c>
      <c r="S41" s="63">
        <f t="shared" si="5"/>
        <v>1.5568022440392681E-2</v>
      </c>
    </row>
    <row r="42" spans="1:19" ht="18" customHeight="1" x14ac:dyDescent="0.25">
      <c r="A42" s="86" t="str">
        <f>Annahmen!C23</f>
        <v>Position G</v>
      </c>
      <c r="B42" s="43" t="s">
        <v>8</v>
      </c>
      <c r="C42" s="44">
        <v>36600</v>
      </c>
      <c r="D42" s="44">
        <v>32800</v>
      </c>
      <c r="E42" s="44">
        <v>41600</v>
      </c>
      <c r="F42" s="45">
        <f>SUM(C42,D42,E42)</f>
        <v>111000</v>
      </c>
      <c r="G42" s="44">
        <v>43300</v>
      </c>
      <c r="H42" s="44">
        <v>42400</v>
      </c>
      <c r="I42" s="44">
        <v>43400</v>
      </c>
      <c r="J42" s="45">
        <f>SUM(G42,H42,I42)</f>
        <v>129100</v>
      </c>
      <c r="K42" s="44">
        <v>37700</v>
      </c>
      <c r="L42" s="44">
        <v>34500</v>
      </c>
      <c r="M42" s="44">
        <v>43300</v>
      </c>
      <c r="N42" s="45">
        <f>SUM(K42,L42,M42)</f>
        <v>115500</v>
      </c>
      <c r="O42" s="44">
        <v>46200</v>
      </c>
      <c r="P42" s="44">
        <v>42400</v>
      </c>
      <c r="Q42" s="44">
        <v>38100</v>
      </c>
      <c r="R42" s="45">
        <f>SUM(O42,P42,Q42)</f>
        <v>126700</v>
      </c>
      <c r="S42" s="46">
        <f>SUM(C42,D42,E42,G42,H42,I42,K42,L42,M42,O42,P42,Q42)</f>
        <v>482300</v>
      </c>
    </row>
    <row r="43" spans="1:19" ht="18" customHeight="1" x14ac:dyDescent="0.25">
      <c r="A43" s="86"/>
      <c r="B43" s="47" t="s">
        <v>9</v>
      </c>
      <c r="C43" s="48">
        <v>41400</v>
      </c>
      <c r="D43" s="48">
        <v>35900</v>
      </c>
      <c r="E43" s="48">
        <v>41800</v>
      </c>
      <c r="F43" s="49">
        <f>SUM(C43,D43,E43)</f>
        <v>119100</v>
      </c>
      <c r="G43" s="48">
        <v>45600</v>
      </c>
      <c r="H43" s="48">
        <v>45500</v>
      </c>
      <c r="I43" s="48">
        <v>45400</v>
      </c>
      <c r="J43" s="49">
        <f>SUM(G43,H43,I43)</f>
        <v>136500</v>
      </c>
      <c r="K43" s="48">
        <v>38700</v>
      </c>
      <c r="L43" s="48">
        <v>34400</v>
      </c>
      <c r="M43" s="48">
        <v>44700</v>
      </c>
      <c r="N43" s="49">
        <f>SUM(K43,L43,M43)</f>
        <v>117800</v>
      </c>
      <c r="O43" s="48">
        <v>46900</v>
      </c>
      <c r="P43" s="48">
        <v>44600</v>
      </c>
      <c r="Q43" s="48">
        <v>42000</v>
      </c>
      <c r="R43" s="49">
        <f>SUM(O43,P43,Q43)</f>
        <v>133500</v>
      </c>
      <c r="S43" s="50">
        <f>SUM(C43,D43,E43,G43,H43,I43,K43,L43,M43,O43,P43,Q43)</f>
        <v>506900</v>
      </c>
    </row>
    <row r="44" spans="1:19" ht="18" customHeight="1" x14ac:dyDescent="0.25">
      <c r="A44" s="86"/>
      <c r="B44" s="51" t="s">
        <v>42</v>
      </c>
      <c r="C44" s="52">
        <v>39700</v>
      </c>
      <c r="D44" s="52">
        <v>35300</v>
      </c>
      <c r="E44" s="52">
        <v>39300</v>
      </c>
      <c r="F44" s="53">
        <f>SUM(C44,D44,E44)</f>
        <v>114300</v>
      </c>
      <c r="G44" s="52">
        <v>48200</v>
      </c>
      <c r="H44" s="52">
        <v>44300</v>
      </c>
      <c r="I44" s="52">
        <v>44900</v>
      </c>
      <c r="J44" s="53">
        <f>SUM(G44,H44,I44)</f>
        <v>137400</v>
      </c>
      <c r="K44" s="52">
        <v>39000</v>
      </c>
      <c r="L44" s="52"/>
      <c r="M44" s="52"/>
      <c r="N44" s="53">
        <f>SUM(K44,L44,M44)</f>
        <v>39000</v>
      </c>
      <c r="O44" s="52"/>
      <c r="P44" s="52"/>
      <c r="Q44" s="52"/>
      <c r="R44" s="53">
        <f>SUM(O44,P44,Q44)</f>
        <v>0</v>
      </c>
      <c r="S44" s="54">
        <f>SUM(C44,D44,E44,G44,H44,I44,K44,L44,M44,O44,P44,Q44)</f>
        <v>290700</v>
      </c>
    </row>
    <row r="45" spans="1:19" ht="18" customHeight="1" x14ac:dyDescent="0.25">
      <c r="A45" s="86"/>
      <c r="B45" s="55" t="s">
        <v>43</v>
      </c>
      <c r="C45" s="56"/>
      <c r="D45" s="56"/>
      <c r="E45" s="56"/>
      <c r="F45" s="57">
        <f>SUM(C45,D45,E45)</f>
        <v>0</v>
      </c>
      <c r="G45" s="56"/>
      <c r="H45" s="56"/>
      <c r="I45" s="56"/>
      <c r="J45" s="57">
        <f>SUM(G45,H45,I45)</f>
        <v>0</v>
      </c>
      <c r="K45" s="56"/>
      <c r="L45" s="56">
        <v>36700</v>
      </c>
      <c r="M45" s="56">
        <v>44900</v>
      </c>
      <c r="N45" s="57">
        <f>SUM(K45,L45,M45)</f>
        <v>81600</v>
      </c>
      <c r="O45" s="56">
        <v>50200</v>
      </c>
      <c r="P45" s="56">
        <v>45300</v>
      </c>
      <c r="Q45" s="56">
        <v>42800</v>
      </c>
      <c r="R45" s="57">
        <f>SUM(O45,P45,Q45)</f>
        <v>138300</v>
      </c>
      <c r="S45" s="58">
        <f>SUM(C45,D45,E45,G45,H45,I45,K45,L45,M45,O45,P45,Q45)</f>
        <v>219900</v>
      </c>
    </row>
    <row r="46" spans="1:19" ht="18" customHeight="1" x14ac:dyDescent="0.25">
      <c r="A46" s="86"/>
      <c r="B46" s="59" t="s">
        <v>10</v>
      </c>
      <c r="C46" s="60">
        <f>IF(C$5&lt;=Annahmen!$C$8,IFERROR(C44,0),IFERROR(C45,0))</f>
        <v>39700</v>
      </c>
      <c r="D46" s="60">
        <f>IF(D$5&lt;=Annahmen!$C$8,IFERROR(D44,0),IFERROR(D45,0))</f>
        <v>35300</v>
      </c>
      <c r="E46" s="60">
        <f>IF(E$5&lt;=Annahmen!$C$8,IFERROR(E44,0),IFERROR(E45,0))</f>
        <v>39300</v>
      </c>
      <c r="F46" s="60">
        <f>SUM(C46,D46,E46)</f>
        <v>114300</v>
      </c>
      <c r="G46" s="60">
        <f>IF(G$5&lt;=Annahmen!$C$8,IFERROR(G44,0),IFERROR(G45,0))</f>
        <v>48200</v>
      </c>
      <c r="H46" s="60">
        <f>IF(H$5&lt;=Annahmen!$C$8,IFERROR(H44,0),IFERROR(H45,0))</f>
        <v>44300</v>
      </c>
      <c r="I46" s="60">
        <f>IF(I$5&lt;=Annahmen!$C$8,IFERROR(I44,0),IFERROR(I45,0))</f>
        <v>44900</v>
      </c>
      <c r="J46" s="60">
        <f>SUM(G46,H46,I46)</f>
        <v>137400</v>
      </c>
      <c r="K46" s="60">
        <f>IF(K$5&lt;=Annahmen!$C$8,IFERROR(K44,0),IFERROR(K45,0))</f>
        <v>39000</v>
      </c>
      <c r="L46" s="60">
        <f>IF(L$5&lt;=Annahmen!$C$8,IFERROR(L44,0),IFERROR(L45,0))</f>
        <v>36700</v>
      </c>
      <c r="M46" s="60">
        <f>IF(M$5&lt;=Annahmen!$C$8,IFERROR(M44,0),IFERROR(M45,0))</f>
        <v>44900</v>
      </c>
      <c r="N46" s="60">
        <f>SUM(K46,L46,M46)</f>
        <v>120600</v>
      </c>
      <c r="O46" s="60">
        <f>IF(O$5&lt;=Annahmen!$C$8,IFERROR(O44,0),IFERROR(O45,0))</f>
        <v>50200</v>
      </c>
      <c r="P46" s="60">
        <f>IF(P$5&lt;=Annahmen!$C$8,IFERROR(P44,0),IFERROR(P45,0))</f>
        <v>45300</v>
      </c>
      <c r="Q46" s="60">
        <f>IF(Q$5&lt;=Annahmen!$C$8,IFERROR(Q44,0),IFERROR(Q45,0))</f>
        <v>42800</v>
      </c>
      <c r="R46" s="60">
        <f>SUM(O46,P46,Q46)</f>
        <v>138300</v>
      </c>
      <c r="S46" s="60">
        <f>SUM(C46,D46,E46,G46,H46,I46,K46,L46,M46,O46,P46,Q46)</f>
        <v>510600</v>
      </c>
    </row>
    <row r="47" spans="1:19" ht="18" customHeight="1" x14ac:dyDescent="0.25">
      <c r="A47" s="86"/>
      <c r="B47" s="61" t="s">
        <v>44</v>
      </c>
      <c r="C47" s="62">
        <f t="shared" ref="C47:S47" si="6">IFERROR(C46/C43-1,0)</f>
        <v>-4.106280193236711E-2</v>
      </c>
      <c r="D47" s="62">
        <f t="shared" si="6"/>
        <v>-1.6713091922005541E-2</v>
      </c>
      <c r="E47" s="62">
        <f t="shared" si="6"/>
        <v>-5.9808612440191422E-2</v>
      </c>
      <c r="F47" s="62">
        <f t="shared" si="6"/>
        <v>-4.0302267002518932E-2</v>
      </c>
      <c r="G47" s="62">
        <f t="shared" si="6"/>
        <v>5.7017543859649189E-2</v>
      </c>
      <c r="H47" s="62">
        <f t="shared" si="6"/>
        <v>-2.6373626373626391E-2</v>
      </c>
      <c r="I47" s="62">
        <f t="shared" si="6"/>
        <v>-1.1013215859030812E-2</v>
      </c>
      <c r="J47" s="62">
        <f t="shared" si="6"/>
        <v>6.59340659340657E-3</v>
      </c>
      <c r="K47" s="62">
        <f t="shared" si="6"/>
        <v>7.7519379844961378E-3</v>
      </c>
      <c r="L47" s="62">
        <f t="shared" si="6"/>
        <v>6.6860465116278966E-2</v>
      </c>
      <c r="M47" s="62">
        <f t="shared" si="6"/>
        <v>4.4742729306488371E-3</v>
      </c>
      <c r="N47" s="62">
        <f t="shared" si="6"/>
        <v>2.3769100169779289E-2</v>
      </c>
      <c r="O47" s="62">
        <f t="shared" si="6"/>
        <v>7.0362473347548082E-2</v>
      </c>
      <c r="P47" s="62">
        <f t="shared" si="6"/>
        <v>1.5695067264573925E-2</v>
      </c>
      <c r="Q47" s="62">
        <f t="shared" si="6"/>
        <v>1.904761904761898E-2</v>
      </c>
      <c r="R47" s="62">
        <f t="shared" si="6"/>
        <v>3.5955056179775235E-2</v>
      </c>
      <c r="S47" s="63">
        <f t="shared" si="6"/>
        <v>7.2992700729928028E-3</v>
      </c>
    </row>
    <row r="48" spans="1:19" ht="18" customHeight="1" x14ac:dyDescent="0.25">
      <c r="A48" s="86" t="str">
        <f>Annahmen!C24</f>
        <v>Position H</v>
      </c>
      <c r="B48" s="43" t="s">
        <v>8</v>
      </c>
      <c r="C48" s="44">
        <v>21400</v>
      </c>
      <c r="D48" s="44">
        <v>18200</v>
      </c>
      <c r="E48" s="44">
        <v>22400</v>
      </c>
      <c r="F48" s="45">
        <f>SUM(C48,D48,E48)</f>
        <v>62000</v>
      </c>
      <c r="G48" s="44">
        <v>22900</v>
      </c>
      <c r="H48" s="44">
        <v>23500</v>
      </c>
      <c r="I48" s="44">
        <v>24300</v>
      </c>
      <c r="J48" s="45">
        <f>SUM(G48,H48,I48)</f>
        <v>70700</v>
      </c>
      <c r="K48" s="44">
        <v>19600</v>
      </c>
      <c r="L48" s="44">
        <v>19100</v>
      </c>
      <c r="M48" s="44">
        <v>25300</v>
      </c>
      <c r="N48" s="45">
        <f>SUM(K48,L48,M48)</f>
        <v>64000</v>
      </c>
      <c r="O48" s="44">
        <v>26000</v>
      </c>
      <c r="P48" s="44">
        <v>24300</v>
      </c>
      <c r="Q48" s="44">
        <v>22500</v>
      </c>
      <c r="R48" s="45">
        <f>SUM(O48,P48,Q48)</f>
        <v>72800</v>
      </c>
      <c r="S48" s="46">
        <f>SUM(C48,D48,E48,G48,H48,I48,K48,L48,M48,O48,P48,Q48)</f>
        <v>269500</v>
      </c>
    </row>
    <row r="49" spans="1:19" ht="18" customHeight="1" x14ac:dyDescent="0.25">
      <c r="A49" s="86"/>
      <c r="B49" s="47" t="s">
        <v>9</v>
      </c>
      <c r="C49" s="48">
        <v>23900</v>
      </c>
      <c r="D49" s="48">
        <v>21900</v>
      </c>
      <c r="E49" s="48">
        <v>24000</v>
      </c>
      <c r="F49" s="49">
        <f>SUM(C49,D49,E49)</f>
        <v>69800</v>
      </c>
      <c r="G49" s="48">
        <v>26400</v>
      </c>
      <c r="H49" s="48">
        <v>26800</v>
      </c>
      <c r="I49" s="48">
        <v>25700</v>
      </c>
      <c r="J49" s="49">
        <f>SUM(G49,H49,I49)</f>
        <v>78900</v>
      </c>
      <c r="K49" s="48">
        <v>23100</v>
      </c>
      <c r="L49" s="48">
        <v>21300</v>
      </c>
      <c r="M49" s="48">
        <v>27700</v>
      </c>
      <c r="N49" s="49">
        <f>SUM(K49,L49,M49)</f>
        <v>72100</v>
      </c>
      <c r="O49" s="48">
        <v>29500</v>
      </c>
      <c r="P49" s="48">
        <v>28600</v>
      </c>
      <c r="Q49" s="48">
        <v>24900</v>
      </c>
      <c r="R49" s="49">
        <f>SUM(O49,P49,Q49)</f>
        <v>83000</v>
      </c>
      <c r="S49" s="50">
        <f>SUM(C49,D49,E49,G49,H49,I49,K49,L49,M49,O49,P49,Q49)</f>
        <v>303800</v>
      </c>
    </row>
    <row r="50" spans="1:19" ht="18" customHeight="1" x14ac:dyDescent="0.25">
      <c r="A50" s="86"/>
      <c r="B50" s="51" t="s">
        <v>42</v>
      </c>
      <c r="C50" s="52">
        <v>24200</v>
      </c>
      <c r="D50" s="52">
        <v>21800</v>
      </c>
      <c r="E50" s="52">
        <v>23900</v>
      </c>
      <c r="F50" s="53">
        <f>SUM(C50,D50,E50)</f>
        <v>69900</v>
      </c>
      <c r="G50" s="52">
        <v>27000</v>
      </c>
      <c r="H50" s="52">
        <v>26500</v>
      </c>
      <c r="I50" s="52">
        <v>25700</v>
      </c>
      <c r="J50" s="53">
        <f>SUM(G50,H50,I50)</f>
        <v>79200</v>
      </c>
      <c r="K50" s="52">
        <v>22900</v>
      </c>
      <c r="L50" s="52"/>
      <c r="M50" s="52"/>
      <c r="N50" s="53">
        <f>SUM(K50,L50,M50)</f>
        <v>22900</v>
      </c>
      <c r="O50" s="52"/>
      <c r="P50" s="52"/>
      <c r="Q50" s="52"/>
      <c r="R50" s="53">
        <f>SUM(O50,P50,Q50)</f>
        <v>0</v>
      </c>
      <c r="S50" s="54">
        <f>SUM(C50,D50,E50,G50,H50,I50,K50,L50,M50,O50,P50,Q50)</f>
        <v>172000</v>
      </c>
    </row>
    <row r="51" spans="1:19" ht="18" customHeight="1" x14ac:dyDescent="0.25">
      <c r="A51" s="86"/>
      <c r="B51" s="55" t="s">
        <v>43</v>
      </c>
      <c r="C51" s="56"/>
      <c r="D51" s="56"/>
      <c r="E51" s="56"/>
      <c r="F51" s="57">
        <f>SUM(C51,D51,E51)</f>
        <v>0</v>
      </c>
      <c r="G51" s="56"/>
      <c r="H51" s="56"/>
      <c r="I51" s="56"/>
      <c r="J51" s="57">
        <f>SUM(G51,H51,I51)</f>
        <v>0</v>
      </c>
      <c r="K51" s="56"/>
      <c r="L51" s="56">
        <v>22800</v>
      </c>
      <c r="M51" s="56">
        <v>28800</v>
      </c>
      <c r="N51" s="57">
        <f>SUM(K51,L51,M51)</f>
        <v>51600</v>
      </c>
      <c r="O51" s="56">
        <v>31400</v>
      </c>
      <c r="P51" s="56">
        <v>30700</v>
      </c>
      <c r="Q51" s="56">
        <v>24500</v>
      </c>
      <c r="R51" s="57">
        <f>SUM(O51,P51,Q51)</f>
        <v>86600</v>
      </c>
      <c r="S51" s="58">
        <f>SUM(C51,D51,E51,G51,H51,I51,K51,L51,M51,O51,P51,Q51)</f>
        <v>138200</v>
      </c>
    </row>
    <row r="52" spans="1:19" ht="18" customHeight="1" x14ac:dyDescent="0.25">
      <c r="A52" s="86"/>
      <c r="B52" s="59" t="s">
        <v>10</v>
      </c>
      <c r="C52" s="60">
        <f>IF(C$5&lt;=Annahmen!$C$8,IFERROR(C50,0),IFERROR(C51,0))</f>
        <v>24200</v>
      </c>
      <c r="D52" s="60">
        <f>IF(D$5&lt;=Annahmen!$C$8,IFERROR(D50,0),IFERROR(D51,0))</f>
        <v>21800</v>
      </c>
      <c r="E52" s="60">
        <f>IF(E$5&lt;=Annahmen!$C$8,IFERROR(E50,0),IFERROR(E51,0))</f>
        <v>23900</v>
      </c>
      <c r="F52" s="60">
        <f>SUM(C52,D52,E52)</f>
        <v>69900</v>
      </c>
      <c r="G52" s="60">
        <f>IF(G$5&lt;=Annahmen!$C$8,IFERROR(G50,0),IFERROR(G51,0))</f>
        <v>27000</v>
      </c>
      <c r="H52" s="60">
        <f>IF(H$5&lt;=Annahmen!$C$8,IFERROR(H50,0),IFERROR(H51,0))</f>
        <v>26500</v>
      </c>
      <c r="I52" s="60">
        <f>IF(I$5&lt;=Annahmen!$C$8,IFERROR(I50,0),IFERROR(I51,0))</f>
        <v>25700</v>
      </c>
      <c r="J52" s="60">
        <f>SUM(G52,H52,I52)</f>
        <v>79200</v>
      </c>
      <c r="K52" s="60">
        <f>IF(K$5&lt;=Annahmen!$C$8,IFERROR(K50,0),IFERROR(K51,0))</f>
        <v>22900</v>
      </c>
      <c r="L52" s="60">
        <f>IF(L$5&lt;=Annahmen!$C$8,IFERROR(L50,0),IFERROR(L51,0))</f>
        <v>22800</v>
      </c>
      <c r="M52" s="60">
        <f>IF(M$5&lt;=Annahmen!$C$8,IFERROR(M50,0),IFERROR(M51,0))</f>
        <v>28800</v>
      </c>
      <c r="N52" s="60">
        <f>SUM(K52,L52,M52)</f>
        <v>74500</v>
      </c>
      <c r="O52" s="60">
        <f>IF(O$5&lt;=Annahmen!$C$8,IFERROR(O50,0),IFERROR(O51,0))</f>
        <v>31400</v>
      </c>
      <c r="P52" s="60">
        <f>IF(P$5&lt;=Annahmen!$C$8,IFERROR(P50,0),IFERROR(P51,0))</f>
        <v>30700</v>
      </c>
      <c r="Q52" s="60">
        <f>IF(Q$5&lt;=Annahmen!$C$8,IFERROR(Q50,0),IFERROR(Q51,0))</f>
        <v>24500</v>
      </c>
      <c r="R52" s="60">
        <f>SUM(O52,P52,Q52)</f>
        <v>86600</v>
      </c>
      <c r="S52" s="60">
        <f>SUM(C52,D52,E52,G52,H52,I52,K52,L52,M52,O52,P52,Q52)</f>
        <v>310200</v>
      </c>
    </row>
    <row r="53" spans="1:19" ht="18" customHeight="1" x14ac:dyDescent="0.25">
      <c r="A53" s="86"/>
      <c r="B53" s="61" t="s">
        <v>44</v>
      </c>
      <c r="C53" s="62">
        <f t="shared" ref="C53:S53" si="7">IFERROR(C52/C49-1,0)</f>
        <v>1.2552301255230214E-2</v>
      </c>
      <c r="D53" s="62">
        <f t="shared" si="7"/>
        <v>-4.5662100456621557E-3</v>
      </c>
      <c r="E53" s="62">
        <f t="shared" si="7"/>
        <v>-4.1666666666666519E-3</v>
      </c>
      <c r="F53" s="62">
        <f t="shared" si="7"/>
        <v>1.4326647564470996E-3</v>
      </c>
      <c r="G53" s="62">
        <f t="shared" si="7"/>
        <v>2.2727272727272707E-2</v>
      </c>
      <c r="H53" s="62">
        <f t="shared" si="7"/>
        <v>-1.1194029850746245E-2</v>
      </c>
      <c r="I53" s="62">
        <f t="shared" si="7"/>
        <v>0</v>
      </c>
      <c r="J53" s="62">
        <f t="shared" si="7"/>
        <v>3.8022813688212143E-3</v>
      </c>
      <c r="K53" s="62">
        <f t="shared" si="7"/>
        <v>-8.6580086580086979E-3</v>
      </c>
      <c r="L53" s="62">
        <f t="shared" si="7"/>
        <v>7.0422535211267512E-2</v>
      </c>
      <c r="M53" s="62">
        <f t="shared" si="7"/>
        <v>3.971119133573997E-2</v>
      </c>
      <c r="N53" s="62">
        <f t="shared" si="7"/>
        <v>3.3287101248266282E-2</v>
      </c>
      <c r="O53" s="62">
        <f t="shared" si="7"/>
        <v>6.4406779661017044E-2</v>
      </c>
      <c r="P53" s="62">
        <f t="shared" si="7"/>
        <v>7.3426573426573327E-2</v>
      </c>
      <c r="Q53" s="62">
        <f t="shared" si="7"/>
        <v>-1.6064257028112428E-2</v>
      </c>
      <c r="R53" s="62">
        <f t="shared" si="7"/>
        <v>4.3373493975903621E-2</v>
      </c>
      <c r="S53" s="63">
        <f t="shared" si="7"/>
        <v>2.1066491112573971E-2</v>
      </c>
    </row>
    <row r="54" spans="1:19" ht="21.75" customHeight="1" x14ac:dyDescent="0.25">
      <c r="A54" s="87" t="s">
        <v>17</v>
      </c>
      <c r="B54" s="25" t="s">
        <v>8</v>
      </c>
      <c r="C54" s="64">
        <f t="shared" ref="C54:S54" si="8">SUM(C6,C12,C18,C24,C30,C36,C42,C48)</f>
        <v>733600</v>
      </c>
      <c r="D54" s="64">
        <f t="shared" si="8"/>
        <v>654600</v>
      </c>
      <c r="E54" s="64">
        <f t="shared" si="8"/>
        <v>781800</v>
      </c>
      <c r="F54" s="64">
        <f t="shared" si="8"/>
        <v>2170000</v>
      </c>
      <c r="G54" s="64">
        <f t="shared" si="8"/>
        <v>805300</v>
      </c>
      <c r="H54" s="64">
        <f t="shared" si="8"/>
        <v>851500</v>
      </c>
      <c r="I54" s="64">
        <f t="shared" si="8"/>
        <v>812000</v>
      </c>
      <c r="J54" s="64">
        <f t="shared" si="8"/>
        <v>2468800</v>
      </c>
      <c r="K54" s="64">
        <f t="shared" si="8"/>
        <v>696700</v>
      </c>
      <c r="L54" s="64">
        <f t="shared" si="8"/>
        <v>660000</v>
      </c>
      <c r="M54" s="64">
        <f t="shared" si="8"/>
        <v>837100</v>
      </c>
      <c r="N54" s="64">
        <f t="shared" si="8"/>
        <v>2193800</v>
      </c>
      <c r="O54" s="64">
        <f t="shared" si="8"/>
        <v>894100</v>
      </c>
      <c r="P54" s="64">
        <f t="shared" si="8"/>
        <v>839400</v>
      </c>
      <c r="Q54" s="64">
        <f t="shared" si="8"/>
        <v>774100</v>
      </c>
      <c r="R54" s="64">
        <f t="shared" si="8"/>
        <v>2507600</v>
      </c>
      <c r="S54" s="64">
        <f t="shared" si="8"/>
        <v>9340200</v>
      </c>
    </row>
    <row r="55" spans="1:19" ht="21.75" customHeight="1" x14ac:dyDescent="0.25">
      <c r="A55" s="87"/>
      <c r="B55" s="25" t="s">
        <v>9</v>
      </c>
      <c r="C55" s="64">
        <f t="shared" ref="C55:S55" si="9">SUM(C7,C13,C19,C25,C31,C37,C43,C49)</f>
        <v>789000</v>
      </c>
      <c r="D55" s="64">
        <f t="shared" si="9"/>
        <v>704700</v>
      </c>
      <c r="E55" s="64">
        <f t="shared" si="9"/>
        <v>827700</v>
      </c>
      <c r="F55" s="64">
        <f t="shared" si="9"/>
        <v>2321400</v>
      </c>
      <c r="G55" s="64">
        <f t="shared" si="9"/>
        <v>875600</v>
      </c>
      <c r="H55" s="64">
        <f t="shared" si="9"/>
        <v>911900</v>
      </c>
      <c r="I55" s="64">
        <f t="shared" si="9"/>
        <v>888100</v>
      </c>
      <c r="J55" s="64">
        <f t="shared" si="9"/>
        <v>2675600</v>
      </c>
      <c r="K55" s="64">
        <f t="shared" si="9"/>
        <v>745100</v>
      </c>
      <c r="L55" s="64">
        <f t="shared" si="9"/>
        <v>707000</v>
      </c>
      <c r="M55" s="64">
        <f t="shared" si="9"/>
        <v>916300</v>
      </c>
      <c r="N55" s="64">
        <f t="shared" si="9"/>
        <v>2368400</v>
      </c>
      <c r="O55" s="64">
        <f t="shared" si="9"/>
        <v>952900</v>
      </c>
      <c r="P55" s="64">
        <f t="shared" si="9"/>
        <v>925300</v>
      </c>
      <c r="Q55" s="64">
        <f t="shared" si="9"/>
        <v>829100</v>
      </c>
      <c r="R55" s="64">
        <f t="shared" si="9"/>
        <v>2707300</v>
      </c>
      <c r="S55" s="64">
        <f t="shared" si="9"/>
        <v>10072700</v>
      </c>
    </row>
    <row r="56" spans="1:19" ht="21.75" customHeight="1" x14ac:dyDescent="0.25">
      <c r="A56" s="87"/>
      <c r="B56" s="25" t="s">
        <v>10</v>
      </c>
      <c r="C56" s="64">
        <f t="shared" ref="C56:S56" si="10">SUM(C10,C16,C22,C28,C34,C40,C46,C52)</f>
        <v>773900</v>
      </c>
      <c r="D56" s="64">
        <f t="shared" si="10"/>
        <v>686600</v>
      </c>
      <c r="E56" s="64">
        <f t="shared" si="10"/>
        <v>822600</v>
      </c>
      <c r="F56" s="64">
        <f t="shared" si="10"/>
        <v>2283100</v>
      </c>
      <c r="G56" s="64">
        <f t="shared" si="10"/>
        <v>896100</v>
      </c>
      <c r="H56" s="64">
        <f t="shared" si="10"/>
        <v>894300</v>
      </c>
      <c r="I56" s="64">
        <f t="shared" si="10"/>
        <v>881400</v>
      </c>
      <c r="J56" s="64">
        <f t="shared" si="10"/>
        <v>2671800</v>
      </c>
      <c r="K56" s="64">
        <f t="shared" si="10"/>
        <v>753100</v>
      </c>
      <c r="L56" s="64">
        <f t="shared" si="10"/>
        <v>725300</v>
      </c>
      <c r="M56" s="64">
        <f t="shared" si="10"/>
        <v>927400</v>
      </c>
      <c r="N56" s="64">
        <f t="shared" si="10"/>
        <v>2405800</v>
      </c>
      <c r="O56" s="64">
        <f t="shared" si="10"/>
        <v>955200</v>
      </c>
      <c r="P56" s="64">
        <f t="shared" si="10"/>
        <v>910900</v>
      </c>
      <c r="Q56" s="64">
        <f t="shared" si="10"/>
        <v>834400</v>
      </c>
      <c r="R56" s="64">
        <f t="shared" si="10"/>
        <v>2700500</v>
      </c>
      <c r="S56" s="64">
        <f t="shared" si="10"/>
        <v>10061200</v>
      </c>
    </row>
    <row r="57" spans="1:19" ht="21.75" customHeight="1" x14ac:dyDescent="0.25">
      <c r="A57" s="87"/>
      <c r="B57" s="40" t="s">
        <v>44</v>
      </c>
      <c r="C57" s="24">
        <f t="shared" ref="C57:S57" si="11">IFERROR(C56/C55-1,0)</f>
        <v>-1.9138149556400474E-2</v>
      </c>
      <c r="D57" s="24">
        <f t="shared" si="11"/>
        <v>-2.5684688519937549E-2</v>
      </c>
      <c r="E57" s="24">
        <f t="shared" si="11"/>
        <v>-6.1616527727437198E-3</v>
      </c>
      <c r="F57" s="24">
        <f t="shared" si="11"/>
        <v>-1.6498664598948887E-2</v>
      </c>
      <c r="G57" s="24">
        <f t="shared" si="11"/>
        <v>2.3412517131110144E-2</v>
      </c>
      <c r="H57" s="24">
        <f t="shared" si="11"/>
        <v>-1.93003618817853E-2</v>
      </c>
      <c r="I57" s="24">
        <f t="shared" si="11"/>
        <v>-7.5441954734827288E-3</v>
      </c>
      <c r="J57" s="24">
        <f t="shared" si="11"/>
        <v>-1.4202421886679861E-3</v>
      </c>
      <c r="K57" s="24">
        <f t="shared" si="11"/>
        <v>1.0736813850489968E-2</v>
      </c>
      <c r="L57" s="24">
        <f t="shared" si="11"/>
        <v>2.5884016973125812E-2</v>
      </c>
      <c r="M57" s="24">
        <f t="shared" si="11"/>
        <v>1.2113936483684418E-2</v>
      </c>
      <c r="N57" s="24">
        <f t="shared" si="11"/>
        <v>1.5791251477790924E-2</v>
      </c>
      <c r="O57" s="24">
        <f t="shared" si="11"/>
        <v>2.4136845419246988E-3</v>
      </c>
      <c r="P57" s="24">
        <f t="shared" si="11"/>
        <v>-1.556252026369831E-2</v>
      </c>
      <c r="Q57" s="24">
        <f t="shared" si="11"/>
        <v>6.3924737667349074E-3</v>
      </c>
      <c r="R57" s="24">
        <f t="shared" si="11"/>
        <v>-2.5117275514350279E-3</v>
      </c>
      <c r="S57" s="24">
        <f t="shared" si="11"/>
        <v>-1.1416998421476254E-3</v>
      </c>
    </row>
    <row r="60" spans="1:19" ht="27.75" customHeight="1" x14ac:dyDescent="0.25">
      <c r="A60" s="88" t="s">
        <v>45</v>
      </c>
      <c r="B60" s="88"/>
      <c r="C60" s="88"/>
      <c r="D60" s="88"/>
      <c r="E60" s="88"/>
      <c r="F60" s="88"/>
      <c r="G60" s="88"/>
      <c r="H60" s="88"/>
      <c r="I60" s="88"/>
      <c r="J60" s="88"/>
      <c r="K60" s="88"/>
      <c r="L60" s="88"/>
      <c r="M60" s="88"/>
      <c r="N60" s="88"/>
      <c r="O60" s="88"/>
      <c r="P60" s="88"/>
      <c r="Q60" s="88"/>
      <c r="R60" s="88"/>
      <c r="S60" s="88"/>
    </row>
  </sheetData>
  <mergeCells count="13">
    <mergeCell ref="A48:A53"/>
    <mergeCell ref="A54:A57"/>
    <mergeCell ref="A60:S60"/>
    <mergeCell ref="A18:A23"/>
    <mergeCell ref="A24:A29"/>
    <mergeCell ref="A30:A35"/>
    <mergeCell ref="A36:A41"/>
    <mergeCell ref="A42:A47"/>
    <mergeCell ref="A1:S1"/>
    <mergeCell ref="A2:I2"/>
    <mergeCell ref="J2:S2"/>
    <mergeCell ref="A6:A11"/>
    <mergeCell ref="A12:A17"/>
  </mergeCells>
  <conditionalFormatting sqref="C11:S11">
    <cfRule type="cellIs" dxfId="17" priority="2" operator="greaterThan">
      <formula>0</formula>
    </cfRule>
    <cfRule type="cellIs" dxfId="16" priority="3" operator="lessThan">
      <formula>0</formula>
    </cfRule>
  </conditionalFormatting>
  <conditionalFormatting sqref="C17:S17">
    <cfRule type="cellIs" dxfId="15" priority="4" operator="greaterThan">
      <formula>0</formula>
    </cfRule>
    <cfRule type="cellIs" dxfId="14" priority="5" operator="lessThan">
      <formula>0</formula>
    </cfRule>
  </conditionalFormatting>
  <conditionalFormatting sqref="C23:S23">
    <cfRule type="cellIs" dxfId="13" priority="6" operator="greaterThan">
      <formula>0</formula>
    </cfRule>
    <cfRule type="cellIs" dxfId="12" priority="7" operator="lessThan">
      <formula>0</formula>
    </cfRule>
  </conditionalFormatting>
  <conditionalFormatting sqref="C29:S29">
    <cfRule type="cellIs" dxfId="11" priority="8" operator="greaterThan">
      <formula>0</formula>
    </cfRule>
    <cfRule type="cellIs" dxfId="10" priority="9" operator="lessThan">
      <formula>0</formula>
    </cfRule>
  </conditionalFormatting>
  <conditionalFormatting sqref="C35:S35">
    <cfRule type="cellIs" dxfId="9" priority="10" operator="greaterThan">
      <formula>0</formula>
    </cfRule>
    <cfRule type="cellIs" dxfId="8" priority="11" operator="lessThan">
      <formula>0</formula>
    </cfRule>
  </conditionalFormatting>
  <conditionalFormatting sqref="C41:S41">
    <cfRule type="cellIs" dxfId="7" priority="12" operator="greaterThan">
      <formula>0</formula>
    </cfRule>
    <cfRule type="cellIs" dxfId="6" priority="13" operator="lessThan">
      <formula>0</formula>
    </cfRule>
  </conditionalFormatting>
  <conditionalFormatting sqref="C47:S47">
    <cfRule type="cellIs" dxfId="5" priority="14" operator="greaterThan">
      <formula>0</formula>
    </cfRule>
    <cfRule type="cellIs" dxfId="4" priority="15" operator="lessThan">
      <formula>0</formula>
    </cfRule>
  </conditionalFormatting>
  <conditionalFormatting sqref="C53:S53">
    <cfRule type="cellIs" dxfId="3" priority="16" operator="greaterThan">
      <formula>0</formula>
    </cfRule>
    <cfRule type="cellIs" dxfId="2" priority="17" operator="lessThan">
      <formula>0</formula>
    </cfRule>
  </conditionalFormatting>
  <conditionalFormatting sqref="C57:S57">
    <cfRule type="cellIs" dxfId="1" priority="18" operator="greaterThan">
      <formula>0</formula>
    </cfRule>
    <cfRule type="cellIs" dxfId="0" priority="19" operator="lessThan">
      <formula>0</formula>
    </cfRule>
  </conditionalFormatting>
  <printOptions horizontalCentered="1"/>
  <pageMargins left="0.75" right="0.75" top="1" bottom="1" header="0.511811023622047" footer="0.511811023622047"/>
  <pageSetup paperSize="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69"/>
  <sheetViews>
    <sheetView showGridLines="0" zoomScaleNormal="100" workbookViewId="0">
      <selection activeCell="B15" sqref="B15:L15"/>
    </sheetView>
  </sheetViews>
  <sheetFormatPr baseColWidth="10" defaultColWidth="8.7109375" defaultRowHeight="15" x14ac:dyDescent="0.25"/>
  <cols>
    <col min="1" max="1" width="2" customWidth="1"/>
    <col min="2" max="2" width="22" customWidth="1"/>
    <col min="3" max="7" width="14" customWidth="1"/>
    <col min="8" max="8" width="16" customWidth="1"/>
    <col min="9" max="9" width="12" customWidth="1"/>
    <col min="10" max="10" width="14" customWidth="1"/>
    <col min="11" max="12" width="11" customWidth="1"/>
    <col min="13" max="13" width="2" customWidth="1"/>
  </cols>
  <sheetData>
    <row r="2" spans="2:12" ht="43.5" customHeight="1" x14ac:dyDescent="0.25">
      <c r="B2" s="95" t="str">
        <f>Annahmen!C6&amp;"   |   Geschäftsjahr "&amp;Annahmen!C7</f>
        <v>Forecast 2026   |   Geschäftsjahr 2026</v>
      </c>
      <c r="C2" s="95"/>
      <c r="D2" s="95"/>
      <c r="E2" s="95"/>
      <c r="F2" s="95"/>
      <c r="G2" s="95"/>
      <c r="H2" s="95"/>
      <c r="I2" s="95"/>
      <c r="J2" s="95"/>
      <c r="K2" s="95"/>
      <c r="L2" s="95"/>
    </row>
    <row r="3" spans="2:12" ht="21.75" customHeight="1" x14ac:dyDescent="0.25">
      <c r="B3" s="13" t="str">
        <f ca="1">"Stichtag: Ende "&amp;CHOOSE(Annahmen!C8,"Januar","Februar","März","April","Mai","Juni","Juli","August","September","Oktober","November","Dezember")&amp;" "&amp;Annahmen!C7&amp;"   |   Verantwortlich: "&amp;Annahmen!C12&amp;"   |   Stand: "&amp;TEXT(Annahmen!C11,"DD.MM.YYYY")</f>
        <v>Stichtag: Ende Juli 2026   |   Verantwortlich: Abteilung Controlling   |   Stand: 31.05.YYYY</v>
      </c>
      <c r="C3" s="13"/>
      <c r="D3" s="13"/>
      <c r="E3" s="13"/>
      <c r="F3" s="13"/>
      <c r="G3" s="13"/>
      <c r="H3" s="13"/>
      <c r="I3" s="13"/>
      <c r="J3" s="13"/>
      <c r="K3" s="13"/>
      <c r="L3" s="13"/>
    </row>
    <row r="5" spans="2:12" ht="21.75" customHeight="1" x14ac:dyDescent="0.25">
      <c r="B5" s="12" t="s">
        <v>0</v>
      </c>
      <c r="C5" s="12"/>
      <c r="D5" s="12"/>
      <c r="F5" s="11" t="s">
        <v>1</v>
      </c>
      <c r="G5" s="11"/>
      <c r="H5" s="11"/>
      <c r="J5" s="10" t="s">
        <v>2</v>
      </c>
      <c r="K5" s="10"/>
      <c r="L5" s="10"/>
    </row>
    <row r="6" spans="2:12" ht="39.75" customHeight="1" x14ac:dyDescent="0.25">
      <c r="B6" s="9">
        <f>Forecast!S55</f>
        <v>10072700</v>
      </c>
      <c r="C6" s="9"/>
      <c r="D6" s="9"/>
      <c r="F6" s="9">
        <f>Forecast!S56</f>
        <v>10061200</v>
      </c>
      <c r="G6" s="9"/>
      <c r="H6" s="9"/>
      <c r="J6" s="9">
        <f>Forecast!S56-Forecast!S55</f>
        <v>-11500</v>
      </c>
      <c r="K6" s="9"/>
      <c r="L6" s="9"/>
    </row>
    <row r="7" spans="2:12" ht="18" customHeight="1" x14ac:dyDescent="0.25">
      <c r="B7" s="8" t="str">
        <f>"Geplante Werte (Budget) in "&amp;Annahmen!C10</f>
        <v>Geplante Werte (Budget) in €</v>
      </c>
      <c r="C7" s="8"/>
      <c r="D7" s="8"/>
      <c r="F7" s="8" t="str">
        <f>"Ist bis Stichtag + Forecast danach"</f>
        <v>Ist bis Stichtag + Forecast danach</v>
      </c>
      <c r="G7" s="8"/>
      <c r="H7" s="8"/>
      <c r="J7" s="8" t="str">
        <f>"Erwartung – Plan"</f>
        <v>Erwartung – Plan</v>
      </c>
      <c r="K7" s="8"/>
      <c r="L7" s="8"/>
    </row>
    <row r="8" spans="2:12" ht="15.75" customHeight="1" x14ac:dyDescent="0.25">
      <c r="B8" s="7" t="str">
        <f>"Vorjahr: "&amp;TEXT(Forecast!S54,"#,##0")&amp;" "&amp;Annahmen!C10</f>
        <v>Vorjahr: 9340200,0 €</v>
      </c>
      <c r="C8" s="7"/>
      <c r="D8" s="7"/>
      <c r="F8" s="7" t="str">
        <f>"Abw. vs. Plan: "&amp;TEXT(IFERROR(Forecast!S56/Forecast!S55-1,0),"+0.0%;-0.0%")</f>
        <v>Abw. vs. Plan: -00%</v>
      </c>
      <c r="G8" s="7"/>
      <c r="H8" s="7"/>
      <c r="J8" s="7" t="str">
        <f>"In Prozent: "&amp;TEXT(IFERROR(Forecast!S56/Forecast!S55-1,0),"+0.0%;-0.0%")</f>
        <v>In Prozent: -00%</v>
      </c>
      <c r="K8" s="7"/>
      <c r="L8" s="7"/>
    </row>
    <row r="10" spans="2:12" ht="21.75" customHeight="1" x14ac:dyDescent="0.25">
      <c r="B10" s="6" t="s">
        <v>3</v>
      </c>
      <c r="C10" s="6"/>
      <c r="D10" s="6"/>
      <c r="F10" s="5" t="s">
        <v>4</v>
      </c>
      <c r="G10" s="5"/>
      <c r="H10" s="5"/>
      <c r="J10" s="11" t="s">
        <v>5</v>
      </c>
      <c r="K10" s="11"/>
      <c r="L10" s="11"/>
    </row>
    <row r="11" spans="2:12" ht="39.75" customHeight="1" x14ac:dyDescent="0.25">
      <c r="B11" s="9">
        <f>SUMPRODUCT((Forecast!C5:Q5&lt;=Annahmen!C8)*(ISNUMBER(Forecast!C5:Q5))*Forecast!C56:Q56)</f>
        <v>5708000</v>
      </c>
      <c r="C11" s="9"/>
      <c r="D11" s="9"/>
      <c r="F11" s="9">
        <f>SUMPRODUCT((Forecast!C5:Q5&gt;Annahmen!C8)*(ISNUMBER(Forecast!C5:Q5))*Forecast!C56:Q56)</f>
        <v>4353200</v>
      </c>
      <c r="G11" s="9"/>
      <c r="H11" s="9"/>
      <c r="J11" s="4">
        <f>IFERROR(Forecast!S56/Forecast!S54-1,0)</f>
        <v>7.7193207854221457E-2</v>
      </c>
      <c r="K11" s="4"/>
      <c r="L11" s="4"/>
    </row>
    <row r="12" spans="2:12" ht="18" customHeight="1" x14ac:dyDescent="0.25">
      <c r="B12" s="8" t="str">
        <f>"YTD Plan: "&amp;TEXT(SUMPRODUCT((Forecast!C5:Q5&lt;=Annahmen!C8)*(ISNUMBER(Forecast!C5:Q5))*Forecast!C55:Q55),"#,##0")&amp;" "&amp;Annahmen!C10</f>
        <v>YTD Plan: 5742100,0 €</v>
      </c>
      <c r="C12" s="8"/>
      <c r="D12" s="8"/>
      <c r="F12" s="8" t="str">
        <f>"Erwartete Werte nach Stichtag"</f>
        <v>Erwartete Werte nach Stichtag</v>
      </c>
      <c r="G12" s="8"/>
      <c r="H12" s="8"/>
      <c r="J12" s="8" t="str">
        <f>"Erwartung Jahr vs. Vorjahr"</f>
        <v>Erwartung Jahr vs. Vorjahr</v>
      </c>
      <c r="K12" s="8"/>
      <c r="L12" s="8"/>
    </row>
    <row r="13" spans="2:12" ht="15.75" customHeight="1" x14ac:dyDescent="0.25">
      <c r="B13" s="7" t="str">
        <f>"Bis Ende "&amp;CHOOSE(Annahmen!C8,"Januar","Februar","März","April","Mai","Juni","Juli","August","September","Oktober","November","Dezember")</f>
        <v>Bis Ende Juli</v>
      </c>
      <c r="C13" s="7"/>
      <c r="D13" s="7"/>
      <c r="F13" s="7" t="str">
        <f>"Ab "&amp;CHOOSE(MIN(Annahmen!C8+1,12),"Januar","Februar","März","April","Mai","Juni","Juli","August","September","Oktober","November","Dezember")</f>
        <v>Ab August</v>
      </c>
      <c r="G13" s="7"/>
      <c r="H13" s="7"/>
      <c r="J13" s="7" t="str">
        <f>"Absolut: "&amp;TEXT(Forecast!S56-Forecast!S54,"+#,##0;-#,##0")&amp;" "&amp;Annahmen!C10</f>
        <v>Absolut: +721000,0 €</v>
      </c>
      <c r="K13" s="7"/>
      <c r="L13" s="7"/>
    </row>
    <row r="15" spans="2:12" ht="25.5" customHeight="1" x14ac:dyDescent="0.25">
      <c r="B15" s="96" t="s">
        <v>6</v>
      </c>
      <c r="C15" s="96"/>
      <c r="D15" s="96"/>
      <c r="E15" s="96"/>
      <c r="F15" s="96"/>
      <c r="G15" s="96"/>
      <c r="H15" s="96"/>
      <c r="I15" s="96"/>
      <c r="J15" s="96"/>
      <c r="K15" s="96"/>
      <c r="L15" s="96"/>
    </row>
    <row r="16" spans="2:12" ht="31.5" customHeight="1" x14ac:dyDescent="0.25">
      <c r="B16" s="14" t="s">
        <v>7</v>
      </c>
      <c r="C16" s="14" t="s">
        <v>8</v>
      </c>
      <c r="D16" s="14" t="s">
        <v>9</v>
      </c>
      <c r="E16" s="14" t="s">
        <v>10</v>
      </c>
      <c r="F16" s="14" t="s">
        <v>11</v>
      </c>
      <c r="G16" s="14" t="s">
        <v>12</v>
      </c>
      <c r="H16" s="14" t="s">
        <v>13</v>
      </c>
      <c r="I16" s="14" t="s">
        <v>14</v>
      </c>
      <c r="J16" s="14" t="s">
        <v>15</v>
      </c>
      <c r="K16" s="2" t="s">
        <v>16</v>
      </c>
      <c r="L16" s="2"/>
    </row>
    <row r="17" spans="2:12" ht="21.75" customHeight="1" x14ac:dyDescent="0.25">
      <c r="B17" s="15" t="str">
        <f>Annahmen!C17</f>
        <v>Position A</v>
      </c>
      <c r="C17" s="16">
        <f>Forecast!S6</f>
        <v>2562600</v>
      </c>
      <c r="D17" s="16">
        <f>Forecast!S7</f>
        <v>2830800</v>
      </c>
      <c r="E17" s="17">
        <f>Forecast!S10</f>
        <v>2777500</v>
      </c>
      <c r="F17" s="16">
        <f>Forecast!S9</f>
        <v>1193900</v>
      </c>
      <c r="G17" s="16">
        <f>SUMPRODUCT((Forecast!C5:Q5&lt;=Annahmen!C8)*(ISNUMBER(Forecast!C5:Q5))*IFERROR(Forecast!C8:Q8,0))</f>
        <v>1738100</v>
      </c>
      <c r="H17" s="18">
        <f>Forecast!S10-Forecast!S7</f>
        <v>-53300</v>
      </c>
      <c r="I17" s="19">
        <f>IFERROR(Forecast!S10/Forecast!S7-1,0)</f>
        <v>-1.8828599689133863E-2</v>
      </c>
      <c r="J17" s="19">
        <f>IFERROR(Forecast!S10/Forecast!S6-1,0)</f>
        <v>8.386014204323744E-2</v>
      </c>
      <c r="K17" s="1">
        <f>IFERROR(Forecast!S10/Forecast!S56,0)</f>
        <v>0.2760605096807538</v>
      </c>
      <c r="L17" s="1"/>
    </row>
    <row r="18" spans="2:12" ht="21.75" customHeight="1" x14ac:dyDescent="0.25">
      <c r="B18" s="20" t="str">
        <f>Annahmen!C18</f>
        <v>Position B</v>
      </c>
      <c r="C18" s="21">
        <f>Forecast!S12</f>
        <v>2073800</v>
      </c>
      <c r="D18" s="21">
        <f>Forecast!S13</f>
        <v>2117900</v>
      </c>
      <c r="E18" s="22">
        <f>Forecast!S16</f>
        <v>2153300</v>
      </c>
      <c r="F18" s="21">
        <f>Forecast!S15</f>
        <v>930000</v>
      </c>
      <c r="G18" s="21">
        <f>SUMPRODUCT((Forecast!C5:Q5&lt;=Annahmen!C8)*(ISNUMBER(Forecast!C5:Q5))*IFERROR(Forecast!C14:Q14,0))</f>
        <v>1248100</v>
      </c>
      <c r="H18" s="23">
        <f>Forecast!S16-Forecast!S13</f>
        <v>35400</v>
      </c>
      <c r="I18" s="24">
        <f>IFERROR(Forecast!S16/Forecast!S13-1,0)</f>
        <v>1.6714670192171432E-2</v>
      </c>
      <c r="J18" s="24">
        <f>IFERROR(Forecast!S16/Forecast!S12-1,0)</f>
        <v>3.8335422895168225E-2</v>
      </c>
      <c r="K18" s="81">
        <f>IFERROR(Forecast!S16/Forecast!S56,0)</f>
        <v>0.21402019639804398</v>
      </c>
      <c r="L18" s="81"/>
    </row>
    <row r="19" spans="2:12" ht="21.75" customHeight="1" x14ac:dyDescent="0.25">
      <c r="B19" s="15" t="str">
        <f>Annahmen!C19</f>
        <v>Position C</v>
      </c>
      <c r="C19" s="16">
        <f>Forecast!S18</f>
        <v>1352300</v>
      </c>
      <c r="D19" s="16">
        <f>Forecast!S19</f>
        <v>1512600</v>
      </c>
      <c r="E19" s="17">
        <f>Forecast!S22</f>
        <v>1493800</v>
      </c>
      <c r="F19" s="16">
        <f>Forecast!S21</f>
        <v>656300</v>
      </c>
      <c r="G19" s="16">
        <f>SUMPRODUCT((Forecast!C5:Q5&lt;=Annahmen!C8)*(ISNUMBER(Forecast!C5:Q5))*IFERROR(Forecast!C20:Q20,0))</f>
        <v>898100</v>
      </c>
      <c r="H19" s="18">
        <f>Forecast!S22-Forecast!S19</f>
        <v>-18800</v>
      </c>
      <c r="I19" s="19">
        <f>IFERROR(Forecast!S22/Forecast!S19-1,0)</f>
        <v>-1.2428930318656661E-2</v>
      </c>
      <c r="J19" s="19">
        <f>IFERROR(Forecast!S22/Forecast!S18-1,0)</f>
        <v>0.10463654514530796</v>
      </c>
      <c r="K19" s="1">
        <f>IFERROR(Forecast!S22/Forecast!S56,0)</f>
        <v>0.14847135530553016</v>
      </c>
      <c r="L19" s="1"/>
    </row>
    <row r="20" spans="2:12" ht="21.75" customHeight="1" x14ac:dyDescent="0.25">
      <c r="B20" s="20" t="str">
        <f>Annahmen!C20</f>
        <v>Position D</v>
      </c>
      <c r="C20" s="21">
        <f>Forecast!S24</f>
        <v>1127300</v>
      </c>
      <c r="D20" s="21">
        <f>Forecast!S25</f>
        <v>1174800</v>
      </c>
      <c r="E20" s="22">
        <f>Forecast!S28</f>
        <v>1166000</v>
      </c>
      <c r="F20" s="21">
        <f>Forecast!S27</f>
        <v>510700</v>
      </c>
      <c r="G20" s="21">
        <f>SUMPRODUCT((Forecast!C5:Q5&lt;=Annahmen!C8)*(ISNUMBER(Forecast!C5:Q5))*IFERROR(Forecast!C26:Q26,0))</f>
        <v>782600</v>
      </c>
      <c r="H20" s="23">
        <f>Forecast!S28-Forecast!S25</f>
        <v>-8800</v>
      </c>
      <c r="I20" s="24">
        <f>IFERROR(Forecast!S28/Forecast!S25-1,0)</f>
        <v>-7.4906367041198685E-3</v>
      </c>
      <c r="J20" s="24">
        <f>IFERROR(Forecast!S28/Forecast!S24-1,0)</f>
        <v>3.4329814601259612E-2</v>
      </c>
      <c r="K20" s="81">
        <f>IFERROR(Forecast!S28/Forecast!S56,0)</f>
        <v>0.11589074861845505</v>
      </c>
      <c r="L20" s="81"/>
    </row>
    <row r="21" spans="2:12" ht="21.75" customHeight="1" x14ac:dyDescent="0.25">
      <c r="B21" s="15" t="str">
        <f>Annahmen!C21</f>
        <v>Position E</v>
      </c>
      <c r="C21" s="16">
        <f>Forecast!S30</f>
        <v>845500</v>
      </c>
      <c r="D21" s="16">
        <f>Forecast!S31</f>
        <v>912900</v>
      </c>
      <c r="E21" s="17">
        <f>Forecast!S34</f>
        <v>925700</v>
      </c>
      <c r="F21" s="16">
        <f>Forecast!S33</f>
        <v>390100</v>
      </c>
      <c r="G21" s="16">
        <f>SUMPRODUCT((Forecast!C5:Q5&lt;=Annahmen!C8)*(ISNUMBER(Forecast!C5:Q5))*IFERROR(Forecast!C32:Q32,0))</f>
        <v>616700</v>
      </c>
      <c r="H21" s="18">
        <f>Forecast!S34-Forecast!S31</f>
        <v>12800</v>
      </c>
      <c r="I21" s="19">
        <f>IFERROR(Forecast!S34/Forecast!S31-1,0)</f>
        <v>1.4021250958484055E-2</v>
      </c>
      <c r="J21" s="19">
        <f>IFERROR(Forecast!S34/Forecast!S30-1,0)</f>
        <v>9.48551153163808E-2</v>
      </c>
      <c r="K21" s="1">
        <f>IFERROR(Forecast!S34/Forecast!S56,0)</f>
        <v>9.2006917663896945E-2</v>
      </c>
      <c r="L21" s="1"/>
    </row>
    <row r="22" spans="2:12" ht="21.75" customHeight="1" x14ac:dyDescent="0.25">
      <c r="B22" s="20" t="str">
        <f>Annahmen!C22</f>
        <v>Position F</v>
      </c>
      <c r="C22" s="21">
        <f>Forecast!S36</f>
        <v>626900</v>
      </c>
      <c r="D22" s="21">
        <f>Forecast!S37</f>
        <v>713000</v>
      </c>
      <c r="E22" s="22">
        <f>Forecast!S40</f>
        <v>724100</v>
      </c>
      <c r="F22" s="21">
        <f>Forecast!S39</f>
        <v>314100</v>
      </c>
      <c r="G22" s="21">
        <f>SUMPRODUCT((Forecast!C5:Q5&lt;=Annahmen!C8)*(ISNUMBER(Forecast!C5:Q5))*IFERROR(Forecast!C38:Q38,0))</f>
        <v>462700</v>
      </c>
      <c r="H22" s="23">
        <f>Forecast!S40-Forecast!S37</f>
        <v>11100</v>
      </c>
      <c r="I22" s="24">
        <f>IFERROR(Forecast!S40/Forecast!S37-1,0)</f>
        <v>1.5568022440392681E-2</v>
      </c>
      <c r="J22" s="24">
        <f>IFERROR(Forecast!S40/Forecast!S36-1,0)</f>
        <v>0.15504865209762331</v>
      </c>
      <c r="K22" s="81">
        <f>IFERROR(Forecast!S40/Forecast!S56,0)</f>
        <v>7.1969546376177793E-2</v>
      </c>
      <c r="L22" s="81"/>
    </row>
    <row r="23" spans="2:12" ht="21.75" customHeight="1" x14ac:dyDescent="0.25">
      <c r="B23" s="15" t="str">
        <f>Annahmen!C23</f>
        <v>Position G</v>
      </c>
      <c r="C23" s="16">
        <f>Forecast!S42</f>
        <v>482300</v>
      </c>
      <c r="D23" s="16">
        <f>Forecast!S43</f>
        <v>506900</v>
      </c>
      <c r="E23" s="17">
        <f>Forecast!S46</f>
        <v>510600</v>
      </c>
      <c r="F23" s="16">
        <f>Forecast!S45</f>
        <v>219900</v>
      </c>
      <c r="G23" s="16">
        <f>SUMPRODUCT((Forecast!C5:Q5&lt;=Annahmen!C8)*(ISNUMBER(Forecast!C5:Q5))*IFERROR(Forecast!C44:Q44,0))</f>
        <v>337400</v>
      </c>
      <c r="H23" s="18">
        <f>Forecast!S46-Forecast!S43</f>
        <v>3700</v>
      </c>
      <c r="I23" s="19">
        <f>IFERROR(Forecast!S46/Forecast!S43-1,0)</f>
        <v>7.2992700729928028E-3</v>
      </c>
      <c r="J23" s="19">
        <f>IFERROR(Forecast!S46/Forecast!S42-1,0)</f>
        <v>5.8677171884718993E-2</v>
      </c>
      <c r="K23" s="1">
        <f>IFERROR(Forecast!S46/Forecast!S56,0)</f>
        <v>5.074941358883632E-2</v>
      </c>
      <c r="L23" s="1"/>
    </row>
    <row r="24" spans="2:12" ht="21.75" customHeight="1" x14ac:dyDescent="0.25">
      <c r="B24" s="20" t="str">
        <f>Annahmen!C24</f>
        <v>Position H</v>
      </c>
      <c r="C24" s="21">
        <f>Forecast!S48</f>
        <v>269500</v>
      </c>
      <c r="D24" s="21">
        <f>Forecast!S49</f>
        <v>303800</v>
      </c>
      <c r="E24" s="22">
        <f>Forecast!S52</f>
        <v>310200</v>
      </c>
      <c r="F24" s="21">
        <f>Forecast!S51</f>
        <v>138200</v>
      </c>
      <c r="G24" s="21">
        <f>SUMPRODUCT((Forecast!C5:Q5&lt;=Annahmen!C8)*(ISNUMBER(Forecast!C5:Q5))*IFERROR(Forecast!C50:Q50,0))</f>
        <v>189000</v>
      </c>
      <c r="H24" s="23">
        <f>Forecast!S52-Forecast!S49</f>
        <v>6400</v>
      </c>
      <c r="I24" s="24">
        <f>IFERROR(Forecast!S52/Forecast!S49-1,0)</f>
        <v>2.1066491112573971E-2</v>
      </c>
      <c r="J24" s="24">
        <f>IFERROR(Forecast!S52/Forecast!S48-1,0)</f>
        <v>0.15102040816326534</v>
      </c>
      <c r="K24" s="81">
        <f>IFERROR(Forecast!S52/Forecast!S56,0)</f>
        <v>3.0831312368305969E-2</v>
      </c>
      <c r="L24" s="81"/>
    </row>
    <row r="25" spans="2:12" ht="24" customHeight="1" x14ac:dyDescent="0.25">
      <c r="B25" s="25" t="s">
        <v>17</v>
      </c>
      <c r="C25" s="26">
        <f>Forecast!S54</f>
        <v>9340200</v>
      </c>
      <c r="D25" s="26">
        <f>Forecast!S55</f>
        <v>10072700</v>
      </c>
      <c r="E25" s="26">
        <f>Forecast!S56</f>
        <v>10061200</v>
      </c>
      <c r="F25" s="26">
        <f>SUM(Forecast!S9,Forecast!S15,Forecast!S21,Forecast!S27,Forecast!S33,Forecast!S39,Forecast!S45,Forecast!S51)</f>
        <v>4353200</v>
      </c>
      <c r="G25" s="26">
        <f>SUMPRODUCT((Forecast!C5:Q5&lt;=Annahmen!C8)*(ISNUMBER(Forecast!C5:Q5))*IFERROR(Forecast!C8:Q8,0))+SUMPRODUCT((Forecast!C5:Q5&lt;=Annahmen!C8)*(ISNUMBER(Forecast!C5:Q5))*IFERROR(Forecast!C14:Q14,0))+SUMPRODUCT((Forecast!C5:Q5&lt;=Annahmen!C8)*(ISNUMBER(Forecast!C5:Q5))*IFERROR(Forecast!C20:Q20,0))+SUMPRODUCT((Forecast!C5:Q5&lt;=Annahmen!C8)*(ISNUMBER(Forecast!C5:Q5))*IFERROR(Forecast!C26:Q26,0))+SUMPRODUCT((Forecast!C5:Q5&lt;=Annahmen!C8)*(ISNUMBER(Forecast!C5:Q5))*IFERROR(Forecast!C32:Q32,0))+SUMPRODUCT((Forecast!C5:Q5&lt;=Annahmen!C8)*(ISNUMBER(Forecast!C5:Q5))*IFERROR(Forecast!C38:Q38,0))+SUMPRODUCT((Forecast!C5:Q5&lt;=Annahmen!C8)*(ISNUMBER(Forecast!C5:Q5))*IFERROR(Forecast!C44:Q44,0))+SUMPRODUCT((Forecast!C5:Q5&lt;=Annahmen!C8)*(ISNUMBER(Forecast!C5:Q5))*IFERROR(Forecast!C50:Q50,0))</f>
        <v>6272700</v>
      </c>
      <c r="H25" s="27">
        <f>Forecast!S56-Forecast!S55</f>
        <v>-11500</v>
      </c>
      <c r="I25" s="28">
        <f>IFERROR(Forecast!S56/Forecast!S55-1,0)</f>
        <v>-1.1416998421476254E-3</v>
      </c>
      <c r="J25" s="28">
        <f>IFERROR(Forecast!S56/Forecast!S54-1,0)</f>
        <v>7.7193207854221457E-2</v>
      </c>
      <c r="K25" s="82">
        <v>1</v>
      </c>
      <c r="L25" s="82"/>
    </row>
    <row r="28" spans="2:12" ht="24" customHeight="1" x14ac:dyDescent="0.25">
      <c r="B28" s="3" t="s">
        <v>18</v>
      </c>
      <c r="C28" s="3"/>
      <c r="D28" s="3"/>
      <c r="E28" s="3"/>
      <c r="F28" s="3"/>
      <c r="G28" s="3"/>
      <c r="H28" s="3"/>
      <c r="I28" s="3"/>
      <c r="J28" s="3"/>
      <c r="K28" s="3"/>
      <c r="L28" s="3"/>
    </row>
    <row r="29" spans="2:12" ht="21.75" customHeight="1" x14ac:dyDescent="0.25">
      <c r="B29" s="29" t="s">
        <v>19</v>
      </c>
      <c r="C29" s="29" t="s">
        <v>8</v>
      </c>
      <c r="D29" s="29" t="s">
        <v>9</v>
      </c>
      <c r="E29" s="29" t="s">
        <v>10</v>
      </c>
    </row>
    <row r="30" spans="2:12" ht="18" customHeight="1" x14ac:dyDescent="0.25">
      <c r="B30" s="30" t="s">
        <v>20</v>
      </c>
      <c r="C30" s="31">
        <f>Forecast!C54</f>
        <v>733600</v>
      </c>
      <c r="D30" s="32">
        <f>Forecast!C55</f>
        <v>789000</v>
      </c>
      <c r="E30" s="33">
        <f>Forecast!C56</f>
        <v>773900</v>
      </c>
    </row>
    <row r="31" spans="2:12" ht="18" customHeight="1" x14ac:dyDescent="0.25">
      <c r="B31" s="34" t="s">
        <v>21</v>
      </c>
      <c r="C31" s="35">
        <f>Forecast!D54</f>
        <v>654600</v>
      </c>
      <c r="D31" s="36">
        <f>Forecast!D55</f>
        <v>704700</v>
      </c>
      <c r="E31" s="37">
        <f>Forecast!D56</f>
        <v>686600</v>
      </c>
    </row>
    <row r="32" spans="2:12" ht="18" customHeight="1" x14ac:dyDescent="0.25">
      <c r="B32" s="30" t="s">
        <v>22</v>
      </c>
      <c r="C32" s="31">
        <f>Forecast!E54</f>
        <v>781800</v>
      </c>
      <c r="D32" s="32">
        <f>Forecast!E55</f>
        <v>827700</v>
      </c>
      <c r="E32" s="33">
        <f>Forecast!E56</f>
        <v>822600</v>
      </c>
    </row>
    <row r="33" spans="2:5" ht="18" customHeight="1" x14ac:dyDescent="0.25">
      <c r="B33" s="34" t="s">
        <v>23</v>
      </c>
      <c r="C33" s="35">
        <f>Forecast!G54</f>
        <v>805300</v>
      </c>
      <c r="D33" s="36">
        <f>Forecast!G55</f>
        <v>875600</v>
      </c>
      <c r="E33" s="37">
        <f>Forecast!G56</f>
        <v>896100</v>
      </c>
    </row>
    <row r="34" spans="2:5" ht="18" customHeight="1" x14ac:dyDescent="0.25">
      <c r="B34" s="30" t="s">
        <v>24</v>
      </c>
      <c r="C34" s="31">
        <f>Forecast!H54</f>
        <v>851500</v>
      </c>
      <c r="D34" s="32">
        <f>Forecast!H55</f>
        <v>911900</v>
      </c>
      <c r="E34" s="33">
        <f>Forecast!H56</f>
        <v>894300</v>
      </c>
    </row>
    <row r="35" spans="2:5" ht="18" customHeight="1" x14ac:dyDescent="0.25">
      <c r="B35" s="34" t="s">
        <v>25</v>
      </c>
      <c r="C35" s="35">
        <f>Forecast!I54</f>
        <v>812000</v>
      </c>
      <c r="D35" s="36">
        <f>Forecast!I55</f>
        <v>888100</v>
      </c>
      <c r="E35" s="37">
        <f>Forecast!I56</f>
        <v>881400</v>
      </c>
    </row>
    <row r="36" spans="2:5" ht="18" customHeight="1" x14ac:dyDescent="0.25">
      <c r="B36" s="30" t="s">
        <v>26</v>
      </c>
      <c r="C36" s="31">
        <f>Forecast!K54</f>
        <v>696700</v>
      </c>
      <c r="D36" s="32">
        <f>Forecast!K55</f>
        <v>745100</v>
      </c>
      <c r="E36" s="33">
        <f>Forecast!K56</f>
        <v>753100</v>
      </c>
    </row>
    <row r="37" spans="2:5" ht="18" customHeight="1" x14ac:dyDescent="0.25">
      <c r="B37" s="34" t="s">
        <v>27</v>
      </c>
      <c r="C37" s="35">
        <f>Forecast!L54</f>
        <v>660000</v>
      </c>
      <c r="D37" s="36">
        <f>Forecast!L55</f>
        <v>707000</v>
      </c>
      <c r="E37" s="37">
        <f>Forecast!L56</f>
        <v>725300</v>
      </c>
    </row>
    <row r="38" spans="2:5" ht="18" customHeight="1" x14ac:dyDescent="0.25">
      <c r="B38" s="30" t="s">
        <v>28</v>
      </c>
      <c r="C38" s="31">
        <f>Forecast!M54</f>
        <v>837100</v>
      </c>
      <c r="D38" s="32">
        <f>Forecast!M55</f>
        <v>916300</v>
      </c>
      <c r="E38" s="33">
        <f>Forecast!M56</f>
        <v>927400</v>
      </c>
    </row>
    <row r="39" spans="2:5" ht="18" customHeight="1" x14ac:dyDescent="0.25">
      <c r="B39" s="34" t="s">
        <v>29</v>
      </c>
      <c r="C39" s="35">
        <f>Forecast!O54</f>
        <v>894100</v>
      </c>
      <c r="D39" s="36">
        <f>Forecast!O55</f>
        <v>952900</v>
      </c>
      <c r="E39" s="37">
        <f>Forecast!O56</f>
        <v>955200</v>
      </c>
    </row>
    <row r="40" spans="2:5" ht="18" customHeight="1" x14ac:dyDescent="0.25">
      <c r="B40" s="30" t="s">
        <v>30</v>
      </c>
      <c r="C40" s="31">
        <f>Forecast!P54</f>
        <v>839400</v>
      </c>
      <c r="D40" s="32">
        <f>Forecast!P55</f>
        <v>925300</v>
      </c>
      <c r="E40" s="33">
        <f>Forecast!P56</f>
        <v>910900</v>
      </c>
    </row>
    <row r="41" spans="2:5" ht="18" customHeight="1" x14ac:dyDescent="0.25">
      <c r="B41" s="34" t="s">
        <v>31</v>
      </c>
      <c r="C41" s="35">
        <f>Forecast!Q54</f>
        <v>774100</v>
      </c>
      <c r="D41" s="36">
        <f>Forecast!Q55</f>
        <v>829100</v>
      </c>
      <c r="E41" s="37">
        <f>Forecast!Q56</f>
        <v>834400</v>
      </c>
    </row>
    <row r="43" spans="2:5" ht="21.75" customHeight="1" x14ac:dyDescent="0.25">
      <c r="B43" s="83" t="s">
        <v>32</v>
      </c>
      <c r="C43" s="83"/>
      <c r="D43" s="83"/>
      <c r="E43" s="83"/>
    </row>
    <row r="44" spans="2:5" ht="19.5" customHeight="1" x14ac:dyDescent="0.25">
      <c r="B44" s="38" t="s">
        <v>33</v>
      </c>
      <c r="C44" s="38" t="s">
        <v>9</v>
      </c>
      <c r="D44" s="38" t="s">
        <v>10</v>
      </c>
      <c r="E44" s="38" t="s">
        <v>14</v>
      </c>
    </row>
    <row r="45" spans="2:5" ht="19.5" customHeight="1" x14ac:dyDescent="0.25">
      <c r="B45" s="39" t="s">
        <v>34</v>
      </c>
      <c r="C45" s="32">
        <f>Forecast!F55</f>
        <v>2321400</v>
      </c>
      <c r="D45" s="33">
        <f>Forecast!F56</f>
        <v>2283100</v>
      </c>
      <c r="E45" s="19">
        <f>IFERROR(Forecast!F56/Forecast!F55-1,0)</f>
        <v>-1.6498664598948887E-2</v>
      </c>
    </row>
    <row r="46" spans="2:5" ht="19.5" customHeight="1" x14ac:dyDescent="0.25">
      <c r="B46" s="40" t="s">
        <v>35</v>
      </c>
      <c r="C46" s="36">
        <f>Forecast!J55</f>
        <v>2675600</v>
      </c>
      <c r="D46" s="37">
        <f>Forecast!J56</f>
        <v>2671800</v>
      </c>
      <c r="E46" s="24">
        <f>IFERROR(Forecast!J56/Forecast!J55-1,0)</f>
        <v>-1.4202421886679861E-3</v>
      </c>
    </row>
    <row r="47" spans="2:5" ht="19.5" customHeight="1" x14ac:dyDescent="0.25">
      <c r="B47" s="39" t="s">
        <v>36</v>
      </c>
      <c r="C47" s="32">
        <f>Forecast!N55</f>
        <v>2368400</v>
      </c>
      <c r="D47" s="33">
        <f>Forecast!N56</f>
        <v>2405800</v>
      </c>
      <c r="E47" s="19">
        <f>IFERROR(Forecast!N56/Forecast!N55-1,0)</f>
        <v>1.5791251477790924E-2</v>
      </c>
    </row>
    <row r="48" spans="2:5" ht="19.5" customHeight="1" x14ac:dyDescent="0.25">
      <c r="B48" s="40" t="s">
        <v>37</v>
      </c>
      <c r="C48" s="36">
        <f>Forecast!R55</f>
        <v>2707300</v>
      </c>
      <c r="D48" s="37">
        <f>Forecast!R56</f>
        <v>2700500</v>
      </c>
      <c r="E48" s="24">
        <f>IFERROR(Forecast!R56/Forecast!R55-1,0)</f>
        <v>-2.5117275514350279E-3</v>
      </c>
    </row>
    <row r="69" spans="2:12" ht="36" customHeight="1" x14ac:dyDescent="0.25">
      <c r="B69" s="84" t="s">
        <v>38</v>
      </c>
      <c r="C69" s="84"/>
      <c r="D69" s="84"/>
      <c r="E69" s="84"/>
      <c r="F69" s="84"/>
      <c r="G69" s="84"/>
      <c r="H69" s="84"/>
      <c r="I69" s="84"/>
      <c r="J69" s="84"/>
      <c r="K69" s="84"/>
      <c r="L69" s="84"/>
    </row>
  </sheetData>
  <mergeCells count="40">
    <mergeCell ref="B43:E43"/>
    <mergeCell ref="B69:L69"/>
    <mergeCell ref="K22:L22"/>
    <mergeCell ref="K23:L23"/>
    <mergeCell ref="K24:L24"/>
    <mergeCell ref="K25:L25"/>
    <mergeCell ref="B28:L28"/>
    <mergeCell ref="K17:L17"/>
    <mergeCell ref="K18:L18"/>
    <mergeCell ref="K19:L19"/>
    <mergeCell ref="K20:L20"/>
    <mergeCell ref="K21:L21"/>
    <mergeCell ref="B13:D13"/>
    <mergeCell ref="F13:H13"/>
    <mergeCell ref="J13:L13"/>
    <mergeCell ref="B15:L15"/>
    <mergeCell ref="K16:L16"/>
    <mergeCell ref="B11:D11"/>
    <mergeCell ref="F11:H11"/>
    <mergeCell ref="J11:L11"/>
    <mergeCell ref="B12:D12"/>
    <mergeCell ref="F12:H12"/>
    <mergeCell ref="J12:L12"/>
    <mergeCell ref="B8:D8"/>
    <mergeCell ref="F8:H8"/>
    <mergeCell ref="J8:L8"/>
    <mergeCell ref="B10:D10"/>
    <mergeCell ref="F10:H10"/>
    <mergeCell ref="J10:L10"/>
    <mergeCell ref="B6:D6"/>
    <mergeCell ref="F6:H6"/>
    <mergeCell ref="J6:L6"/>
    <mergeCell ref="B7:D7"/>
    <mergeCell ref="F7:H7"/>
    <mergeCell ref="J7:L7"/>
    <mergeCell ref="B2:L2"/>
    <mergeCell ref="B3:L3"/>
    <mergeCell ref="B5:D5"/>
    <mergeCell ref="F5:H5"/>
    <mergeCell ref="J5:L5"/>
  </mergeCells>
  <conditionalFormatting sqref="E45:E48">
    <cfRule type="cellIs" dxfId="21" priority="8" operator="greaterThan">
      <formula>0</formula>
    </cfRule>
    <cfRule type="cellIs" dxfId="20" priority="9" operator="lessThan">
      <formula>0</formula>
    </cfRule>
  </conditionalFormatting>
  <conditionalFormatting sqref="H17:J24">
    <cfRule type="cellIs" dxfId="19" priority="2" operator="greaterThan">
      <formula>0</formula>
    </cfRule>
    <cfRule type="cellIs" dxfId="18" priority="3" operator="lessThan">
      <formula>0</formula>
    </cfRule>
  </conditionalFormatting>
  <printOptions horizontalCentered="1"/>
  <pageMargins left="0.75" right="0.75" top="1" bottom="1" header="0.511811023622047" footer="0.511811023622047"/>
  <pageSetup paperSize="9" fitToHeight="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D44"/>
  <sheetViews>
    <sheetView showGridLines="0" zoomScaleNormal="100" workbookViewId="0">
      <selection activeCell="B16" sqref="B16:D16"/>
    </sheetView>
  </sheetViews>
  <sheetFormatPr baseColWidth="10" defaultColWidth="8.7109375" defaultRowHeight="15" x14ac:dyDescent="0.25"/>
  <cols>
    <col min="1" max="1" width="3" customWidth="1"/>
    <col min="2" max="2" width="30" customWidth="1"/>
    <col min="3" max="3" width="26" customWidth="1"/>
    <col min="4" max="4" width="50" customWidth="1"/>
  </cols>
  <sheetData>
    <row r="2" spans="2:4" ht="31.5" customHeight="1" x14ac:dyDescent="0.25">
      <c r="B2" s="97" t="s">
        <v>46</v>
      </c>
      <c r="C2" s="97"/>
      <c r="D2" s="97"/>
    </row>
    <row r="3" spans="2:4" ht="15" customHeight="1" x14ac:dyDescent="0.25">
      <c r="B3" s="89" t="s">
        <v>47</v>
      </c>
      <c r="C3" s="89"/>
      <c r="D3" s="89"/>
    </row>
    <row r="5" spans="2:4" ht="24" customHeight="1" x14ac:dyDescent="0.25">
      <c r="B5" s="90" t="s">
        <v>48</v>
      </c>
      <c r="C5" s="90"/>
      <c r="D5" s="90"/>
    </row>
    <row r="6" spans="2:4" ht="21.75" customHeight="1" x14ac:dyDescent="0.25">
      <c r="B6" s="65" t="s">
        <v>49</v>
      </c>
      <c r="C6" s="66" t="s">
        <v>50</v>
      </c>
      <c r="D6" s="67" t="s">
        <v>51</v>
      </c>
    </row>
    <row r="7" spans="2:4" ht="21.75" customHeight="1" x14ac:dyDescent="0.25">
      <c r="B7" s="65" t="s">
        <v>52</v>
      </c>
      <c r="C7" s="68">
        <v>2026</v>
      </c>
      <c r="D7" s="67" t="s">
        <v>53</v>
      </c>
    </row>
    <row r="8" spans="2:4" ht="21.75" customHeight="1" x14ac:dyDescent="0.25">
      <c r="B8" s="65" t="s">
        <v>54</v>
      </c>
      <c r="C8" s="68">
        <v>7</v>
      </c>
      <c r="D8" s="67" t="s">
        <v>55</v>
      </c>
    </row>
    <row r="9" spans="2:4" ht="21.75" customHeight="1" x14ac:dyDescent="0.25">
      <c r="B9" s="65" t="s">
        <v>56</v>
      </c>
      <c r="C9" s="69">
        <f>DATE(C7,C8,1)</f>
        <v>46204</v>
      </c>
      <c r="D9" s="67" t="s">
        <v>57</v>
      </c>
    </row>
    <row r="10" spans="2:4" ht="21.75" customHeight="1" x14ac:dyDescent="0.25">
      <c r="B10" s="65" t="s">
        <v>58</v>
      </c>
      <c r="C10" s="66" t="s">
        <v>59</v>
      </c>
      <c r="D10" s="67" t="s">
        <v>60</v>
      </c>
    </row>
    <row r="11" spans="2:4" ht="21.75" customHeight="1" x14ac:dyDescent="0.25">
      <c r="B11" s="65" t="s">
        <v>61</v>
      </c>
      <c r="C11" s="70">
        <f ca="1">TODAY()</f>
        <v>46173</v>
      </c>
      <c r="D11" s="67" t="s">
        <v>62</v>
      </c>
    </row>
    <row r="12" spans="2:4" ht="21.75" customHeight="1" x14ac:dyDescent="0.25">
      <c r="B12" s="65" t="s">
        <v>63</v>
      </c>
      <c r="C12" s="66" t="s">
        <v>64</v>
      </c>
      <c r="D12" s="67" t="s">
        <v>65</v>
      </c>
    </row>
    <row r="14" spans="2:4" ht="24" customHeight="1" x14ac:dyDescent="0.25">
      <c r="B14" s="90" t="s">
        <v>66</v>
      </c>
      <c r="C14" s="90"/>
      <c r="D14" s="90"/>
    </row>
    <row r="15" spans="2:4" ht="30" customHeight="1" x14ac:dyDescent="0.25">
      <c r="B15" s="91" t="s">
        <v>67</v>
      </c>
      <c r="C15" s="91"/>
      <c r="D15" s="91"/>
    </row>
    <row r="16" spans="2:4" ht="21.75" customHeight="1" x14ac:dyDescent="0.25">
      <c r="B16" s="94" t="s">
        <v>68</v>
      </c>
      <c r="C16" s="94" t="s">
        <v>69</v>
      </c>
      <c r="D16" s="94" t="s">
        <v>70</v>
      </c>
    </row>
    <row r="17" spans="2:4" ht="21.75" customHeight="1" x14ac:dyDescent="0.25">
      <c r="B17" s="71">
        <v>1</v>
      </c>
      <c r="C17" s="72" t="s">
        <v>71</v>
      </c>
      <c r="D17" s="67" t="s">
        <v>72</v>
      </c>
    </row>
    <row r="18" spans="2:4" ht="21.75" customHeight="1" x14ac:dyDescent="0.25">
      <c r="B18" s="71">
        <v>2</v>
      </c>
      <c r="C18" s="72" t="s">
        <v>73</v>
      </c>
      <c r="D18" s="67" t="s">
        <v>74</v>
      </c>
    </row>
    <row r="19" spans="2:4" ht="21.75" customHeight="1" x14ac:dyDescent="0.25">
      <c r="B19" s="71">
        <v>3</v>
      </c>
      <c r="C19" s="72" t="s">
        <v>75</v>
      </c>
      <c r="D19" s="67" t="s">
        <v>76</v>
      </c>
    </row>
    <row r="20" spans="2:4" ht="21.75" customHeight="1" x14ac:dyDescent="0.25">
      <c r="B20" s="71">
        <v>4</v>
      </c>
      <c r="C20" s="72" t="s">
        <v>77</v>
      </c>
      <c r="D20" s="67" t="s">
        <v>78</v>
      </c>
    </row>
    <row r="21" spans="2:4" ht="21.75" customHeight="1" x14ac:dyDescent="0.25">
      <c r="B21" s="71">
        <v>5</v>
      </c>
      <c r="C21" s="72" t="s">
        <v>79</v>
      </c>
      <c r="D21" s="67" t="s">
        <v>80</v>
      </c>
    </row>
    <row r="22" spans="2:4" ht="21.75" customHeight="1" x14ac:dyDescent="0.25">
      <c r="B22" s="71">
        <v>6</v>
      </c>
      <c r="C22" s="72" t="s">
        <v>81</v>
      </c>
      <c r="D22" s="67" t="s">
        <v>82</v>
      </c>
    </row>
    <row r="23" spans="2:4" ht="21.75" customHeight="1" x14ac:dyDescent="0.25">
      <c r="B23" s="71">
        <v>7</v>
      </c>
      <c r="C23" s="72" t="s">
        <v>83</v>
      </c>
      <c r="D23" s="67" t="s">
        <v>84</v>
      </c>
    </row>
    <row r="24" spans="2:4" ht="21.75" customHeight="1" x14ac:dyDescent="0.25">
      <c r="B24" s="71">
        <v>8</v>
      </c>
      <c r="C24" s="72" t="s">
        <v>85</v>
      </c>
      <c r="D24" s="67" t="s">
        <v>84</v>
      </c>
    </row>
    <row r="26" spans="2:4" ht="24" customHeight="1" x14ac:dyDescent="0.25">
      <c r="B26" s="90" t="s">
        <v>86</v>
      </c>
      <c r="C26" s="90"/>
      <c r="D26" s="90"/>
    </row>
    <row r="27" spans="2:4" ht="21.75" customHeight="1" x14ac:dyDescent="0.25">
      <c r="B27" s="41" t="s">
        <v>87</v>
      </c>
      <c r="C27" s="41" t="s">
        <v>69</v>
      </c>
      <c r="D27" s="41" t="s">
        <v>88</v>
      </c>
    </row>
    <row r="28" spans="2:4" ht="21.75" customHeight="1" x14ac:dyDescent="0.25">
      <c r="B28" s="73"/>
      <c r="C28" s="74" t="s">
        <v>8</v>
      </c>
      <c r="D28" s="75" t="s">
        <v>89</v>
      </c>
    </row>
    <row r="29" spans="2:4" ht="21.75" customHeight="1" x14ac:dyDescent="0.25">
      <c r="B29" s="76"/>
      <c r="C29" s="74" t="s">
        <v>9</v>
      </c>
      <c r="D29" s="75" t="s">
        <v>90</v>
      </c>
    </row>
    <row r="30" spans="2:4" ht="21.75" customHeight="1" x14ac:dyDescent="0.25">
      <c r="B30" s="77"/>
      <c r="C30" s="74" t="s">
        <v>42</v>
      </c>
      <c r="D30" s="75" t="s">
        <v>91</v>
      </c>
    </row>
    <row r="31" spans="2:4" ht="21.75" customHeight="1" x14ac:dyDescent="0.25">
      <c r="B31" s="78"/>
      <c r="C31" s="74" t="s">
        <v>43</v>
      </c>
      <c r="D31" s="75" t="s">
        <v>92</v>
      </c>
    </row>
    <row r="32" spans="2:4" ht="21.75" customHeight="1" x14ac:dyDescent="0.25">
      <c r="B32" s="79"/>
      <c r="C32" s="74" t="s">
        <v>10</v>
      </c>
      <c r="D32" s="75" t="s">
        <v>93</v>
      </c>
    </row>
    <row r="33" spans="2:4" ht="21.75" customHeight="1" x14ac:dyDescent="0.25">
      <c r="B33" s="80"/>
      <c r="C33" s="74" t="s">
        <v>94</v>
      </c>
      <c r="D33" s="75" t="s">
        <v>95</v>
      </c>
    </row>
    <row r="35" spans="2:4" ht="24" customHeight="1" x14ac:dyDescent="0.25">
      <c r="B35" s="90" t="s">
        <v>96</v>
      </c>
      <c r="C35" s="90"/>
      <c r="D35" s="90"/>
    </row>
    <row r="36" spans="2:4" ht="18" customHeight="1" x14ac:dyDescent="0.25">
      <c r="B36" s="92" t="s">
        <v>97</v>
      </c>
      <c r="C36" s="92"/>
      <c r="D36" s="92"/>
    </row>
    <row r="37" spans="2:4" ht="18" customHeight="1" x14ac:dyDescent="0.25">
      <c r="B37" s="92" t="s">
        <v>98</v>
      </c>
      <c r="C37" s="92"/>
      <c r="D37" s="92"/>
    </row>
    <row r="38" spans="2:4" ht="18" customHeight="1" x14ac:dyDescent="0.25">
      <c r="B38" s="92" t="s">
        <v>99</v>
      </c>
      <c r="C38" s="92"/>
      <c r="D38" s="92"/>
    </row>
    <row r="39" spans="2:4" ht="18" customHeight="1" x14ac:dyDescent="0.25">
      <c r="B39" s="92" t="s">
        <v>100</v>
      </c>
      <c r="C39" s="92"/>
      <c r="D39" s="92"/>
    </row>
    <row r="40" spans="2:4" ht="18" customHeight="1" x14ac:dyDescent="0.25">
      <c r="B40" s="92" t="s">
        <v>101</v>
      </c>
      <c r="C40" s="92"/>
      <c r="D40" s="92"/>
    </row>
    <row r="41" spans="2:4" ht="18" customHeight="1" x14ac:dyDescent="0.25">
      <c r="B41" s="92" t="s">
        <v>102</v>
      </c>
      <c r="C41" s="92"/>
      <c r="D41" s="92"/>
    </row>
    <row r="42" spans="2:4" ht="18" customHeight="1" x14ac:dyDescent="0.25">
      <c r="B42" s="92" t="s">
        <v>103</v>
      </c>
      <c r="C42" s="92"/>
      <c r="D42" s="92"/>
    </row>
    <row r="43" spans="2:4" ht="18" customHeight="1" x14ac:dyDescent="0.25">
      <c r="B43" s="92" t="s">
        <v>104</v>
      </c>
      <c r="C43" s="92"/>
      <c r="D43" s="92"/>
    </row>
    <row r="44" spans="2:4" ht="18" customHeight="1" x14ac:dyDescent="0.25">
      <c r="B44" s="92" t="s">
        <v>105</v>
      </c>
      <c r="C44" s="92"/>
      <c r="D44" s="92"/>
    </row>
  </sheetData>
  <mergeCells count="16">
    <mergeCell ref="B44:D44"/>
    <mergeCell ref="B39:D39"/>
    <mergeCell ref="B40:D40"/>
    <mergeCell ref="B41:D41"/>
    <mergeCell ref="B42:D42"/>
    <mergeCell ref="B43:D43"/>
    <mergeCell ref="B26:D26"/>
    <mergeCell ref="B35:D35"/>
    <mergeCell ref="B36:D36"/>
    <mergeCell ref="B37:D37"/>
    <mergeCell ref="B38:D38"/>
    <mergeCell ref="B2:D2"/>
    <mergeCell ref="B3:D3"/>
    <mergeCell ref="B5:D5"/>
    <mergeCell ref="B14:D14"/>
    <mergeCell ref="B15:D15"/>
  </mergeCells>
  <dataValidations count="1">
    <dataValidation type="whole" showErrorMessage="1" errorTitle="Ungültiger Wert" error="Bitte einen Wert zwischen 1 (Januar) und 12 (Dezember) eingeben." sqref="C8" xr:uid="{00000000-0002-0000-0200-000000000000}">
      <formula1>1</formula1>
      <formula2>12</formula2>
    </dataValidation>
  </dataValidations>
  <printOptions horizontalCentered="1"/>
  <pageMargins left="0.75" right="0.75" top="1" bottom="1" header="0.511811023622047" footer="0.511811023622047"/>
  <pageSetup paperSize="9"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Forecast</vt:lpstr>
      <vt:lpstr>Übersicht</vt:lpstr>
      <vt:lpstr>Annahmen</vt:lpstr>
      <vt:lpstr>Forecast!Drucktitel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1</cp:revision>
  <dcterms:created xsi:type="dcterms:W3CDTF">2026-05-31T08:44:22Z</dcterms:created>
  <dcterms:modified xsi:type="dcterms:W3CDTF">2026-05-31T08:47:29Z</dcterms:modified>
  <dc:language>en-US</dc:language>
</cp:coreProperties>
</file>