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0E5AB33-9D2F-462A-AE47-765121273E7C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Vermögen" sheetId="2" r:id="rId2"/>
    <sheet name="Planung" sheetId="3" r:id="rId3"/>
    <sheet name="Sparziele" sheetId="4" r:id="rId4"/>
  </sheets>
  <definedNames>
    <definedName name="AktivaAktuell">Vermögen!$H$34</definedName>
    <definedName name="alter_aktuell">Planung!$E$5</definedName>
    <definedName name="alter_rente">Planung!$E$6</definedName>
    <definedName name="ausgaben_start">Planung!$E$9</definedName>
    <definedName name="einkommen_start">Planung!$E$8</definedName>
    <definedName name="einkommen_wachstum">Planung!$E$10</definedName>
    <definedName name="inflation">Planung!$E$11</definedName>
    <definedName name="NettoAktuell">Vermögen!$H$36</definedName>
    <definedName name="PassivaAktuell">Vermögen!$H$35</definedName>
    <definedName name="rendite">Planung!$E$12</definedName>
    <definedName name="rente_brutto">Planung!$E$13</definedName>
    <definedName name="steuer_rente">Planung!$E$14</definedName>
    <definedName name="vermoegen_start">Planung!$E$7</definedName>
    <definedName name="ZieleGesamt">Sparziele!$D$13</definedName>
    <definedName name="ZieleGespart">Sparziele!$E$13</definedName>
    <definedName name="ZieleMonatlich">Sparziele!$G$13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4" l="1"/>
  <c r="E13" i="4"/>
  <c r="D13" i="4"/>
  <c r="J13" i="4" s="1"/>
  <c r="J12" i="4"/>
  <c r="F35" i="1" s="1"/>
  <c r="H12" i="4"/>
  <c r="F12" i="4"/>
  <c r="I12" i="4" s="1"/>
  <c r="K12" i="4" s="1"/>
  <c r="G35" i="1" s="1"/>
  <c r="J11" i="4"/>
  <c r="I11" i="4"/>
  <c r="K11" i="4" s="1"/>
  <c r="G34" i="1" s="1"/>
  <c r="H11" i="4"/>
  <c r="F11" i="4"/>
  <c r="J10" i="4"/>
  <c r="H10" i="4"/>
  <c r="F10" i="4"/>
  <c r="I10" i="4" s="1"/>
  <c r="K10" i="4" s="1"/>
  <c r="G33" i="1" s="1"/>
  <c r="J9" i="4"/>
  <c r="H9" i="4"/>
  <c r="F9" i="4"/>
  <c r="I9" i="4" s="1"/>
  <c r="K9" i="4" s="1"/>
  <c r="G32" i="1" s="1"/>
  <c r="J8" i="4"/>
  <c r="H8" i="4"/>
  <c r="E31" i="1" s="1"/>
  <c r="F8" i="4"/>
  <c r="I8" i="4" s="1"/>
  <c r="K8" i="4" s="1"/>
  <c r="G31" i="1" s="1"/>
  <c r="J7" i="4"/>
  <c r="I7" i="4"/>
  <c r="K7" i="4" s="1"/>
  <c r="G30" i="1" s="1"/>
  <c r="H7" i="4"/>
  <c r="F7" i="4"/>
  <c r="J6" i="4"/>
  <c r="H6" i="4"/>
  <c r="F6" i="4"/>
  <c r="I6" i="4" s="1"/>
  <c r="K6" i="4" s="1"/>
  <c r="G29" i="1" s="1"/>
  <c r="J5" i="4"/>
  <c r="H5" i="4"/>
  <c r="H13" i="4" s="1"/>
  <c r="F5" i="4"/>
  <c r="I5" i="4" s="1"/>
  <c r="K5" i="4" s="1"/>
  <c r="G28" i="1" s="1"/>
  <c r="E54" i="3"/>
  <c r="C54" i="3"/>
  <c r="D54" i="3" s="1"/>
  <c r="F54" i="3" s="1"/>
  <c r="E53" i="3"/>
  <c r="D53" i="3"/>
  <c r="F53" i="3" s="1"/>
  <c r="C53" i="3"/>
  <c r="E52" i="3"/>
  <c r="C52" i="3"/>
  <c r="D52" i="3" s="1"/>
  <c r="F52" i="3" s="1"/>
  <c r="E51" i="3"/>
  <c r="C51" i="3"/>
  <c r="D51" i="3" s="1"/>
  <c r="F51" i="3" s="1"/>
  <c r="E50" i="3"/>
  <c r="C50" i="3"/>
  <c r="D50" i="3" s="1"/>
  <c r="F50" i="3" s="1"/>
  <c r="E49" i="3"/>
  <c r="C49" i="3"/>
  <c r="D49" i="3" s="1"/>
  <c r="F49" i="3" s="1"/>
  <c r="E48" i="3"/>
  <c r="D48" i="3"/>
  <c r="F48" i="3" s="1"/>
  <c r="C48" i="3"/>
  <c r="E47" i="3"/>
  <c r="C47" i="3"/>
  <c r="D47" i="3" s="1"/>
  <c r="F47" i="3" s="1"/>
  <c r="E46" i="3"/>
  <c r="C46" i="3"/>
  <c r="D46" i="3" s="1"/>
  <c r="F46" i="3" s="1"/>
  <c r="E45" i="3"/>
  <c r="C45" i="3"/>
  <c r="D45" i="3" s="1"/>
  <c r="F45" i="3" s="1"/>
  <c r="E44" i="3"/>
  <c r="C44" i="3"/>
  <c r="D44" i="3" s="1"/>
  <c r="F44" i="3" s="1"/>
  <c r="E43" i="3"/>
  <c r="D43" i="3"/>
  <c r="F43" i="3" s="1"/>
  <c r="C43" i="3"/>
  <c r="E42" i="3"/>
  <c r="C42" i="3"/>
  <c r="D42" i="3" s="1"/>
  <c r="F42" i="3" s="1"/>
  <c r="E41" i="3"/>
  <c r="C41" i="3"/>
  <c r="D41" i="3" s="1"/>
  <c r="F41" i="3" s="1"/>
  <c r="E40" i="3"/>
  <c r="C40" i="3"/>
  <c r="D40" i="3" s="1"/>
  <c r="F40" i="3" s="1"/>
  <c r="E39" i="3"/>
  <c r="C39" i="3"/>
  <c r="D39" i="3" s="1"/>
  <c r="F39" i="3" s="1"/>
  <c r="E38" i="3"/>
  <c r="D38" i="3"/>
  <c r="F38" i="3" s="1"/>
  <c r="C38" i="3"/>
  <c r="E37" i="3"/>
  <c r="C37" i="3"/>
  <c r="D37" i="3" s="1"/>
  <c r="F37" i="3" s="1"/>
  <c r="E36" i="3"/>
  <c r="C36" i="3"/>
  <c r="D36" i="3" s="1"/>
  <c r="F36" i="3" s="1"/>
  <c r="E35" i="3"/>
  <c r="C35" i="3"/>
  <c r="D35" i="3" s="1"/>
  <c r="F35" i="3" s="1"/>
  <c r="E34" i="3"/>
  <c r="C34" i="3"/>
  <c r="D34" i="3" s="1"/>
  <c r="F34" i="3" s="1"/>
  <c r="E33" i="3"/>
  <c r="D33" i="3"/>
  <c r="F33" i="3" s="1"/>
  <c r="C33" i="3"/>
  <c r="E32" i="3"/>
  <c r="C32" i="3"/>
  <c r="D32" i="3" s="1"/>
  <c r="F32" i="3" s="1"/>
  <c r="E31" i="3"/>
  <c r="C31" i="3"/>
  <c r="D31" i="3" s="1"/>
  <c r="F31" i="3" s="1"/>
  <c r="E30" i="3"/>
  <c r="C30" i="3"/>
  <c r="D30" i="3" s="1"/>
  <c r="F30" i="3" s="1"/>
  <c r="E29" i="3"/>
  <c r="C29" i="3"/>
  <c r="D29" i="3" s="1"/>
  <c r="F29" i="3" s="1"/>
  <c r="E28" i="3"/>
  <c r="D28" i="3"/>
  <c r="F28" i="3" s="1"/>
  <c r="C28" i="3"/>
  <c r="E27" i="3"/>
  <c r="C27" i="3"/>
  <c r="D27" i="3" s="1"/>
  <c r="F27" i="3" s="1"/>
  <c r="E26" i="3"/>
  <c r="C26" i="3"/>
  <c r="D26" i="3" s="1"/>
  <c r="F26" i="3" s="1"/>
  <c r="E25" i="3"/>
  <c r="C25" i="3"/>
  <c r="D25" i="3" s="1"/>
  <c r="F25" i="3" s="1"/>
  <c r="E24" i="3"/>
  <c r="C24" i="3"/>
  <c r="D24" i="3" s="1"/>
  <c r="F24" i="3" s="1"/>
  <c r="E23" i="3"/>
  <c r="D23" i="3"/>
  <c r="F23" i="3" s="1"/>
  <c r="C23" i="3"/>
  <c r="E22" i="3"/>
  <c r="C22" i="3"/>
  <c r="D22" i="3" s="1"/>
  <c r="F22" i="3" s="1"/>
  <c r="E21" i="3"/>
  <c r="C21" i="3"/>
  <c r="D21" i="3" s="1"/>
  <c r="F21" i="3" s="1"/>
  <c r="H20" i="3"/>
  <c r="G20" i="3"/>
  <c r="E20" i="3"/>
  <c r="C20" i="3"/>
  <c r="D20" i="3" s="1"/>
  <c r="F20" i="3" s="1"/>
  <c r="J10" i="3"/>
  <c r="J11" i="3" s="1"/>
  <c r="J9" i="3"/>
  <c r="J8" i="3"/>
  <c r="J7" i="3"/>
  <c r="J6" i="3"/>
  <c r="J5" i="3"/>
  <c r="O35" i="2"/>
  <c r="D24" i="1" s="1"/>
  <c r="M35" i="2"/>
  <c r="D22" i="1" s="1"/>
  <c r="J35" i="2"/>
  <c r="I35" i="2"/>
  <c r="F35" i="2"/>
  <c r="E35" i="2"/>
  <c r="D14" i="1" s="1"/>
  <c r="D35" i="2"/>
  <c r="O32" i="2"/>
  <c r="N32" i="2"/>
  <c r="N35" i="2" s="1"/>
  <c r="D23" i="1" s="1"/>
  <c r="M32" i="2"/>
  <c r="L32" i="2"/>
  <c r="L35" i="2" s="1"/>
  <c r="D21" i="1" s="1"/>
  <c r="K32" i="2"/>
  <c r="K35" i="2" s="1"/>
  <c r="D20" i="1" s="1"/>
  <c r="J32" i="2"/>
  <c r="I32" i="2"/>
  <c r="H32" i="2"/>
  <c r="H35" i="2" s="1"/>
  <c r="G32" i="2"/>
  <c r="G35" i="2" s="1"/>
  <c r="D16" i="1" s="1"/>
  <c r="F32" i="2"/>
  <c r="E32" i="2"/>
  <c r="D32" i="2"/>
  <c r="P31" i="2"/>
  <c r="P30" i="2"/>
  <c r="P29" i="2"/>
  <c r="P28" i="2"/>
  <c r="P32" i="2" s="1"/>
  <c r="P35" i="2" s="1"/>
  <c r="O26" i="2"/>
  <c r="N26" i="2"/>
  <c r="M26" i="2"/>
  <c r="L26" i="2"/>
  <c r="K26" i="2"/>
  <c r="J26" i="2"/>
  <c r="I26" i="2"/>
  <c r="H26" i="2"/>
  <c r="G26" i="2"/>
  <c r="F26" i="2"/>
  <c r="E26" i="2"/>
  <c r="D26" i="2"/>
  <c r="P25" i="2"/>
  <c r="P24" i="2"/>
  <c r="P23" i="2"/>
  <c r="P26" i="2" s="1"/>
  <c r="O21" i="2"/>
  <c r="N21" i="2"/>
  <c r="M21" i="2"/>
  <c r="L21" i="2"/>
  <c r="K21" i="2"/>
  <c r="J21" i="2"/>
  <c r="I21" i="2"/>
  <c r="H21" i="2"/>
  <c r="G21" i="2"/>
  <c r="F21" i="2"/>
  <c r="E21" i="2"/>
  <c r="D21" i="2"/>
  <c r="P20" i="2"/>
  <c r="P19" i="2"/>
  <c r="P18" i="2"/>
  <c r="P21" i="2" s="1"/>
  <c r="O16" i="2"/>
  <c r="N16" i="2"/>
  <c r="M16" i="2"/>
  <c r="L16" i="2"/>
  <c r="K16" i="2"/>
  <c r="J16" i="2"/>
  <c r="I16" i="2"/>
  <c r="H16" i="2"/>
  <c r="G16" i="2"/>
  <c r="F16" i="2"/>
  <c r="E16" i="2"/>
  <c r="D16" i="2"/>
  <c r="P15" i="2"/>
  <c r="P14" i="2"/>
  <c r="P13" i="2"/>
  <c r="P12" i="2"/>
  <c r="P11" i="2"/>
  <c r="P16" i="2" s="1"/>
  <c r="O9" i="2"/>
  <c r="O34" i="2" s="1"/>
  <c r="N9" i="2"/>
  <c r="N34" i="2" s="1"/>
  <c r="M9" i="2"/>
  <c r="M34" i="2" s="1"/>
  <c r="L9" i="2"/>
  <c r="L34" i="2" s="1"/>
  <c r="K9" i="2"/>
  <c r="K34" i="2" s="1"/>
  <c r="J9" i="2"/>
  <c r="J34" i="2" s="1"/>
  <c r="I9" i="2"/>
  <c r="I34" i="2" s="1"/>
  <c r="H9" i="2"/>
  <c r="H34" i="2" s="1"/>
  <c r="G9" i="2"/>
  <c r="G34" i="2" s="1"/>
  <c r="F9" i="2"/>
  <c r="F34" i="2" s="1"/>
  <c r="E9" i="2"/>
  <c r="E34" i="2" s="1"/>
  <c r="D9" i="2"/>
  <c r="D34" i="2" s="1"/>
  <c r="P8" i="2"/>
  <c r="P7" i="2"/>
  <c r="P6" i="2"/>
  <c r="P9" i="2" s="1"/>
  <c r="P34" i="2" s="1"/>
  <c r="P36" i="2" s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D19" i="1"/>
  <c r="D18" i="1"/>
  <c r="I16" i="1"/>
  <c r="J16" i="1" s="1"/>
  <c r="I15" i="1"/>
  <c r="D15" i="1"/>
  <c r="I14" i="1"/>
  <c r="D13" i="1"/>
  <c r="D8" i="1"/>
  <c r="B8" i="1"/>
  <c r="H36" i="2" l="1"/>
  <c r="D5" i="1"/>
  <c r="C17" i="1"/>
  <c r="C19" i="1"/>
  <c r="E19" i="1" s="1"/>
  <c r="J36" i="2"/>
  <c r="D36" i="2"/>
  <c r="C13" i="1"/>
  <c r="E13" i="1" s="1"/>
  <c r="C18" i="1"/>
  <c r="E18" i="1" s="1"/>
  <c r="I36" i="2"/>
  <c r="C21" i="1"/>
  <c r="E21" i="1" s="1"/>
  <c r="F21" i="1" s="1"/>
  <c r="L36" i="2"/>
  <c r="C22" i="1"/>
  <c r="E22" i="1" s="1"/>
  <c r="M36" i="2"/>
  <c r="C23" i="1"/>
  <c r="E23" i="1" s="1"/>
  <c r="F23" i="1" s="1"/>
  <c r="N36" i="2"/>
  <c r="I20" i="3"/>
  <c r="C24" i="1"/>
  <c r="E24" i="1" s="1"/>
  <c r="F24" i="1" s="1"/>
  <c r="O36" i="2"/>
  <c r="C15" i="1"/>
  <c r="E15" i="1" s="1"/>
  <c r="F15" i="1" s="1"/>
  <c r="F36" i="2"/>
  <c r="C20" i="1"/>
  <c r="E20" i="1" s="1"/>
  <c r="K36" i="2"/>
  <c r="G36" i="2"/>
  <c r="C16" i="1"/>
  <c r="E16" i="1" s="1"/>
  <c r="E36" i="2"/>
  <c r="C14" i="1"/>
  <c r="E14" i="1" s="1"/>
  <c r="F5" i="1"/>
  <c r="D17" i="1"/>
  <c r="J14" i="1"/>
  <c r="J15" i="1"/>
  <c r="F8" i="1"/>
  <c r="I13" i="1"/>
  <c r="J13" i="1" s="1"/>
  <c r="F22" i="1" l="1"/>
  <c r="F20" i="1"/>
  <c r="G21" i="3"/>
  <c r="J20" i="3"/>
  <c r="F14" i="1"/>
  <c r="F19" i="1"/>
  <c r="E17" i="1"/>
  <c r="F17" i="1" s="1"/>
  <c r="F16" i="1"/>
  <c r="H5" i="1"/>
  <c r="B5" i="1"/>
  <c r="F18" i="1" l="1"/>
  <c r="H21" i="3"/>
  <c r="I21" i="3" s="1"/>
  <c r="G22" i="3" l="1"/>
  <c r="J21" i="3"/>
  <c r="H22" i="3" l="1"/>
  <c r="I22" i="3" s="1"/>
  <c r="J22" i="3" l="1"/>
  <c r="G23" i="3"/>
  <c r="H23" i="3" l="1"/>
  <c r="I23" i="3" s="1"/>
  <c r="G24" i="3" l="1"/>
  <c r="J23" i="3"/>
  <c r="H24" i="3" l="1"/>
  <c r="I24" i="3" s="1"/>
  <c r="G25" i="3" l="1"/>
  <c r="J24" i="3"/>
  <c r="H25" i="3" l="1"/>
  <c r="I25" i="3" s="1"/>
  <c r="G26" i="3" l="1"/>
  <c r="J25" i="3"/>
  <c r="H26" i="3" l="1"/>
  <c r="I26" i="3" s="1"/>
  <c r="G27" i="3" l="1"/>
  <c r="J26" i="3"/>
  <c r="H27" i="3" l="1"/>
  <c r="I27" i="3" s="1"/>
  <c r="J27" i="3" l="1"/>
  <c r="G28" i="3"/>
  <c r="H28" i="3" l="1"/>
  <c r="I28" i="3" s="1"/>
  <c r="G29" i="3" l="1"/>
  <c r="J28" i="3"/>
  <c r="H29" i="3" l="1"/>
  <c r="I29" i="3" s="1"/>
  <c r="G30" i="3" l="1"/>
  <c r="J29" i="3"/>
  <c r="H8" i="1"/>
  <c r="H30" i="3" l="1"/>
  <c r="I30" i="3" s="1"/>
  <c r="G31" i="3" l="1"/>
  <c r="J30" i="3"/>
  <c r="H31" i="3" l="1"/>
  <c r="I31" i="3" s="1"/>
  <c r="G32" i="3" l="1"/>
  <c r="J31" i="3"/>
  <c r="H32" i="3" l="1"/>
  <c r="I32" i="3" s="1"/>
  <c r="J32" i="3" l="1"/>
  <c r="G33" i="3"/>
  <c r="H33" i="3" l="1"/>
  <c r="I33" i="3" s="1"/>
  <c r="G34" i="3" l="1"/>
  <c r="J33" i="3"/>
  <c r="H34" i="3" l="1"/>
  <c r="I34" i="3" s="1"/>
  <c r="G35" i="3" l="1"/>
  <c r="J34" i="3"/>
  <c r="H35" i="3" l="1"/>
  <c r="I35" i="3" s="1"/>
  <c r="G36" i="3" l="1"/>
  <c r="J35" i="3"/>
  <c r="H36" i="3" l="1"/>
  <c r="I36" i="3" s="1"/>
  <c r="G37" i="3" l="1"/>
  <c r="J36" i="3"/>
  <c r="H37" i="3" l="1"/>
  <c r="I37" i="3" s="1"/>
  <c r="J37" i="3" l="1"/>
  <c r="G38" i="3"/>
  <c r="H38" i="3" l="1"/>
  <c r="I38" i="3" s="1"/>
  <c r="G39" i="3" l="1"/>
  <c r="J38" i="3"/>
  <c r="H39" i="3" l="1"/>
  <c r="I39" i="3" s="1"/>
  <c r="G40" i="3" l="1"/>
  <c r="J39" i="3"/>
  <c r="H40" i="3" l="1"/>
  <c r="I40" i="3" s="1"/>
  <c r="G41" i="3" l="1"/>
  <c r="J40" i="3"/>
  <c r="H41" i="3" l="1"/>
  <c r="I41" i="3" s="1"/>
  <c r="G42" i="3" l="1"/>
  <c r="J41" i="3"/>
  <c r="H42" i="3" l="1"/>
  <c r="I42" i="3" s="1"/>
  <c r="J42" i="3" l="1"/>
  <c r="G43" i="3"/>
  <c r="H43" i="3" l="1"/>
  <c r="I43" i="3" s="1"/>
  <c r="G44" i="3" l="1"/>
  <c r="J43" i="3"/>
  <c r="H44" i="3" l="1"/>
  <c r="I44" i="3" s="1"/>
  <c r="G45" i="3" l="1"/>
  <c r="J44" i="3"/>
  <c r="H45" i="3" l="1"/>
  <c r="I45" i="3" s="1"/>
  <c r="G46" i="3" l="1"/>
  <c r="J45" i="3"/>
  <c r="H46" i="3" l="1"/>
  <c r="I46" i="3" s="1"/>
  <c r="G47" i="3" l="1"/>
  <c r="J46" i="3"/>
  <c r="H47" i="3" l="1"/>
  <c r="I47" i="3" s="1"/>
  <c r="J47" i="3" l="1"/>
  <c r="G48" i="3"/>
  <c r="H48" i="3" l="1"/>
  <c r="I48" i="3" s="1"/>
  <c r="G49" i="3" l="1"/>
  <c r="J48" i="3"/>
  <c r="H49" i="3" l="1"/>
  <c r="I49" i="3" s="1"/>
  <c r="G50" i="3" l="1"/>
  <c r="J49" i="3"/>
  <c r="H50" i="3" l="1"/>
  <c r="I50" i="3" s="1"/>
  <c r="G51" i="3" l="1"/>
  <c r="J50" i="3"/>
  <c r="H51" i="3" l="1"/>
  <c r="I51" i="3" s="1"/>
  <c r="G52" i="3" l="1"/>
  <c r="J51" i="3"/>
  <c r="H52" i="3" l="1"/>
  <c r="I52" i="3" s="1"/>
  <c r="J52" i="3" l="1"/>
  <c r="G53" i="3"/>
  <c r="H53" i="3" l="1"/>
  <c r="I53" i="3" s="1"/>
  <c r="G54" i="3" l="1"/>
  <c r="J53" i="3"/>
  <c r="H54" i="3" l="1"/>
  <c r="I54" i="3" s="1"/>
  <c r="J5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5" authorId="0" shapeId="0" xr:uid="{00000000-0006-0000-0200-000001000000}">
      <text>
        <r>
          <rPr>
            <sz val="10"/>
            <rFont val="Arial"/>
            <family val="2"/>
          </rPr>
          <t>Dein heutiges Alter. Steuert die Altersspalte in der Projektion.</t>
        </r>
      </text>
    </comment>
    <comment ref="E7" authorId="0" shapeId="0" xr:uid="{00000000-0006-0000-0200-000002000000}">
      <text>
        <r>
          <rPr>
            <sz val="10"/>
            <rFont val="Arial"/>
            <family val="2"/>
          </rPr>
          <t>Geschätztes aktuelles Nettovermögen (Aktiva - Passiva). Wird aus dem Blatt 'Vermögen' übernommen, kann hier überschrieben werden.</t>
        </r>
      </text>
    </comment>
    <comment ref="J11" authorId="0" shapeId="0" xr:uid="{00000000-0006-0000-0200-000004000000}">
      <text>
        <r>
          <rPr>
            <sz val="10"/>
            <rFont val="Arial"/>
            <family val="2"/>
          </rPr>
          <t>4%-Regel: Bei einem 25-fachen jährlichen Bedarf kann das Kapital langfristig die Rentenlücke decken.</t>
        </r>
      </text>
    </comment>
    <comment ref="E12" authorId="0" shapeId="0" xr:uid="{00000000-0006-0000-0200-000003000000}">
      <text>
        <r>
          <rPr>
            <sz val="10"/>
            <rFont val="Arial"/>
            <family val="2"/>
          </rPr>
          <t>Historischer Durchschnitt globaler Aktienmärkte ~7%. Konservativ 4-5% ansetzen.</t>
        </r>
      </text>
    </comment>
  </commentList>
</comments>
</file>

<file path=xl/sharedStrings.xml><?xml version="1.0" encoding="utf-8"?>
<sst xmlns="http://schemas.openxmlformats.org/spreadsheetml/2006/main" count="170" uniqueCount="133">
  <si>
    <t>Strategische Sicht auf Vermögen, Sparziele und Altersvorsorge. Eingabewerte änderst du auf den anderen Blättern.</t>
  </si>
  <si>
    <t>NETTOVERMÖGEN</t>
  </si>
  <si>
    <t>GESAMT AKTIVA</t>
  </si>
  <si>
    <t>GESAMT PASSIVA</t>
  </si>
  <si>
    <t>EIGENKAPITALQUOTE</t>
  </si>
  <si>
    <t>JÄHRLICHE SPARRATE</t>
  </si>
  <si>
    <t>SPARQUOTE</t>
  </si>
  <si>
    <t>RENTENLÜCKE / MONAT</t>
  </si>
  <si>
    <t>VERMÖGEN IN 10 JAHREN</t>
  </si>
  <si>
    <t>Vermögensverlauf</t>
  </si>
  <si>
    <t>Vermögensstruktur (Aktiva)</t>
  </si>
  <si>
    <t>Monat</t>
  </si>
  <si>
    <t>Aktiva</t>
  </si>
  <si>
    <t>Passiva</t>
  </si>
  <si>
    <t>Nettovermögen</t>
  </si>
  <si>
    <t>Δ Vormonat</t>
  </si>
  <si>
    <t>Kategorie</t>
  </si>
  <si>
    <t>Wert</t>
  </si>
  <si>
    <t>Anteil</t>
  </si>
  <si>
    <t>Jan 2026</t>
  </si>
  <si>
    <t>Liquide Mittel</t>
  </si>
  <si>
    <t>Feb 2026</t>
  </si>
  <si>
    <t>Geldanlagen</t>
  </si>
  <si>
    <t>Mär 2026</t>
  </si>
  <si>
    <t>Altersvorsorge</t>
  </si>
  <si>
    <t>Apr 2026</t>
  </si>
  <si>
    <t>Sachwerte</t>
  </si>
  <si>
    <t>Mai 2026</t>
  </si>
  <si>
    <t>Jun 2026</t>
  </si>
  <si>
    <t>Jul 2026</t>
  </si>
  <si>
    <t>Aug 2026</t>
  </si>
  <si>
    <t>Sep 2026</t>
  </si>
  <si>
    <t>Okt 2026</t>
  </si>
  <si>
    <t>Nov 2026</t>
  </si>
  <si>
    <t>Dez 2026</t>
  </si>
  <si>
    <t>Top-Sparziele (siehe Blatt 'Sparziele')</t>
  </si>
  <si>
    <t>Ziel</t>
  </si>
  <si>
    <t>Zielbetrag</t>
  </si>
  <si>
    <t>Gespart</t>
  </si>
  <si>
    <t>Verbleibend</t>
  </si>
  <si>
    <t>Fortschritt</t>
  </si>
  <si>
    <t>Status</t>
  </si>
  <si>
    <t>Vermögensaufstellung</t>
  </si>
  <si>
    <t>Trage zu jedem Monatsende die Salden ein. Aktiva minus Passiva ergibt das Nettovermögen.</t>
  </si>
  <si>
    <t>Position</t>
  </si>
  <si>
    <t>Veränderung</t>
  </si>
  <si>
    <t>Notiz</t>
  </si>
  <si>
    <t>AKTIVA – Liquide Mittel</t>
  </si>
  <si>
    <t>Girokonto</t>
  </si>
  <si>
    <t>Liquidität</t>
  </si>
  <si>
    <t>Tagesgeldkonto (Notgroschen)</t>
  </si>
  <si>
    <t>Bargeld &amp; Spardose</t>
  </si>
  <si>
    <t>Zwischensumme Liquide Mittel</t>
  </si>
  <si>
    <t>AKTIVA – Geldanlagen</t>
  </si>
  <si>
    <t>Festgeldkonto</t>
  </si>
  <si>
    <t>Geldanlage</t>
  </si>
  <si>
    <t>ETF-Depot (MSCI World)</t>
  </si>
  <si>
    <t>Einzelaktien</t>
  </si>
  <si>
    <t>Anleihen-ETF</t>
  </si>
  <si>
    <t>Krypto-Wallet</t>
  </si>
  <si>
    <t>Zwischensumme Geldanlagen</t>
  </si>
  <si>
    <t>AKTIVA – Altersvorsorge</t>
  </si>
  <si>
    <t>Riester-Rente (Rückkaufswert)</t>
  </si>
  <si>
    <t>Betriebliche Altersvorsorge</t>
  </si>
  <si>
    <t>Private Rentenversicherung</t>
  </si>
  <si>
    <t>Zwischensumme Altersvorsorge</t>
  </si>
  <si>
    <t>AKTIVA – Sachwerte</t>
  </si>
  <si>
    <t>Eigentumswohnung (Marktwert)</t>
  </si>
  <si>
    <t>Sachwert</t>
  </si>
  <si>
    <t>Fahrzeug (Zeitwert)</t>
  </si>
  <si>
    <t>Wertgegenstände &amp; Hausrat</t>
  </si>
  <si>
    <t>Zwischensumme Sachwerte</t>
  </si>
  <si>
    <t>PASSIVA – Verbindlichkeiten</t>
  </si>
  <si>
    <t>Immobilienkredit (Restschuld)</t>
  </si>
  <si>
    <t>Hypothek</t>
  </si>
  <si>
    <t>KfW-Darlehen</t>
  </si>
  <si>
    <t>Förderkredit</t>
  </si>
  <si>
    <t>Konsumkredit (Möbel)</t>
  </si>
  <si>
    <t>Ratenkredit</t>
  </si>
  <si>
    <t>Kreditkarte (offener Saldo)</t>
  </si>
  <si>
    <t>Kurzfristig</t>
  </si>
  <si>
    <t>Zwischensumme Verbindlichkeiten</t>
  </si>
  <si>
    <t>Mehrjahresplanung</t>
  </si>
  <si>
    <t>Annahmen oben anpassen — die Projektion rechnet 20 Jahre voraus.</t>
  </si>
  <si>
    <t>Annahmen</t>
  </si>
  <si>
    <t>Ergebnisse auf einen Blick</t>
  </si>
  <si>
    <t>Aktuelles Alter</t>
  </si>
  <si>
    <t>Jahre bis zur Rente</t>
  </si>
  <si>
    <t>Renteneintrittsalter</t>
  </si>
  <si>
    <t>Sparrate p.a. (aktuell)</t>
  </si>
  <si>
    <t>Startvermögen (Netto)</t>
  </si>
  <si>
    <t>Sparquote (aktuell)</t>
  </si>
  <si>
    <t>Jahresnettoeinkommen</t>
  </si>
  <si>
    <t>Bedarf im Ruhestand (Monat, heutige Kaufkraft)</t>
  </si>
  <si>
    <t>Jährliche Ausgaben</t>
  </si>
  <si>
    <t>Nettorente erwartet (Monat)</t>
  </si>
  <si>
    <t>Einkommens-Wachstum p.a.</t>
  </si>
  <si>
    <t>Monatliche Rentenlücke</t>
  </si>
  <si>
    <t>Inflation p.a.</t>
  </si>
  <si>
    <t>Benötigtes Kapital zum Renteneintritt (25× Lücke p.a.)</t>
  </si>
  <si>
    <t>Rendite Geldanlagen p.a.</t>
  </si>
  <si>
    <t>Erwartete Bruttorente (Monat)</t>
  </si>
  <si>
    <t>Steuersatz im Ruhestand</t>
  </si>
  <si>
    <t>35-Jahres-Projektion</t>
  </si>
  <si>
    <t>Jahr</t>
  </si>
  <si>
    <t>Alter</t>
  </si>
  <si>
    <t>Einkommen netto</t>
  </si>
  <si>
    <t>Ausgaben</t>
  </si>
  <si>
    <t>Sparrate</t>
  </si>
  <si>
    <t>Vermögen Start</t>
  </si>
  <si>
    <t>Kapitalertrag</t>
  </si>
  <si>
    <t>Vermögen Ende</t>
  </si>
  <si>
    <t>Real (heutige €)</t>
  </si>
  <si>
    <t>Sparziele</t>
  </si>
  <si>
    <t>Definiere konkrete Ziele mit Zielbetrag und Datum. Fortschritt und nötige Monatsrate werden automatisch berechnet.</t>
  </si>
  <si>
    <t>Priorität</t>
  </si>
  <si>
    <t>Aktuell gespart</t>
  </si>
  <si>
    <t>Zieldatum</t>
  </si>
  <si>
    <t>Monatlich sparen (Plan)</t>
  </si>
  <si>
    <t>Restmonate</t>
  </si>
  <si>
    <t>Notgroschen ausbauen (6 Monatsausgaben)</t>
  </si>
  <si>
    <t>Hoch</t>
  </si>
  <si>
    <t>Urlaub Skandinavien 2027</t>
  </si>
  <si>
    <t>Mittel</t>
  </si>
  <si>
    <t>Sondertilgung Immobilienkredit</t>
  </si>
  <si>
    <t>Neues Fahrzeug (in ~5 Jahren)</t>
  </si>
  <si>
    <t>Modernisierung Wohnung</t>
  </si>
  <si>
    <t>Niedrig</t>
  </si>
  <si>
    <t>Zusätzliche Altersvorsorge (ETF)</t>
  </si>
  <si>
    <t>Weiterbildung / Master</t>
  </si>
  <si>
    <t>Hochzeit</t>
  </si>
  <si>
    <t>GESAMT</t>
  </si>
  <si>
    <t>Finanzplanung Privat – 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</si>
</sst>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;[Red]\(#,##0&quot; €)&quot;;\-"/>
    <numFmt numFmtId="165" formatCode="0.0%;[Red]\-0.0%;\-"/>
    <numFmt numFmtId="166" formatCode="dd\.mm\.yyyy"/>
  </numFmts>
  <fonts count="22" x14ac:knownFonts="1">
    <font>
      <sz val="11"/>
      <color theme="1"/>
      <name val="Calibri"/>
      <family val="2"/>
      <charset val="1"/>
    </font>
    <font>
      <b/>
      <sz val="20"/>
      <color rgb="FF1F3A5F"/>
      <name val="Arial"/>
      <charset val="1"/>
    </font>
    <font>
      <i/>
      <sz val="10"/>
      <color rgb="FF546E7A"/>
      <name val="Arial"/>
      <charset val="1"/>
    </font>
    <font>
      <b/>
      <sz val="10"/>
      <color rgb="FFFFFFFF"/>
      <name val="Arial"/>
      <charset val="1"/>
    </font>
    <font>
      <b/>
      <sz val="16"/>
      <color rgb="FF1F3A5F"/>
      <name val="Arial"/>
      <charset val="1"/>
    </font>
    <font>
      <b/>
      <sz val="13"/>
      <color rgb="FF1F3A5F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11"/>
      <color rgb="FF1F3A5F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1F3A5F"/>
      <name val="Arial"/>
      <charset val="1"/>
    </font>
    <font>
      <b/>
      <sz val="11"/>
      <color rgb="FF2E7D32"/>
      <name val="Arial"/>
      <charset val="1"/>
    </font>
    <font>
      <b/>
      <sz val="11"/>
      <color rgb="FFC62828"/>
      <name val="Arial"/>
      <charset val="1"/>
    </font>
    <font>
      <b/>
      <sz val="12"/>
      <color rgb="FFFFFFFF"/>
      <name val="Arial"/>
      <charset val="1"/>
    </font>
    <font>
      <b/>
      <sz val="11"/>
      <color rgb="FF0000FF"/>
      <name val="Arial"/>
      <charset val="1"/>
    </font>
    <font>
      <b/>
      <sz val="11"/>
      <color rgb="FF2E7D6B"/>
      <name val="Arial"/>
      <charset val="1"/>
    </font>
    <font>
      <b/>
      <sz val="11"/>
      <color rgb="FFF57C00"/>
      <name val="Arial"/>
      <charset val="1"/>
    </font>
    <font>
      <b/>
      <sz val="14"/>
      <color rgb="FF1F3A5F"/>
      <name val="Arial"/>
      <charset val="1"/>
    </font>
    <font>
      <sz val="10"/>
      <name val="Arial"/>
      <family val="2"/>
    </font>
    <font>
      <b/>
      <sz val="10"/>
      <color rgb="FF0000FF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2E7D32"/>
        <bgColor rgb="FF2E7D6B"/>
      </patternFill>
    </fill>
    <fill>
      <patternFill patternType="solid">
        <fgColor rgb="FF1F3A5F"/>
        <bgColor rgb="FF333333"/>
      </patternFill>
    </fill>
    <fill>
      <patternFill patternType="solid">
        <fgColor rgb="FFC62828"/>
        <bgColor rgb="FFAA433F"/>
      </patternFill>
    </fill>
    <fill>
      <patternFill patternType="solid">
        <fgColor rgb="FF2E7D6B"/>
        <bgColor rgb="FF2E7D32"/>
      </patternFill>
    </fill>
    <fill>
      <patternFill patternType="solid">
        <fgColor rgb="FFF57C00"/>
        <bgColor rgb="FFFF9900"/>
      </patternFill>
    </fill>
    <fill>
      <patternFill patternType="solid">
        <fgColor rgb="FFE8F4EA"/>
        <bgColor rgb="FFE1F5FE"/>
      </patternFill>
    </fill>
    <fill>
      <patternFill patternType="solid">
        <fgColor rgb="FFE1E7EE"/>
        <bgColor rgb="FFD4EDDA"/>
      </patternFill>
    </fill>
    <fill>
      <patternFill patternType="solid">
        <fgColor rgb="FFFBEAEA"/>
        <bgColor rgb="FFF4F6F8"/>
      </patternFill>
    </fill>
    <fill>
      <patternFill patternType="solid">
        <fgColor rgb="FFFFF9E6"/>
        <bgColor rgb="FFF4F6F8"/>
      </patternFill>
    </fill>
    <fill>
      <patternFill patternType="solid">
        <fgColor rgb="FFF4F6F8"/>
        <bgColor rgb="FFE8F4EA"/>
      </patternFill>
    </fill>
  </fills>
  <borders count="4">
    <border>
      <left/>
      <right/>
      <top/>
      <bottom/>
      <diagonal/>
    </border>
    <border>
      <left style="thin">
        <color rgb="FFC8CED5"/>
      </left>
      <right/>
      <top/>
      <bottom style="thin">
        <color rgb="FFC8CED5"/>
      </bottom>
      <diagonal/>
    </border>
    <border>
      <left style="thin">
        <color rgb="FFC8CED5"/>
      </left>
      <right style="thin">
        <color rgb="FFC8CED5"/>
      </right>
      <top style="thin">
        <color rgb="FFC8CED5"/>
      </top>
      <bottom style="thin">
        <color rgb="FFC8CED5"/>
      </bottom>
      <diagonal/>
    </border>
    <border>
      <left style="medium">
        <color rgb="FF1F3A5F"/>
      </left>
      <right style="medium">
        <color rgb="FF1F3A5F"/>
      </right>
      <top style="medium">
        <color rgb="FF1F3A5F"/>
      </top>
      <bottom style="medium">
        <color rgb="FF1F3A5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9" fillId="9" borderId="2" xfId="0" applyFont="1" applyFill="1" applyBorder="1" applyAlignment="1">
      <alignment horizontal="left" vertical="center" indent="1"/>
    </xf>
    <xf numFmtId="0" fontId="12" fillId="8" borderId="2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164" fontId="7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7" borderId="2" xfId="0" applyFont="1" applyFill="1" applyBorder="1"/>
    <xf numFmtId="0" fontId="7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2" fillId="8" borderId="2" xfId="0" applyFont="1" applyFill="1" applyBorder="1" applyAlignment="1">
      <alignment horizontal="left" vertical="center" indent="1"/>
    </xf>
    <xf numFmtId="164" fontId="12" fillId="8" borderId="2" xfId="0" applyNumberFormat="1" applyFont="1" applyFill="1" applyBorder="1" applyAlignment="1">
      <alignment horizontal="right" vertical="center"/>
    </xf>
    <xf numFmtId="0" fontId="12" fillId="8" borderId="2" xfId="0" applyFont="1" applyFill="1" applyBorder="1"/>
    <xf numFmtId="0" fontId="9" fillId="9" borderId="2" xfId="0" applyFont="1" applyFill="1" applyBorder="1"/>
    <xf numFmtId="164" fontId="13" fillId="7" borderId="2" xfId="0" applyNumberFormat="1" applyFont="1" applyFill="1" applyBorder="1" applyAlignment="1">
      <alignment horizontal="right" vertical="center"/>
    </xf>
    <xf numFmtId="0" fontId="13" fillId="7" borderId="2" xfId="0" applyFont="1" applyFill="1" applyBorder="1"/>
    <xf numFmtId="164" fontId="14" fillId="9" borderId="2" xfId="0" applyNumberFormat="1" applyFont="1" applyFill="1" applyBorder="1" applyAlignment="1">
      <alignment horizontal="right" vertical="center"/>
    </xf>
    <xf numFmtId="0" fontId="14" fillId="9" borderId="2" xfId="0" applyFont="1" applyFill="1" applyBorder="1"/>
    <xf numFmtId="164" fontId="15" fillId="3" borderId="2" xfId="0" applyNumberFormat="1" applyFont="1" applyFill="1" applyBorder="1" applyAlignment="1">
      <alignment horizontal="right" vertical="center"/>
    </xf>
    <xf numFmtId="0" fontId="15" fillId="3" borderId="2" xfId="0" applyFont="1" applyFill="1" applyBorder="1"/>
    <xf numFmtId="1" fontId="16" fillId="10" borderId="3" xfId="0" applyNumberFormat="1" applyFont="1" applyFill="1" applyBorder="1" applyAlignment="1">
      <alignment horizontal="center" vertical="center"/>
    </xf>
    <xf numFmtId="164" fontId="16" fillId="10" borderId="3" xfId="0" applyNumberFormat="1" applyFont="1" applyFill="1" applyBorder="1" applyAlignment="1">
      <alignment horizontal="center" vertical="center"/>
    </xf>
    <xf numFmtId="165" fontId="16" fillId="10" borderId="3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12" fillId="11" borderId="2" xfId="0" applyNumberFormat="1" applyFont="1" applyFill="1" applyBorder="1" applyAlignment="1">
      <alignment horizontal="center" vertical="center"/>
    </xf>
    <xf numFmtId="1" fontId="7" fillId="11" borderId="2" xfId="0" applyNumberFormat="1" applyFont="1" applyFill="1" applyBorder="1" applyAlignment="1">
      <alignment horizontal="center" vertical="center"/>
    </xf>
    <xf numFmtId="164" fontId="7" fillId="11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164" fontId="21" fillId="10" borderId="2" xfId="0" applyNumberFormat="1" applyFont="1" applyFill="1" applyBorder="1" applyAlignment="1">
      <alignment horizontal="right" vertical="center"/>
    </xf>
    <xf numFmtId="166" fontId="21" fillId="10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vertical="center"/>
    </xf>
    <xf numFmtId="165" fontId="12" fillId="8" borderId="2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left" vertical="center" indent="1"/>
    </xf>
    <xf numFmtId="0" fontId="14" fillId="9" borderId="2" xfId="0" applyFont="1" applyFill="1" applyBorder="1" applyAlignment="1">
      <alignment horizontal="left" vertical="center" indent="1"/>
    </xf>
    <xf numFmtId="0" fontId="15" fillId="3" borderId="2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1" fontId="9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1">
    <cellStyle name="Standard" xfId="0" builtinId="0"/>
  </cellStyles>
  <dxfs count="16">
    <dxf>
      <font>
        <b/>
        <sz val="10"/>
        <color rgb="FFC62828"/>
        <name val="Arial"/>
        <charset val="1"/>
      </font>
      <fill>
        <patternFill>
          <bgColor rgb="FFF8D7DA"/>
        </patternFill>
      </fill>
    </dxf>
    <dxf>
      <font>
        <b/>
        <sz val="10"/>
        <color rgb="FFF57C00"/>
        <name val="Arial"/>
        <charset val="1"/>
      </font>
      <fill>
        <patternFill>
          <bgColor rgb="FFFFF3CD"/>
        </patternFill>
      </fill>
    </dxf>
    <dxf>
      <font>
        <b/>
        <sz val="10"/>
        <color rgb="FF0277BD"/>
        <name val="Arial"/>
        <charset val="1"/>
      </font>
      <fill>
        <patternFill>
          <bgColor rgb="FFE1F5FE"/>
        </patternFill>
      </fill>
    </dxf>
    <dxf>
      <font>
        <b/>
        <sz val="10"/>
        <color rgb="FF2E7D32"/>
        <name val="Arial"/>
        <charset val="1"/>
      </font>
      <fill>
        <patternFill>
          <bgColor rgb="FFD4EDDA"/>
        </patternFill>
      </fill>
    </dxf>
    <dxf>
      <font>
        <b/>
        <sz val="10"/>
        <color rgb="FF546E7A"/>
        <name val="Arial"/>
        <charset val="1"/>
      </font>
    </dxf>
    <dxf>
      <font>
        <b/>
        <sz val="10"/>
        <color rgb="FFF57C00"/>
        <name val="Arial"/>
        <charset val="1"/>
      </font>
    </dxf>
    <dxf>
      <font>
        <b/>
        <sz val="10"/>
        <color rgb="FFC62828"/>
        <name val="Arial"/>
        <charset val="1"/>
      </font>
    </dxf>
    <dxf>
      <font>
        <b/>
        <sz val="10"/>
        <name val="Arial"/>
        <charset val="1"/>
      </font>
      <fill>
        <patternFill>
          <bgColor rgb="FFFFE082"/>
        </patternFill>
      </fill>
    </dxf>
    <dxf>
      <font>
        <b/>
        <sz val="10"/>
        <color rgb="FFC62828"/>
        <name val="Arial"/>
        <charset val="1"/>
      </font>
    </dxf>
    <dxf>
      <font>
        <b/>
        <sz val="10"/>
        <color rgb="FF2E7D32"/>
        <name val="Arial"/>
        <charset val="1"/>
      </font>
    </dxf>
    <dxf>
      <font>
        <b/>
        <sz val="10"/>
        <color rgb="FFC62828"/>
        <name val="Arial"/>
        <charset val="1"/>
      </font>
      <fill>
        <patternFill>
          <bgColor rgb="FFF8D7DA"/>
        </patternFill>
      </fill>
    </dxf>
    <dxf>
      <font>
        <b/>
        <sz val="10"/>
        <color rgb="FFF57C00"/>
        <name val="Arial"/>
        <charset val="1"/>
      </font>
      <fill>
        <patternFill>
          <bgColor rgb="FFFFF3CD"/>
        </patternFill>
      </fill>
    </dxf>
    <dxf>
      <font>
        <b/>
        <sz val="10"/>
        <color rgb="FF0277BD"/>
        <name val="Arial"/>
        <charset val="1"/>
      </font>
      <fill>
        <patternFill>
          <bgColor rgb="FFE1F5FE"/>
        </patternFill>
      </fill>
    </dxf>
    <dxf>
      <font>
        <b/>
        <sz val="10"/>
        <color rgb="FF2E7D32"/>
        <name val="Arial"/>
        <charset val="1"/>
      </font>
      <fill>
        <patternFill>
          <bgColor rgb="FFD4EDDA"/>
        </patternFill>
      </fill>
    </dxf>
    <dxf>
      <font>
        <b/>
        <sz val="10"/>
        <color rgb="FFC62828"/>
        <name val="Arial"/>
        <charset val="1"/>
      </font>
    </dxf>
    <dxf>
      <font>
        <b/>
        <sz val="10"/>
        <color rgb="FF2E7D32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4F6F8"/>
      <rgbColor rgb="FFFF00FF"/>
      <rgbColor rgb="FF00FFFF"/>
      <rgbColor rgb="FF800000"/>
      <rgbColor rgb="FF2E7D32"/>
      <rgbColor rgb="FF000080"/>
      <rgbColor rgb="FF808000"/>
      <rgbColor rgb="FF6A1B9A"/>
      <rgbColor rgb="FF546E7A"/>
      <rgbColor rgb="FFC8CED5"/>
      <rgbColor rgb="FF878787"/>
      <rgbColor rgb="FF9999FF"/>
      <rgbColor rgb="FFAA433F"/>
      <rgbColor rgb="FFFFF3CD"/>
      <rgbColor rgb="FFE1F5FE"/>
      <rgbColor rgb="FF660066"/>
      <rgbColor rgb="FFC0504D"/>
      <rgbColor rgb="FF0277BD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EA"/>
      <rgbColor rgb="FFD4EDDA"/>
      <rgbColor rgb="FFFFF9E6"/>
      <rgbColor rgb="FFE1E7EE"/>
      <rgbColor rgb="FFF8D7DA"/>
      <rgbColor rgb="FFFBEAEA"/>
      <rgbColor rgb="FFFFE082"/>
      <rgbColor rgb="FF4F81BD"/>
      <rgbColor rgb="FF33CCCC"/>
      <rgbColor rgb="FF9BBB59"/>
      <rgbColor rgb="FFFFCC00"/>
      <rgbColor rgb="FFFF9900"/>
      <rgbColor rgb="FFF57C00"/>
      <rgbColor rgb="FF8064A2"/>
      <rgbColor rgb="FFCC8F8E"/>
      <rgbColor rgb="FF1F3A5F"/>
      <rgbColor rgb="FF2E7D6B"/>
      <rgbColor rgb="FF003300"/>
      <rgbColor rgb="FF333300"/>
      <rgbColor rgb="FFC62828"/>
      <rgbColor rgb="FFBE4B48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Nettovermögen 2026 – Monatsverlauf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Übersicht!$E$12</c:f>
              <c:strCache>
                <c:ptCount val="1"/>
                <c:pt idx="0">
                  <c:v>Nettovermögen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Übersicht!$B$13:$B$24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Mär 2026</c:v>
                </c:pt>
                <c:pt idx="3">
                  <c:v>Apr 2026</c:v>
                </c:pt>
                <c:pt idx="4">
                  <c:v>Mai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Okt 2026</c:v>
                </c:pt>
                <c:pt idx="10">
                  <c:v>Nov 2026</c:v>
                </c:pt>
                <c:pt idx="11">
                  <c:v>Dez 2026</c:v>
                </c:pt>
              </c:strCache>
            </c:strRef>
          </c:cat>
          <c:val>
            <c:numRef>
              <c:f>Übersicht!$E$13:$E$24</c:f>
              <c:numCache>
                <c:formatCode>General</c:formatCode>
                <c:ptCount val="12"/>
                <c:pt idx="0">
                  <c:v>164900</c:v>
                </c:pt>
                <c:pt idx="1">
                  <c:v>167170</c:v>
                </c:pt>
                <c:pt idx="2">
                  <c:v>171180</c:v>
                </c:pt>
                <c:pt idx="3">
                  <c:v>174380</c:v>
                </c:pt>
                <c:pt idx="4">
                  <c:v>179590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45B-49B6-80D7-700F3A3F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1278368"/>
        <c:axId val="28870635"/>
      </c:lineChart>
      <c:catAx>
        <c:axId val="9127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8870635"/>
        <c:crosses val="autoZero"/>
        <c:auto val="1"/>
        <c:lblAlgn val="ctr"/>
        <c:lblOffset val="100"/>
        <c:noMultiLvlLbl val="0"/>
      </c:catAx>
      <c:valAx>
        <c:axId val="2887063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127836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Vermögensstruktur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Übersicht!$I$12</c:f>
              <c:strCache>
                <c:ptCount val="1"/>
                <c:pt idx="0">
                  <c:v>Wert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339A-46FA-A119-C0EB675C3FB1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39A-46FA-A119-C0EB675C3FB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39A-46FA-A119-C0EB675C3FB1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39A-46FA-A119-C0EB675C3FB1}"/>
              </c:ext>
            </c:extLst>
          </c:dPt>
          <c:cat>
            <c:strRef>
              <c:f>Übersicht!$H$13:$H$16</c:f>
              <c:strCache>
                <c:ptCount val="4"/>
                <c:pt idx="0">
                  <c:v>Liquide Mittel</c:v>
                </c:pt>
                <c:pt idx="1">
                  <c:v>Geldanlagen</c:v>
                </c:pt>
                <c:pt idx="2">
                  <c:v>Altersvorsorge</c:v>
                </c:pt>
                <c:pt idx="3">
                  <c:v>Sachwerte</c:v>
                </c:pt>
              </c:strCache>
            </c:strRef>
          </c:cat>
          <c:val>
            <c:numRef>
              <c:f>Übersicht!$I$13:$I$16</c:f>
              <c:numCache>
                <c:formatCode>General</c:formatCode>
                <c:ptCount val="4"/>
                <c:pt idx="0">
                  <c:v>16930</c:v>
                </c:pt>
                <c:pt idx="1">
                  <c:v>60990</c:v>
                </c:pt>
                <c:pt idx="2">
                  <c:v>30620</c:v>
                </c:pt>
                <c:pt idx="3">
                  <c:v>305200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9A-46FA-A119-C0EB675C3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Vermögensentwicklung (nominal vs. real)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Planung!$I$19</c:f>
              <c:strCache>
                <c:ptCount val="1"/>
                <c:pt idx="0">
                  <c:v>Vermögen Ende</c:v>
                </c:pt>
              </c:strCache>
            </c:strRef>
          </c:tx>
          <c:spPr>
            <a:ln w="47520">
              <a:solidFill>
                <a:srgbClr val="AA433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Planung!$B$20:$B$54</c:f>
              <c:numCache>
                <c:formatCode>0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f>Planung!$I$20:$I$54</c:f>
              <c:numCache>
                <c:formatCode>General</c:formatCode>
                <c:ptCount val="35"/>
                <c:pt idx="0">
                  <c:v>174585</c:v>
                </c:pt>
                <c:pt idx="1">
                  <c:v>196844.25</c:v>
                </c:pt>
                <c:pt idx="2">
                  <c:v>220554.71249999999</c:v>
                </c:pt>
                <c:pt idx="3">
                  <c:v>245797.40437499998</c:v>
                </c:pt>
                <c:pt idx="4">
                  <c:v>272657.60475</c:v>
                </c:pt>
                <c:pt idx="5">
                  <c:v>301225.07339765626</c:v>
                </c:pt>
                <c:pt idx="6">
                  <c:v>331594.28018794925</c:v>
                </c:pt>
                <c:pt idx="7">
                  <c:v>363864.64614576712</c:v>
                </c:pt>
                <c:pt idx="8">
                  <c:v>398140.79670018639</c:v>
                </c:pt>
                <c:pt idx="9">
                  <c:v>434532.82773850486</c:v>
                </c:pt>
                <c:pt idx="10">
                  <c:v>473156.58510882204</c:v>
                </c:pt>
                <c:pt idx="11">
                  <c:v>514133.95824723982</c:v>
                </c:pt>
                <c:pt idx="12">
                  <c:v>557593.18863965292</c:v>
                </c:pt>
                <c:pt idx="13">
                  <c:v>603669.19386368804</c:v>
                </c:pt>
                <c:pt idx="14">
                  <c:v>652503.90799372608</c:v>
                </c:pt>
                <c:pt idx="15">
                  <c:v>704246.63919118745</c:v>
                </c:pt>
                <c:pt idx="16">
                  <c:v>759054.44534346624</c:v>
                </c:pt>
                <c:pt idx="17">
                  <c:v>817092.52865817701</c:v>
                </c:pt>
                <c:pt idx="18">
                  <c:v>878534.65016481164</c:v>
                </c:pt>
                <c:pt idx="19">
                  <c:v>943563.56512362126</c:v>
                </c:pt>
                <c:pt idx="20">
                  <c:v>1012371.4803916356</c:v>
                </c:pt>
                <c:pt idx="21">
                  <c:v>1085160.5348483464</c:v>
                </c:pt>
                <c:pt idx="22">
                  <c:v>1162143.304038821</c:v>
                </c:pt>
                <c:pt idx="23">
                  <c:v>1243543.3302500208</c:v>
                </c:pt>
                <c:pt idx="24">
                  <c:v>1329595.679297012</c:v>
                </c:pt>
                <c:pt idx="25">
                  <c:v>1420547.5253597151</c:v>
                </c:pt>
                <c:pt idx="26">
                  <c:v>1516658.7652779995</c:v>
                </c:pt>
                <c:pt idx="27">
                  <c:v>1618202.6637834555</c:v>
                </c:pt>
                <c:pt idx="28">
                  <c:v>1725466.5312202233</c:v>
                </c:pt>
                <c:pt idx="29">
                  <c:v>1838752.4353850195</c:v>
                </c:pt>
                <c:pt idx="30">
                  <c:v>1958377.9491981501</c:v>
                </c:pt>
                <c:pt idx="31">
                  <c:v>2084676.9360030342</c:v>
                </c:pt>
                <c:pt idx="32">
                  <c:v>2165559.7742905449</c:v>
                </c:pt>
                <c:pt idx="33">
                  <c:v>2249902.9792796155</c:v>
                </c:pt>
                <c:pt idx="34">
                  <c:v>2337864.974925003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C36-48F6-B63D-7BB693ABB373}"/>
            </c:ext>
          </c:extLst>
        </c:ser>
        <c:ser>
          <c:idx val="1"/>
          <c:order val="1"/>
          <c:tx>
            <c:strRef>
              <c:f>Planung!$J$19</c:f>
              <c:strCache>
                <c:ptCount val="1"/>
                <c:pt idx="0">
                  <c:v>Real (heutige €)</c:v>
                </c:pt>
              </c:strCache>
            </c:strRef>
          </c:tx>
          <c:spPr>
            <a:ln w="47520">
              <a:solidFill>
                <a:srgbClr val="CC8F8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Planung!$B$20:$B$54</c:f>
              <c:numCache>
                <c:formatCode>0</c:formatCode>
                <c:ptCount val="3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</c:numCache>
            </c:numRef>
          </c:cat>
          <c:val>
            <c:numRef>
              <c:f>Planung!$J$20:$J$54</c:f>
              <c:numCache>
                <c:formatCode>General</c:formatCode>
                <c:ptCount val="35"/>
                <c:pt idx="0">
                  <c:v>170326.8292682927</c:v>
                </c:pt>
                <c:pt idx="1">
                  <c:v>187359.19095776326</c:v>
                </c:pt>
                <c:pt idx="2">
                  <c:v>204806.97610307456</c:v>
                </c:pt>
                <c:pt idx="3">
                  <c:v>222680.31698363737</c:v>
                </c:pt>
                <c:pt idx="4">
                  <c:v>240989.59300762854</c:v>
                </c:pt>
                <c:pt idx="5">
                  <c:v>259745.43673952197</c:v>
                </c:pt>
                <c:pt idx="6">
                  <c:v>278958.74007463228</c:v>
                </c:pt>
                <c:pt idx="7">
                  <c:v>298640.66056425747</c:v>
                </c:pt>
                <c:pt idx="8">
                  <c:v>318802.62789509306</c:v>
                </c:pt>
                <c:pt idx="9">
                  <c:v>339456.3505266807</c:v>
                </c:pt>
                <c:pt idx="10">
                  <c:v>360613.8224907461</c:v>
                </c:pt>
                <c:pt idx="11">
                  <c:v>382287.33035637403</c:v>
                </c:pt>
                <c:pt idx="12">
                  <c:v>404489.46036506607</c:v>
                </c:pt>
                <c:pt idx="13">
                  <c:v>427233.10573982389</c:v>
                </c:pt>
                <c:pt idx="14">
                  <c:v>450531.47417250241</c:v>
                </c:pt>
                <c:pt idx="15">
                  <c:v>474398.09549378301</c:v>
                </c:pt>
                <c:pt idx="16">
                  <c:v>498846.82953021681</c:v>
                </c:pt>
                <c:pt idx="17">
                  <c:v>523891.87415290502</c:v>
                </c:pt>
                <c:pt idx="18">
                  <c:v>549547.77352248807</c:v>
                </c:pt>
                <c:pt idx="19">
                  <c:v>575829.42653523176</c:v>
                </c:pt>
                <c:pt idx="20">
                  <c:v>602752.09547511546</c:v>
                </c:pt>
                <c:pt idx="21">
                  <c:v>630331.41487694765</c:v>
                </c:pt>
                <c:pt idx="22">
                  <c:v>658583.40060565365</c:v>
                </c:pt>
                <c:pt idx="23">
                  <c:v>687524.45915701112</c:v>
                </c:pt>
                <c:pt idx="24">
                  <c:v>717171.39718523098</c:v>
                </c:pt>
                <c:pt idx="25">
                  <c:v>747541.43126291968</c:v>
                </c:pt>
                <c:pt idx="26">
                  <c:v>778652.19787908834</c:v>
                </c:pt>
                <c:pt idx="27">
                  <c:v>810521.76368101733</c:v>
                </c:pt>
                <c:pt idx="28">
                  <c:v>843168.63596592005</c:v>
                </c:pt>
                <c:pt idx="29">
                  <c:v>876611.77342850377</c:v>
                </c:pt>
                <c:pt idx="30">
                  <c:v>910870.59717066213</c:v>
                </c:pt>
                <c:pt idx="31">
                  <c:v>945965.00197970285</c:v>
                </c:pt>
                <c:pt idx="32">
                  <c:v>958699.75812554918</c:v>
                </c:pt>
                <c:pt idx="33">
                  <c:v>971745.11807983089</c:v>
                </c:pt>
                <c:pt idx="34">
                  <c:v>985108.65754519263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C36-48F6-B63D-7BB693ABB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2965646"/>
        <c:axId val="88990177"/>
      </c:lineChart>
      <c:catAx>
        <c:axId val="829656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8990177"/>
        <c:crosses val="autoZero"/>
        <c:auto val="1"/>
        <c:lblAlgn val="ctr"/>
        <c:lblOffset val="100"/>
        <c:noMultiLvlLbl val="0"/>
      </c:catAx>
      <c:valAx>
        <c:axId val="889901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€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296564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161280</xdr:rowOff>
    </xdr:from>
    <xdr:to>
      <xdr:col>5</xdr:col>
      <xdr:colOff>928860</xdr:colOff>
      <xdr:row>53</xdr:row>
      <xdr:rowOff>162720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19050</xdr:colOff>
      <xdr:row>16</xdr:row>
      <xdr:rowOff>46980</xdr:rowOff>
    </xdr:from>
    <xdr:to>
      <xdr:col>11</xdr:col>
      <xdr:colOff>21960</xdr:colOff>
      <xdr:row>33</xdr:row>
      <xdr:rowOff>29370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160920</xdr:rowOff>
    </xdr:from>
    <xdr:to>
      <xdr:col>7</xdr:col>
      <xdr:colOff>919080</xdr:colOff>
      <xdr:row>72</xdr:row>
      <xdr:rowOff>162000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</sheetPr>
  <dimension ref="B1:K35"/>
  <sheetViews>
    <sheetView showGridLines="0" tabSelected="1" zoomScaleNormal="100" workbookViewId="0">
      <selection activeCell="B2" sqref="B2:K2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4" width="14" customWidth="1"/>
    <col min="5" max="5" width="16" customWidth="1"/>
    <col min="6" max="6" width="14" customWidth="1"/>
    <col min="7" max="7" width="16" customWidth="1"/>
    <col min="8" max="8" width="22" customWidth="1"/>
    <col min="9" max="9" width="14" customWidth="1"/>
    <col min="10" max="10" width="12" customWidth="1"/>
    <col min="11" max="11" width="14" customWidth="1"/>
  </cols>
  <sheetData>
    <row r="1" spans="2:11" ht="33.75" customHeight="1" x14ac:dyDescent="0.25">
      <c r="B1" s="13" t="s">
        <v>132</v>
      </c>
      <c r="C1" s="13"/>
      <c r="D1" s="13"/>
      <c r="E1" s="13"/>
      <c r="F1" s="13"/>
      <c r="G1" s="13"/>
      <c r="H1" s="13"/>
      <c r="I1" s="13"/>
      <c r="J1" s="13"/>
      <c r="K1" s="13"/>
    </row>
    <row r="2" spans="2:11" x14ac:dyDescent="0.25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</row>
    <row r="4" spans="2:11" ht="21.75" customHeight="1" x14ac:dyDescent="0.25">
      <c r="B4" s="11" t="s">
        <v>1</v>
      </c>
      <c r="C4" s="11"/>
      <c r="D4" s="10" t="s">
        <v>2</v>
      </c>
      <c r="E4" s="10"/>
      <c r="F4" s="9" t="s">
        <v>3</v>
      </c>
      <c r="G4" s="9"/>
      <c r="H4" s="8" t="s">
        <v>4</v>
      </c>
      <c r="I4" s="8"/>
    </row>
    <row r="5" spans="2:11" ht="36" customHeight="1" x14ac:dyDescent="0.25">
      <c r="B5" s="7">
        <f>NettoAktuell</f>
        <v>179590</v>
      </c>
      <c r="C5" s="7"/>
      <c r="D5" s="7">
        <f>AktivaAktuell</f>
        <v>413740</v>
      </c>
      <c r="E5" s="7"/>
      <c r="F5" s="7">
        <f>PassivaAktuell</f>
        <v>234150</v>
      </c>
      <c r="G5" s="7"/>
      <c r="H5" s="6">
        <f>IFERROR(NettoAktuell/AktivaAktuell,0)</f>
        <v>0.43406487165852953</v>
      </c>
      <c r="I5" s="6"/>
    </row>
    <row r="7" spans="2:11" ht="21.75" customHeight="1" x14ac:dyDescent="0.25">
      <c r="B7" s="11" t="s">
        <v>5</v>
      </c>
      <c r="C7" s="11"/>
      <c r="D7" s="8" t="s">
        <v>6</v>
      </c>
      <c r="E7" s="8"/>
      <c r="F7" s="5" t="s">
        <v>7</v>
      </c>
      <c r="G7" s="5"/>
      <c r="H7" s="10" t="s">
        <v>8</v>
      </c>
      <c r="I7" s="10"/>
    </row>
    <row r="8" spans="2:11" ht="36" customHeight="1" x14ac:dyDescent="0.25">
      <c r="B8" s="7">
        <f>einkommen_start-ausgaben_start</f>
        <v>13200</v>
      </c>
      <c r="C8" s="7"/>
      <c r="D8" s="6">
        <f>IFERROR((einkommen_start-ausgaben_start)/einkommen_start,0)</f>
        <v>0.31428571428571428</v>
      </c>
      <c r="E8" s="6"/>
      <c r="F8" s="7">
        <f>Planung!J10</f>
        <v>522.99999999999977</v>
      </c>
      <c r="G8" s="7"/>
      <c r="H8" s="7">
        <f>Planung!I29</f>
        <v>434532.82773850486</v>
      </c>
      <c r="I8" s="7"/>
    </row>
    <row r="11" spans="2:11" ht="16.5" x14ac:dyDescent="0.25">
      <c r="B11" s="4" t="s">
        <v>9</v>
      </c>
      <c r="C11" s="4"/>
      <c r="D11" s="4"/>
      <c r="E11" s="4"/>
      <c r="F11" s="4"/>
      <c r="H11" s="4" t="s">
        <v>10</v>
      </c>
      <c r="I11" s="4"/>
      <c r="J11" s="4"/>
      <c r="K11" s="4"/>
    </row>
    <row r="12" spans="2:11" x14ac:dyDescent="0.25">
      <c r="B12" s="14" t="s">
        <v>11</v>
      </c>
      <c r="C12" s="14" t="s">
        <v>12</v>
      </c>
      <c r="D12" s="14" t="s">
        <v>13</v>
      </c>
      <c r="E12" s="14" t="s">
        <v>14</v>
      </c>
      <c r="F12" s="14" t="s">
        <v>15</v>
      </c>
      <c r="H12" s="14" t="s">
        <v>16</v>
      </c>
      <c r="I12" s="14" t="s">
        <v>17</v>
      </c>
      <c r="J12" s="14" t="s">
        <v>18</v>
      </c>
    </row>
    <row r="13" spans="2:11" x14ac:dyDescent="0.25">
      <c r="B13" s="15" t="s">
        <v>19</v>
      </c>
      <c r="C13" s="16">
        <f>Vermögen!D34</f>
        <v>403200</v>
      </c>
      <c r="D13" s="16">
        <f>Vermögen!D35</f>
        <v>238300</v>
      </c>
      <c r="E13" s="16">
        <f t="shared" ref="E13:E24" si="0">C13-D13</f>
        <v>164900</v>
      </c>
      <c r="F13" s="16">
        <v>0</v>
      </c>
      <c r="H13" s="15" t="s">
        <v>20</v>
      </c>
      <c r="I13" s="16">
        <f>Vermögen!H9</f>
        <v>16930</v>
      </c>
      <c r="J13" s="17">
        <f>IFERROR(I13/AktivaAktuell,0)</f>
        <v>4.091941799197564E-2</v>
      </c>
    </row>
    <row r="14" spans="2:11" x14ac:dyDescent="0.25">
      <c r="B14" s="15" t="s">
        <v>21</v>
      </c>
      <c r="C14" s="16">
        <f>Vermögen!E34</f>
        <v>404270</v>
      </c>
      <c r="D14" s="16">
        <f>Vermögen!E35</f>
        <v>237100</v>
      </c>
      <c r="E14" s="16">
        <f t="shared" si="0"/>
        <v>167170</v>
      </c>
      <c r="F14" s="16">
        <f t="shared" ref="F14:F24" si="1">IF(OR(E14=0,E13=0),0,E14-E13)</f>
        <v>2270</v>
      </c>
      <c r="H14" s="15" t="s">
        <v>22</v>
      </c>
      <c r="I14" s="16">
        <f>Vermögen!H16</f>
        <v>60990</v>
      </c>
      <c r="J14" s="17">
        <f>IFERROR(I14/AktivaAktuell,0)</f>
        <v>0.14741141779861749</v>
      </c>
    </row>
    <row r="15" spans="2:11" x14ac:dyDescent="0.25">
      <c r="B15" s="15" t="s">
        <v>23</v>
      </c>
      <c r="C15" s="16">
        <f>Vermögen!F34</f>
        <v>407580</v>
      </c>
      <c r="D15" s="16">
        <f>Vermögen!F35</f>
        <v>236400</v>
      </c>
      <c r="E15" s="16">
        <f t="shared" si="0"/>
        <v>171180</v>
      </c>
      <c r="F15" s="16">
        <f t="shared" si="1"/>
        <v>4010</v>
      </c>
      <c r="H15" s="15" t="s">
        <v>24</v>
      </c>
      <c r="I15" s="16">
        <f>Vermögen!H21</f>
        <v>30620</v>
      </c>
      <c r="J15" s="17">
        <f>IFERROR(I15/AktivaAktuell,0)</f>
        <v>7.4007831004978972E-2</v>
      </c>
    </row>
    <row r="16" spans="2:11" x14ac:dyDescent="0.25">
      <c r="B16" s="15" t="s">
        <v>25</v>
      </c>
      <c r="C16" s="16">
        <f>Vermögen!G34</f>
        <v>409330</v>
      </c>
      <c r="D16" s="16">
        <f>Vermögen!G35</f>
        <v>234950</v>
      </c>
      <c r="E16" s="16">
        <f t="shared" si="0"/>
        <v>174380</v>
      </c>
      <c r="F16" s="16">
        <f t="shared" si="1"/>
        <v>3200</v>
      </c>
      <c r="H16" s="15" t="s">
        <v>26</v>
      </c>
      <c r="I16" s="16">
        <f>Vermögen!H26</f>
        <v>305200</v>
      </c>
      <c r="J16" s="17">
        <f>IFERROR(I16/AktivaAktuell,0)</f>
        <v>0.73766133320442795</v>
      </c>
    </row>
    <row r="17" spans="2:11" x14ac:dyDescent="0.25">
      <c r="B17" s="15" t="s">
        <v>27</v>
      </c>
      <c r="C17" s="16">
        <f>Vermögen!H34</f>
        <v>413740</v>
      </c>
      <c r="D17" s="16">
        <f>Vermögen!H35</f>
        <v>234150</v>
      </c>
      <c r="E17" s="16">
        <f t="shared" si="0"/>
        <v>179590</v>
      </c>
      <c r="F17" s="16">
        <f t="shared" si="1"/>
        <v>5210</v>
      </c>
    </row>
    <row r="18" spans="2:11" x14ac:dyDescent="0.25">
      <c r="B18" s="15" t="s">
        <v>28</v>
      </c>
      <c r="C18" s="16">
        <f>Vermögen!I34</f>
        <v>0</v>
      </c>
      <c r="D18" s="16">
        <f>Vermögen!I35</f>
        <v>0</v>
      </c>
      <c r="E18" s="16">
        <f t="shared" si="0"/>
        <v>0</v>
      </c>
      <c r="F18" s="16">
        <f t="shared" si="1"/>
        <v>0</v>
      </c>
    </row>
    <row r="19" spans="2:11" x14ac:dyDescent="0.25">
      <c r="B19" s="15" t="s">
        <v>29</v>
      </c>
      <c r="C19" s="16">
        <f>Vermögen!J34</f>
        <v>0</v>
      </c>
      <c r="D19" s="16">
        <f>Vermögen!J35</f>
        <v>0</v>
      </c>
      <c r="E19" s="16">
        <f t="shared" si="0"/>
        <v>0</v>
      </c>
      <c r="F19" s="16">
        <f t="shared" si="1"/>
        <v>0</v>
      </c>
    </row>
    <row r="20" spans="2:11" x14ac:dyDescent="0.25">
      <c r="B20" s="15" t="s">
        <v>30</v>
      </c>
      <c r="C20" s="16">
        <f>Vermögen!K34</f>
        <v>0</v>
      </c>
      <c r="D20" s="16">
        <f>Vermögen!K35</f>
        <v>0</v>
      </c>
      <c r="E20" s="16">
        <f t="shared" si="0"/>
        <v>0</v>
      </c>
      <c r="F20" s="16">
        <f t="shared" si="1"/>
        <v>0</v>
      </c>
    </row>
    <row r="21" spans="2:11" x14ac:dyDescent="0.25">
      <c r="B21" s="15" t="s">
        <v>31</v>
      </c>
      <c r="C21" s="16">
        <f>Vermögen!L34</f>
        <v>0</v>
      </c>
      <c r="D21" s="16">
        <f>Vermögen!L35</f>
        <v>0</v>
      </c>
      <c r="E21" s="16">
        <f t="shared" si="0"/>
        <v>0</v>
      </c>
      <c r="F21" s="16">
        <f t="shared" si="1"/>
        <v>0</v>
      </c>
    </row>
    <row r="22" spans="2:11" x14ac:dyDescent="0.25">
      <c r="B22" s="15" t="s">
        <v>32</v>
      </c>
      <c r="C22" s="16">
        <f>Vermögen!M34</f>
        <v>0</v>
      </c>
      <c r="D22" s="16">
        <f>Vermögen!M35</f>
        <v>0</v>
      </c>
      <c r="E22" s="16">
        <f t="shared" si="0"/>
        <v>0</v>
      </c>
      <c r="F22" s="16">
        <f t="shared" si="1"/>
        <v>0</v>
      </c>
    </row>
    <row r="23" spans="2:11" x14ac:dyDescent="0.25">
      <c r="B23" s="15" t="s">
        <v>33</v>
      </c>
      <c r="C23" s="16">
        <f>Vermögen!N34</f>
        <v>0</v>
      </c>
      <c r="D23" s="16">
        <f>Vermögen!N35</f>
        <v>0</v>
      </c>
      <c r="E23" s="16">
        <f t="shared" si="0"/>
        <v>0</v>
      </c>
      <c r="F23" s="16">
        <f t="shared" si="1"/>
        <v>0</v>
      </c>
    </row>
    <row r="24" spans="2:11" x14ac:dyDescent="0.25">
      <c r="B24" s="15" t="s">
        <v>34</v>
      </c>
      <c r="C24" s="16">
        <f>Vermögen!O34</f>
        <v>0</v>
      </c>
      <c r="D24" s="16">
        <f>Vermögen!O35</f>
        <v>0</v>
      </c>
      <c r="E24" s="16">
        <f t="shared" si="0"/>
        <v>0</v>
      </c>
      <c r="F24" s="16">
        <f t="shared" si="1"/>
        <v>0</v>
      </c>
    </row>
    <row r="26" spans="2:11" ht="16.5" x14ac:dyDescent="0.25">
      <c r="B26" s="4" t="s">
        <v>35</v>
      </c>
      <c r="C26" s="4"/>
      <c r="D26" s="4"/>
      <c r="E26" s="4"/>
      <c r="F26" s="4"/>
      <c r="G26" s="4"/>
      <c r="H26" s="4"/>
      <c r="I26" s="4"/>
      <c r="J26" s="4"/>
      <c r="K26" s="4"/>
    </row>
    <row r="27" spans="2:11" x14ac:dyDescent="0.25">
      <c r="B27" s="14" t="s">
        <v>36</v>
      </c>
      <c r="C27" s="14" t="s">
        <v>37</v>
      </c>
      <c r="D27" s="14" t="s">
        <v>38</v>
      </c>
      <c r="E27" s="14" t="s">
        <v>39</v>
      </c>
      <c r="F27" s="14" t="s">
        <v>40</v>
      </c>
      <c r="G27" s="14" t="s">
        <v>41</v>
      </c>
    </row>
    <row r="28" spans="2:11" x14ac:dyDescent="0.25">
      <c r="B28" s="15" t="str">
        <f>Sparziele!B5</f>
        <v>Notgroschen ausbauen (6 Monatsausgaben)</v>
      </c>
      <c r="C28" s="16">
        <f>Sparziele!D5</f>
        <v>18000</v>
      </c>
      <c r="D28" s="16">
        <f>Sparziele!E5</f>
        <v>12600</v>
      </c>
      <c r="E28" s="16">
        <f>Sparziele!H5</f>
        <v>5400</v>
      </c>
      <c r="F28" s="18">
        <f>Sparziele!J5</f>
        <v>0.7</v>
      </c>
      <c r="G28" s="19" t="str">
        <f ca="1">Sparziele!K5</f>
        <v>✓ Auf Kurs</v>
      </c>
    </row>
    <row r="29" spans="2:11" x14ac:dyDescent="0.25">
      <c r="B29" s="15" t="str">
        <f>Sparziele!B6</f>
        <v>Urlaub Skandinavien 2027</v>
      </c>
      <c r="C29" s="16">
        <f>Sparziele!D6</f>
        <v>5500</v>
      </c>
      <c r="D29" s="16">
        <f>Sparziele!E6</f>
        <v>1800</v>
      </c>
      <c r="E29" s="16">
        <f>Sparziele!H6</f>
        <v>3700</v>
      </c>
      <c r="F29" s="18">
        <f>Sparziele!J6</f>
        <v>0.32727272727272727</v>
      </c>
      <c r="G29" s="19" t="str">
        <f ca="1">Sparziele!K6</f>
        <v>! Knapp</v>
      </c>
    </row>
    <row r="30" spans="2:11" x14ac:dyDescent="0.25">
      <c r="B30" s="15" t="str">
        <f>Sparziele!B7</f>
        <v>Sondertilgung Immobilienkredit</v>
      </c>
      <c r="C30" s="16">
        <f>Sparziele!D7</f>
        <v>10000</v>
      </c>
      <c r="D30" s="16">
        <f>Sparziele!E7</f>
        <v>2400</v>
      </c>
      <c r="E30" s="16">
        <f>Sparziele!H7</f>
        <v>7600</v>
      </c>
      <c r="F30" s="18">
        <f>Sparziele!J7</f>
        <v>0.24</v>
      </c>
      <c r="G30" s="19" t="str">
        <f ca="1">Sparziele!K7</f>
        <v>✓ Auf Kurs</v>
      </c>
    </row>
    <row r="31" spans="2:11" x14ac:dyDescent="0.25">
      <c r="B31" s="15" t="str">
        <f>Sparziele!B8</f>
        <v>Neues Fahrzeug (in ~5 Jahren)</v>
      </c>
      <c r="C31" s="16">
        <f>Sparziele!D8</f>
        <v>28000</v>
      </c>
      <c r="D31" s="16">
        <f>Sparziele!E8</f>
        <v>4500</v>
      </c>
      <c r="E31" s="16">
        <f>Sparziele!H8</f>
        <v>23500</v>
      </c>
      <c r="F31" s="18">
        <f>Sparziele!J8</f>
        <v>0.16071428571428573</v>
      </c>
      <c r="G31" s="19" t="str">
        <f ca="1">Sparziele!K8</f>
        <v>✗ Anpassen</v>
      </c>
    </row>
    <row r="32" spans="2:11" x14ac:dyDescent="0.25">
      <c r="B32" s="15" t="str">
        <f>Sparziele!B9</f>
        <v>Modernisierung Wohnung</v>
      </c>
      <c r="C32" s="16">
        <f>Sparziele!D9</f>
        <v>12000</v>
      </c>
      <c r="D32" s="16">
        <f>Sparziele!E9</f>
        <v>1500</v>
      </c>
      <c r="E32" s="16">
        <f>Sparziele!H9</f>
        <v>10500</v>
      </c>
      <c r="F32" s="18">
        <f>Sparziele!J9</f>
        <v>0.125</v>
      </c>
      <c r="G32" s="19" t="str">
        <f ca="1">Sparziele!K9</f>
        <v>✓ Auf Kurs</v>
      </c>
    </row>
    <row r="33" spans="2:7" x14ac:dyDescent="0.25">
      <c r="B33" s="15" t="str">
        <f>Sparziele!B10</f>
        <v>Zusätzliche Altersvorsorge (ETF)</v>
      </c>
      <c r="C33" s="16">
        <f>Sparziele!D10</f>
        <v>50000</v>
      </c>
      <c r="D33" s="16">
        <f>Sparziele!E10</f>
        <v>8200</v>
      </c>
      <c r="E33" s="16">
        <f>Sparziele!H10</f>
        <v>41800</v>
      </c>
      <c r="F33" s="18">
        <f>Sparziele!J10</f>
        <v>0.16400000000000001</v>
      </c>
      <c r="G33" s="19" t="str">
        <f ca="1">Sparziele!K10</f>
        <v>✗ Anpassen</v>
      </c>
    </row>
    <row r="34" spans="2:7" x14ac:dyDescent="0.25">
      <c r="B34" s="15" t="str">
        <f>Sparziele!B11</f>
        <v>Weiterbildung / Master</v>
      </c>
      <c r="C34" s="16">
        <f>Sparziele!D11</f>
        <v>7500</v>
      </c>
      <c r="D34" s="16">
        <f>Sparziele!E11</f>
        <v>2000</v>
      </c>
      <c r="E34" s="16">
        <f>Sparziele!H11</f>
        <v>5500</v>
      </c>
      <c r="F34" s="18">
        <f>Sparziele!J11</f>
        <v>0.26666666666666666</v>
      </c>
      <c r="G34" s="19" t="str">
        <f ca="1">Sparziele!K11</f>
        <v>✗ Anpassen</v>
      </c>
    </row>
    <row r="35" spans="2:7" x14ac:dyDescent="0.25">
      <c r="B35" s="15" t="str">
        <f>Sparziele!B12</f>
        <v>Hochzeit</v>
      </c>
      <c r="C35" s="16">
        <f>Sparziele!D12</f>
        <v>15000</v>
      </c>
      <c r="D35" s="16">
        <f>Sparziele!E12</f>
        <v>3500</v>
      </c>
      <c r="E35" s="16">
        <f>Sparziele!H12</f>
        <v>11500</v>
      </c>
      <c r="F35" s="18">
        <f>Sparziele!J12</f>
        <v>0.23333333333333334</v>
      </c>
      <c r="G35" s="19" t="str">
        <f ca="1">Sparziele!K12</f>
        <v>✗ Anpassen</v>
      </c>
    </row>
  </sheetData>
  <mergeCells count="21">
    <mergeCell ref="B26:K26"/>
    <mergeCell ref="B11:F11"/>
    <mergeCell ref="H11:K11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1:K1"/>
    <mergeCell ref="B2:K2"/>
    <mergeCell ref="B4:C4"/>
    <mergeCell ref="D4:E4"/>
    <mergeCell ref="F4:G4"/>
    <mergeCell ref="H4:I4"/>
  </mergeCells>
  <conditionalFormatting sqref="F13:F24">
    <cfRule type="cellIs" dxfId="15" priority="2" operator="greaterThan">
      <formula>0</formula>
    </cfRule>
    <cfRule type="cellIs" dxfId="14" priority="3" operator="lessThan">
      <formula>0</formula>
    </cfRule>
  </conditionalFormatting>
  <conditionalFormatting sqref="F28:F35">
    <cfRule type="dataBar" priority="5">
      <dataBar>
        <cfvo type="num" val="0"/>
        <cfvo type="num" val="1"/>
        <color rgb="FF2E7D6B"/>
      </dataBar>
      <extLst>
        <ext xmlns:x14="http://schemas.microsoft.com/office/spreadsheetml/2009/9/main" uri="{B025F937-C7B1-47D3-B67F-A62EFF666E3E}">
          <x14:id>{427AECEB-2D56-404E-A620-A2927551A06F}</x14:id>
        </ext>
      </extLst>
    </cfRule>
  </conditionalFormatting>
  <conditionalFormatting sqref="G28:G35">
    <cfRule type="expression" dxfId="13" priority="6">
      <formula>ISNUMBER(SEARCH("Erreicht",$G28))</formula>
    </cfRule>
    <cfRule type="expression" dxfId="12" priority="7">
      <formula>ISNUMBER(SEARCH("Auf Kurs",$G28))</formula>
    </cfRule>
    <cfRule type="expression" dxfId="11" priority="8">
      <formula>ISNUMBER(SEARCH("Knapp",$G28))</formula>
    </cfRule>
    <cfRule type="expression" dxfId="10" priority="9">
      <formula>ISNUMBER(SEARCH("Anpassen",$G28))</formula>
    </cfRule>
  </conditionalFormatting>
  <conditionalFormatting sqref="I13:I16">
    <cfRule type="dataBar" priority="4">
      <dataBar>
        <cfvo type="min"/>
        <cfvo type="max"/>
        <color rgb="FF2E7D6B"/>
      </dataBar>
      <extLst>
        <ext xmlns:x14="http://schemas.microsoft.com/office/spreadsheetml/2009/9/main" uri="{B025F937-C7B1-47D3-B67F-A62EFF666E3E}">
          <x14:id>{C678DF34-247F-44AD-8220-7E558BE31E40}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7AECEB-2D56-404E-A620-A2927551A06F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E7D6B"/>
            </x14:dataBar>
          </x14:cfRule>
          <xm:sqref>F28:F35</xm:sqref>
        </x14:conditionalFormatting>
        <x14:conditionalFormatting xmlns:xm="http://schemas.microsoft.com/office/excel/2006/main">
          <x14:cfRule type="dataBar" id="{C678DF34-247F-44AD-8220-7E558BE31E40}">
            <x14:dataBar axisPosition="none">
              <x14:cfvo type="min"/>
              <x14:cfvo type="max"/>
              <x14:negativeFillColor rgb="FF2E7D6B"/>
            </x14:dataBar>
          </x14:cfRule>
          <xm:sqref>I13:I16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6B"/>
  </sheetPr>
  <dimension ref="B1:R3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2" customWidth="1"/>
    <col min="3" max="3" width="16" customWidth="1"/>
    <col min="4" max="15" width="12" customWidth="1"/>
    <col min="16" max="16" width="14" customWidth="1"/>
    <col min="17" max="17" width="24" customWidth="1"/>
  </cols>
  <sheetData>
    <row r="1" spans="2:18" ht="30" customHeight="1" x14ac:dyDescent="0.25">
      <c r="B1" s="13" t="s">
        <v>42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 x14ac:dyDescent="0.25">
      <c r="B2" s="1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4" spans="2:18" x14ac:dyDescent="0.25">
      <c r="B4" s="14" t="s">
        <v>44</v>
      </c>
      <c r="C4" s="14" t="s">
        <v>16</v>
      </c>
      <c r="D4" s="14" t="s">
        <v>19</v>
      </c>
      <c r="E4" s="14" t="s">
        <v>21</v>
      </c>
      <c r="F4" s="14" t="s">
        <v>23</v>
      </c>
      <c r="G4" s="14" t="s">
        <v>25</v>
      </c>
      <c r="H4" s="14" t="s">
        <v>27</v>
      </c>
      <c r="I4" s="14" t="s">
        <v>28</v>
      </c>
      <c r="J4" s="14" t="s">
        <v>29</v>
      </c>
      <c r="K4" s="14" t="s">
        <v>30</v>
      </c>
      <c r="L4" s="14" t="s">
        <v>31</v>
      </c>
      <c r="M4" s="14" t="s">
        <v>32</v>
      </c>
      <c r="N4" s="14" t="s">
        <v>33</v>
      </c>
      <c r="O4" s="14" t="s">
        <v>34</v>
      </c>
      <c r="P4" s="14" t="s">
        <v>45</v>
      </c>
      <c r="Q4" s="14" t="s">
        <v>46</v>
      </c>
    </row>
    <row r="5" spans="2:18" x14ac:dyDescent="0.25">
      <c r="B5" s="3" t="s">
        <v>47</v>
      </c>
      <c r="C5" s="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2:18" x14ac:dyDescent="0.25">
      <c r="B6" s="21" t="s">
        <v>48</v>
      </c>
      <c r="C6" s="22" t="s">
        <v>49</v>
      </c>
      <c r="D6" s="23">
        <v>3500</v>
      </c>
      <c r="E6" s="23">
        <v>3120</v>
      </c>
      <c r="F6" s="23">
        <v>3680</v>
      </c>
      <c r="G6" s="23">
        <v>3240</v>
      </c>
      <c r="H6" s="23">
        <v>3920</v>
      </c>
      <c r="I6" s="23"/>
      <c r="J6" s="23"/>
      <c r="K6" s="23"/>
      <c r="L6" s="23"/>
      <c r="M6" s="23"/>
      <c r="N6" s="23"/>
      <c r="O6" s="23"/>
      <c r="P6" s="24">
        <f>IFERROR(LOOKUP(2,1/(D6:O6&lt;&gt;""),D6:O6)-D6,0)</f>
        <v>420</v>
      </c>
      <c r="Q6" s="24"/>
    </row>
    <row r="7" spans="2:18" x14ac:dyDescent="0.25">
      <c r="B7" s="21" t="s">
        <v>50</v>
      </c>
      <c r="C7" s="22" t="s">
        <v>49</v>
      </c>
      <c r="D7" s="23">
        <v>12000</v>
      </c>
      <c r="E7" s="23">
        <v>12150</v>
      </c>
      <c r="F7" s="23">
        <v>12300</v>
      </c>
      <c r="G7" s="23">
        <v>12450</v>
      </c>
      <c r="H7" s="23">
        <v>12600</v>
      </c>
      <c r="I7" s="23"/>
      <c r="J7" s="23"/>
      <c r="K7" s="23"/>
      <c r="L7" s="23"/>
      <c r="M7" s="23"/>
      <c r="N7" s="23"/>
      <c r="O7" s="23"/>
      <c r="P7" s="24">
        <f>IFERROR(LOOKUP(2,1/(D7:O7&lt;&gt;""),D7:O7)-D7,0)</f>
        <v>600</v>
      </c>
      <c r="Q7" s="24"/>
    </row>
    <row r="8" spans="2:18" x14ac:dyDescent="0.25">
      <c r="B8" s="21" t="s">
        <v>51</v>
      </c>
      <c r="C8" s="22" t="s">
        <v>49</v>
      </c>
      <c r="D8" s="23">
        <v>400</v>
      </c>
      <c r="E8" s="23">
        <v>380</v>
      </c>
      <c r="F8" s="23">
        <v>420</v>
      </c>
      <c r="G8" s="23">
        <v>350</v>
      </c>
      <c r="H8" s="23">
        <v>410</v>
      </c>
      <c r="I8" s="23"/>
      <c r="J8" s="23"/>
      <c r="K8" s="23"/>
      <c r="L8" s="23"/>
      <c r="M8" s="23"/>
      <c r="N8" s="23"/>
      <c r="O8" s="23"/>
      <c r="P8" s="24">
        <f>IFERROR(LOOKUP(2,1/(D8:O8&lt;&gt;""),D8:O8)-D8,0)</f>
        <v>10</v>
      </c>
      <c r="Q8" s="24"/>
    </row>
    <row r="9" spans="2:18" x14ac:dyDescent="0.25">
      <c r="B9" s="2" t="s">
        <v>52</v>
      </c>
      <c r="C9" s="2"/>
      <c r="D9" s="26">
        <f t="shared" ref="D9:P9" si="0">SUM(D6:D8)</f>
        <v>15900</v>
      </c>
      <c r="E9" s="26">
        <f t="shared" si="0"/>
        <v>15650</v>
      </c>
      <c r="F9" s="26">
        <f t="shared" si="0"/>
        <v>16400</v>
      </c>
      <c r="G9" s="26">
        <f t="shared" si="0"/>
        <v>16040</v>
      </c>
      <c r="H9" s="26">
        <f t="shared" si="0"/>
        <v>16930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  <c r="O9" s="26">
        <f t="shared" si="0"/>
        <v>0</v>
      </c>
      <c r="P9" s="26">
        <f t="shared" si="0"/>
        <v>1030</v>
      </c>
      <c r="Q9" s="27"/>
    </row>
    <row r="10" spans="2:18" x14ac:dyDescent="0.25">
      <c r="B10" s="3" t="s">
        <v>53</v>
      </c>
      <c r="C10" s="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2:18" x14ac:dyDescent="0.25">
      <c r="B11" s="21" t="s">
        <v>54</v>
      </c>
      <c r="C11" s="22" t="s">
        <v>55</v>
      </c>
      <c r="D11" s="23">
        <v>8000</v>
      </c>
      <c r="E11" s="23">
        <v>8000</v>
      </c>
      <c r="F11" s="23">
        <v>8000</v>
      </c>
      <c r="G11" s="23">
        <v>8000</v>
      </c>
      <c r="H11" s="23">
        <v>8000</v>
      </c>
      <c r="I11" s="23"/>
      <c r="J11" s="23"/>
      <c r="K11" s="23"/>
      <c r="L11" s="23"/>
      <c r="M11" s="23"/>
      <c r="N11" s="23"/>
      <c r="O11" s="23"/>
      <c r="P11" s="24">
        <f>IFERROR(LOOKUP(2,1/(D11:O11&lt;&gt;""),D11:O11)-D11,0)</f>
        <v>0</v>
      </c>
      <c r="Q11" s="24"/>
    </row>
    <row r="12" spans="2:18" x14ac:dyDescent="0.25">
      <c r="B12" s="21" t="s">
        <v>56</v>
      </c>
      <c r="C12" s="22" t="s">
        <v>55</v>
      </c>
      <c r="D12" s="23">
        <v>34800</v>
      </c>
      <c r="E12" s="23">
        <v>35900</v>
      </c>
      <c r="F12" s="23">
        <v>36200</v>
      </c>
      <c r="G12" s="23">
        <v>37500</v>
      </c>
      <c r="H12" s="23">
        <v>38400</v>
      </c>
      <c r="I12" s="23"/>
      <c r="J12" s="23"/>
      <c r="K12" s="23"/>
      <c r="L12" s="23"/>
      <c r="M12" s="23"/>
      <c r="N12" s="23"/>
      <c r="O12" s="23"/>
      <c r="P12" s="24">
        <f>IFERROR(LOOKUP(2,1/(D12:O12&lt;&gt;""),D12:O12)-D12,0)</f>
        <v>3600</v>
      </c>
      <c r="Q12" s="24"/>
    </row>
    <row r="13" spans="2:18" x14ac:dyDescent="0.25">
      <c r="B13" s="21" t="s">
        <v>57</v>
      </c>
      <c r="C13" s="22" t="s">
        <v>55</v>
      </c>
      <c r="D13" s="23">
        <v>6500</v>
      </c>
      <c r="E13" s="23">
        <v>6280</v>
      </c>
      <c r="F13" s="23">
        <v>6750</v>
      </c>
      <c r="G13" s="23">
        <v>6890</v>
      </c>
      <c r="H13" s="23">
        <v>7120</v>
      </c>
      <c r="I13" s="23"/>
      <c r="J13" s="23"/>
      <c r="K13" s="23"/>
      <c r="L13" s="23"/>
      <c r="M13" s="23"/>
      <c r="N13" s="23"/>
      <c r="O13" s="23"/>
      <c r="P13" s="24">
        <f>IFERROR(LOOKUP(2,1/(D13:O13&lt;&gt;""),D13:O13)-D13,0)</f>
        <v>620</v>
      </c>
      <c r="Q13" s="24"/>
    </row>
    <row r="14" spans="2:18" x14ac:dyDescent="0.25">
      <c r="B14" s="21" t="s">
        <v>58</v>
      </c>
      <c r="C14" s="22" t="s">
        <v>55</v>
      </c>
      <c r="D14" s="23">
        <v>4200</v>
      </c>
      <c r="E14" s="23">
        <v>4230</v>
      </c>
      <c r="F14" s="23">
        <v>4260</v>
      </c>
      <c r="G14" s="23">
        <v>4290</v>
      </c>
      <c r="H14" s="23">
        <v>4320</v>
      </c>
      <c r="I14" s="23"/>
      <c r="J14" s="23"/>
      <c r="K14" s="23"/>
      <c r="L14" s="23"/>
      <c r="M14" s="23"/>
      <c r="N14" s="23"/>
      <c r="O14" s="23"/>
      <c r="P14" s="24">
        <f>IFERROR(LOOKUP(2,1/(D14:O14&lt;&gt;""),D14:O14)-D14,0)</f>
        <v>120</v>
      </c>
      <c r="Q14" s="24"/>
    </row>
    <row r="15" spans="2:18" x14ac:dyDescent="0.25">
      <c r="B15" s="21" t="s">
        <v>59</v>
      </c>
      <c r="C15" s="22" t="s">
        <v>55</v>
      </c>
      <c r="D15" s="23">
        <v>2500</v>
      </c>
      <c r="E15" s="23">
        <v>2780</v>
      </c>
      <c r="F15" s="23">
        <v>2410</v>
      </c>
      <c r="G15" s="23">
        <v>2920</v>
      </c>
      <c r="H15" s="23">
        <v>3150</v>
      </c>
      <c r="I15" s="23"/>
      <c r="J15" s="23"/>
      <c r="K15" s="23"/>
      <c r="L15" s="23"/>
      <c r="M15" s="23"/>
      <c r="N15" s="23"/>
      <c r="O15" s="23"/>
      <c r="P15" s="24">
        <f>IFERROR(LOOKUP(2,1/(D15:O15&lt;&gt;""),D15:O15)-D15,0)</f>
        <v>650</v>
      </c>
      <c r="Q15" s="24"/>
    </row>
    <row r="16" spans="2:18" x14ac:dyDescent="0.25">
      <c r="B16" s="2" t="s">
        <v>60</v>
      </c>
      <c r="C16" s="2"/>
      <c r="D16" s="26">
        <f t="shared" ref="D16:P16" si="1">SUM(D11:D15)</f>
        <v>56000</v>
      </c>
      <c r="E16" s="26">
        <f t="shared" si="1"/>
        <v>57190</v>
      </c>
      <c r="F16" s="26">
        <f t="shared" si="1"/>
        <v>57620</v>
      </c>
      <c r="G16" s="26">
        <f t="shared" si="1"/>
        <v>59600</v>
      </c>
      <c r="H16" s="26">
        <f t="shared" si="1"/>
        <v>60990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6">
        <f t="shared" si="1"/>
        <v>0</v>
      </c>
      <c r="M16" s="26">
        <f t="shared" si="1"/>
        <v>0</v>
      </c>
      <c r="N16" s="26">
        <f t="shared" si="1"/>
        <v>0</v>
      </c>
      <c r="O16" s="26">
        <f t="shared" si="1"/>
        <v>0</v>
      </c>
      <c r="P16" s="26">
        <f t="shared" si="1"/>
        <v>4990</v>
      </c>
      <c r="Q16" s="27"/>
    </row>
    <row r="17" spans="2:17" x14ac:dyDescent="0.25">
      <c r="B17" s="3" t="s">
        <v>61</v>
      </c>
      <c r="C17" s="3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2:17" x14ac:dyDescent="0.25">
      <c r="B18" s="21" t="s">
        <v>62</v>
      </c>
      <c r="C18" s="22" t="s">
        <v>24</v>
      </c>
      <c r="D18" s="23">
        <v>8500</v>
      </c>
      <c r="E18" s="23">
        <v>8580</v>
      </c>
      <c r="F18" s="23">
        <v>8660</v>
      </c>
      <c r="G18" s="23">
        <v>8740</v>
      </c>
      <c r="H18" s="23">
        <v>8820</v>
      </c>
      <c r="I18" s="23"/>
      <c r="J18" s="23"/>
      <c r="K18" s="23"/>
      <c r="L18" s="23"/>
      <c r="M18" s="23"/>
      <c r="N18" s="23"/>
      <c r="O18" s="23"/>
      <c r="P18" s="24">
        <f>IFERROR(LOOKUP(2,1/(D18:O18&lt;&gt;""),D18:O18)-D18,0)</f>
        <v>320</v>
      </c>
      <c r="Q18" s="24"/>
    </row>
    <row r="19" spans="2:17" x14ac:dyDescent="0.25">
      <c r="B19" s="21" t="s">
        <v>63</v>
      </c>
      <c r="C19" s="22" t="s">
        <v>24</v>
      </c>
      <c r="D19" s="23">
        <v>14000</v>
      </c>
      <c r="E19" s="23">
        <v>14180</v>
      </c>
      <c r="F19" s="23">
        <v>14360</v>
      </c>
      <c r="G19" s="23">
        <v>14540</v>
      </c>
      <c r="H19" s="23">
        <v>14720</v>
      </c>
      <c r="I19" s="23"/>
      <c r="J19" s="23"/>
      <c r="K19" s="23"/>
      <c r="L19" s="23"/>
      <c r="M19" s="23"/>
      <c r="N19" s="23"/>
      <c r="O19" s="23"/>
      <c r="P19" s="24">
        <f>IFERROR(LOOKUP(2,1/(D19:O19&lt;&gt;""),D19:O19)-D19,0)</f>
        <v>720</v>
      </c>
      <c r="Q19" s="24"/>
    </row>
    <row r="20" spans="2:17" x14ac:dyDescent="0.25">
      <c r="B20" s="21" t="s">
        <v>64</v>
      </c>
      <c r="C20" s="22" t="s">
        <v>24</v>
      </c>
      <c r="D20" s="23">
        <v>6800</v>
      </c>
      <c r="E20" s="23">
        <v>6870</v>
      </c>
      <c r="F20" s="23">
        <v>6940</v>
      </c>
      <c r="G20" s="23">
        <v>7010</v>
      </c>
      <c r="H20" s="23">
        <v>7080</v>
      </c>
      <c r="I20" s="23"/>
      <c r="J20" s="23"/>
      <c r="K20" s="23"/>
      <c r="L20" s="23"/>
      <c r="M20" s="23"/>
      <c r="N20" s="23"/>
      <c r="O20" s="23"/>
      <c r="P20" s="24">
        <f>IFERROR(LOOKUP(2,1/(D20:O20&lt;&gt;""),D20:O20)-D20,0)</f>
        <v>280</v>
      </c>
      <c r="Q20" s="24"/>
    </row>
    <row r="21" spans="2:17" x14ac:dyDescent="0.25">
      <c r="B21" s="2" t="s">
        <v>65</v>
      </c>
      <c r="C21" s="2"/>
      <c r="D21" s="26">
        <f t="shared" ref="D21:P21" si="2">SUM(D18:D20)</f>
        <v>29300</v>
      </c>
      <c r="E21" s="26">
        <f t="shared" si="2"/>
        <v>29630</v>
      </c>
      <c r="F21" s="26">
        <f t="shared" si="2"/>
        <v>29960</v>
      </c>
      <c r="G21" s="26">
        <f t="shared" si="2"/>
        <v>30290</v>
      </c>
      <c r="H21" s="26">
        <f t="shared" si="2"/>
        <v>30620</v>
      </c>
      <c r="I21" s="26">
        <f t="shared" si="2"/>
        <v>0</v>
      </c>
      <c r="J21" s="26">
        <f t="shared" si="2"/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0</v>
      </c>
      <c r="P21" s="26">
        <f t="shared" si="2"/>
        <v>1320</v>
      </c>
      <c r="Q21" s="27"/>
    </row>
    <row r="22" spans="2:17" x14ac:dyDescent="0.25">
      <c r="B22" s="3" t="s">
        <v>66</v>
      </c>
      <c r="C22" s="3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2:17" x14ac:dyDescent="0.25">
      <c r="B23" s="21" t="s">
        <v>67</v>
      </c>
      <c r="C23" s="22" t="s">
        <v>68</v>
      </c>
      <c r="D23" s="23">
        <v>285000</v>
      </c>
      <c r="E23" s="23">
        <v>285000</v>
      </c>
      <c r="F23" s="23">
        <v>287000</v>
      </c>
      <c r="G23" s="23">
        <v>287000</v>
      </c>
      <c r="H23" s="23">
        <v>289000</v>
      </c>
      <c r="I23" s="23"/>
      <c r="J23" s="23"/>
      <c r="K23" s="23"/>
      <c r="L23" s="23"/>
      <c r="M23" s="23"/>
      <c r="N23" s="23"/>
      <c r="O23" s="23"/>
      <c r="P23" s="24">
        <f>IFERROR(LOOKUP(2,1/(D23:O23&lt;&gt;""),D23:O23)-D23,0)</f>
        <v>4000</v>
      </c>
      <c r="Q23" s="24"/>
    </row>
    <row r="24" spans="2:17" x14ac:dyDescent="0.25">
      <c r="B24" s="21" t="s">
        <v>69</v>
      </c>
      <c r="C24" s="22" t="s">
        <v>68</v>
      </c>
      <c r="D24" s="23">
        <v>14000</v>
      </c>
      <c r="E24" s="23">
        <v>13800</v>
      </c>
      <c r="F24" s="23">
        <v>13600</v>
      </c>
      <c r="G24" s="23">
        <v>13400</v>
      </c>
      <c r="H24" s="23">
        <v>13200</v>
      </c>
      <c r="I24" s="23"/>
      <c r="J24" s="23"/>
      <c r="K24" s="23"/>
      <c r="L24" s="23"/>
      <c r="M24" s="23"/>
      <c r="N24" s="23"/>
      <c r="O24" s="23"/>
      <c r="P24" s="24">
        <f>IFERROR(LOOKUP(2,1/(D24:O24&lt;&gt;""),D24:O24)-D24,0)</f>
        <v>-800</v>
      </c>
      <c r="Q24" s="24"/>
    </row>
    <row r="25" spans="2:17" x14ac:dyDescent="0.25">
      <c r="B25" s="21" t="s">
        <v>70</v>
      </c>
      <c r="C25" s="22" t="s">
        <v>68</v>
      </c>
      <c r="D25" s="23">
        <v>3000</v>
      </c>
      <c r="E25" s="23">
        <v>3000</v>
      </c>
      <c r="F25" s="23">
        <v>3000</v>
      </c>
      <c r="G25" s="23">
        <v>3000</v>
      </c>
      <c r="H25" s="23">
        <v>3000</v>
      </c>
      <c r="I25" s="23"/>
      <c r="J25" s="23"/>
      <c r="K25" s="23"/>
      <c r="L25" s="23"/>
      <c r="M25" s="23"/>
      <c r="N25" s="23"/>
      <c r="O25" s="23"/>
      <c r="P25" s="24">
        <f>IFERROR(LOOKUP(2,1/(D25:O25&lt;&gt;""),D25:O25)-D25,0)</f>
        <v>0</v>
      </c>
      <c r="Q25" s="24"/>
    </row>
    <row r="26" spans="2:17" x14ac:dyDescent="0.25">
      <c r="B26" s="2" t="s">
        <v>71</v>
      </c>
      <c r="C26" s="2"/>
      <c r="D26" s="26">
        <f t="shared" ref="D26:P26" si="3">SUM(D23:D25)</f>
        <v>302000</v>
      </c>
      <c r="E26" s="26">
        <f t="shared" si="3"/>
        <v>301800</v>
      </c>
      <c r="F26" s="26">
        <f t="shared" si="3"/>
        <v>303600</v>
      </c>
      <c r="G26" s="26">
        <f t="shared" si="3"/>
        <v>303400</v>
      </c>
      <c r="H26" s="26">
        <f t="shared" si="3"/>
        <v>305200</v>
      </c>
      <c r="I26" s="26">
        <f t="shared" si="3"/>
        <v>0</v>
      </c>
      <c r="J26" s="26">
        <f t="shared" si="3"/>
        <v>0</v>
      </c>
      <c r="K26" s="26">
        <f t="shared" si="3"/>
        <v>0</v>
      </c>
      <c r="L26" s="26">
        <f t="shared" si="3"/>
        <v>0</v>
      </c>
      <c r="M26" s="26">
        <f t="shared" si="3"/>
        <v>0</v>
      </c>
      <c r="N26" s="26">
        <f t="shared" si="3"/>
        <v>0</v>
      </c>
      <c r="O26" s="26">
        <f t="shared" si="3"/>
        <v>0</v>
      </c>
      <c r="P26" s="26">
        <f t="shared" si="3"/>
        <v>3200</v>
      </c>
      <c r="Q26" s="27"/>
    </row>
    <row r="27" spans="2:17" x14ac:dyDescent="0.25">
      <c r="B27" s="1" t="s">
        <v>72</v>
      </c>
      <c r="C27" s="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2:17" x14ac:dyDescent="0.25">
      <c r="B28" s="21" t="s">
        <v>73</v>
      </c>
      <c r="C28" s="22" t="s">
        <v>74</v>
      </c>
      <c r="D28" s="23">
        <v>215000</v>
      </c>
      <c r="E28" s="23">
        <v>214280</v>
      </c>
      <c r="F28" s="23">
        <v>213560</v>
      </c>
      <c r="G28" s="23">
        <v>212840</v>
      </c>
      <c r="H28" s="23">
        <v>212120</v>
      </c>
      <c r="I28" s="23"/>
      <c r="J28" s="23"/>
      <c r="K28" s="23"/>
      <c r="L28" s="23"/>
      <c r="M28" s="23"/>
      <c r="N28" s="23"/>
      <c r="O28" s="23"/>
      <c r="P28" s="24">
        <f>IFERROR(LOOKUP(2,1/(D28:O28&lt;&gt;""),D28:O28)-D28,0)</f>
        <v>-2880</v>
      </c>
      <c r="Q28" s="24"/>
    </row>
    <row r="29" spans="2:17" x14ac:dyDescent="0.25">
      <c r="B29" s="21" t="s">
        <v>75</v>
      </c>
      <c r="C29" s="22" t="s">
        <v>76</v>
      </c>
      <c r="D29" s="23">
        <v>18000</v>
      </c>
      <c r="E29" s="23">
        <v>17900</v>
      </c>
      <c r="F29" s="23">
        <v>17800</v>
      </c>
      <c r="G29" s="23">
        <v>17700</v>
      </c>
      <c r="H29" s="23">
        <v>17600</v>
      </c>
      <c r="I29" s="23"/>
      <c r="J29" s="23"/>
      <c r="K29" s="23"/>
      <c r="L29" s="23"/>
      <c r="M29" s="23"/>
      <c r="N29" s="23"/>
      <c r="O29" s="23"/>
      <c r="P29" s="24">
        <f>IFERROR(LOOKUP(2,1/(D29:O29&lt;&gt;""),D29:O29)-D29,0)</f>
        <v>-400</v>
      </c>
      <c r="Q29" s="24"/>
    </row>
    <row r="30" spans="2:17" x14ac:dyDescent="0.25">
      <c r="B30" s="21" t="s">
        <v>77</v>
      </c>
      <c r="C30" s="22" t="s">
        <v>78</v>
      </c>
      <c r="D30" s="23">
        <v>4500</v>
      </c>
      <c r="E30" s="23">
        <v>4300</v>
      </c>
      <c r="F30" s="23">
        <v>4100</v>
      </c>
      <c r="G30" s="23">
        <v>3900</v>
      </c>
      <c r="H30" s="23">
        <v>3700</v>
      </c>
      <c r="I30" s="23"/>
      <c r="J30" s="23"/>
      <c r="K30" s="23"/>
      <c r="L30" s="23"/>
      <c r="M30" s="23"/>
      <c r="N30" s="23"/>
      <c r="O30" s="23"/>
      <c r="P30" s="24">
        <f>IFERROR(LOOKUP(2,1/(D30:O30&lt;&gt;""),D30:O30)-D30,0)</f>
        <v>-800</v>
      </c>
      <c r="Q30" s="24"/>
    </row>
    <row r="31" spans="2:17" x14ac:dyDescent="0.25">
      <c r="B31" s="21" t="s">
        <v>79</v>
      </c>
      <c r="C31" s="22" t="s">
        <v>80</v>
      </c>
      <c r="D31" s="23">
        <v>800</v>
      </c>
      <c r="E31" s="23">
        <v>620</v>
      </c>
      <c r="F31" s="23">
        <v>940</v>
      </c>
      <c r="G31" s="23">
        <v>510</v>
      </c>
      <c r="H31" s="23">
        <v>730</v>
      </c>
      <c r="I31" s="23"/>
      <c r="J31" s="23"/>
      <c r="K31" s="23"/>
      <c r="L31" s="23"/>
      <c r="M31" s="23"/>
      <c r="N31" s="23"/>
      <c r="O31" s="23"/>
      <c r="P31" s="24">
        <f>IFERROR(LOOKUP(2,1/(D31:O31&lt;&gt;""),D31:O31)-D31,0)</f>
        <v>-70</v>
      </c>
      <c r="Q31" s="24"/>
    </row>
    <row r="32" spans="2:17" x14ac:dyDescent="0.25">
      <c r="B32" s="2" t="s">
        <v>81</v>
      </c>
      <c r="C32" s="2"/>
      <c r="D32" s="26">
        <f t="shared" ref="D32:P32" si="4">SUM(D28:D31)</f>
        <v>238300</v>
      </c>
      <c r="E32" s="26">
        <f t="shared" si="4"/>
        <v>237100</v>
      </c>
      <c r="F32" s="26">
        <f t="shared" si="4"/>
        <v>236400</v>
      </c>
      <c r="G32" s="26">
        <f t="shared" si="4"/>
        <v>234950</v>
      </c>
      <c r="H32" s="26">
        <f t="shared" si="4"/>
        <v>234150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  <c r="O32" s="26">
        <f t="shared" si="4"/>
        <v>0</v>
      </c>
      <c r="P32" s="26">
        <f t="shared" si="4"/>
        <v>-4150</v>
      </c>
      <c r="Q32" s="27"/>
    </row>
    <row r="34" spans="2:17" x14ac:dyDescent="0.25">
      <c r="B34" s="48" t="s">
        <v>2</v>
      </c>
      <c r="C34" s="48"/>
      <c r="D34" s="29">
        <f t="shared" ref="D34:P34" si="5">D9+D16+D21+D26</f>
        <v>403200</v>
      </c>
      <c r="E34" s="29">
        <f t="shared" si="5"/>
        <v>404270</v>
      </c>
      <c r="F34" s="29">
        <f t="shared" si="5"/>
        <v>407580</v>
      </c>
      <c r="G34" s="29">
        <f t="shared" si="5"/>
        <v>409330</v>
      </c>
      <c r="H34" s="29">
        <f t="shared" si="5"/>
        <v>413740</v>
      </c>
      <c r="I34" s="29">
        <f t="shared" si="5"/>
        <v>0</v>
      </c>
      <c r="J34" s="29">
        <f t="shared" si="5"/>
        <v>0</v>
      </c>
      <c r="K34" s="29">
        <f t="shared" si="5"/>
        <v>0</v>
      </c>
      <c r="L34" s="29">
        <f t="shared" si="5"/>
        <v>0</v>
      </c>
      <c r="M34" s="29">
        <f t="shared" si="5"/>
        <v>0</v>
      </c>
      <c r="N34" s="29">
        <f t="shared" si="5"/>
        <v>0</v>
      </c>
      <c r="O34" s="29">
        <f t="shared" si="5"/>
        <v>0</v>
      </c>
      <c r="P34" s="29">
        <f t="shared" si="5"/>
        <v>10540</v>
      </c>
      <c r="Q34" s="30"/>
    </row>
    <row r="35" spans="2:17" x14ac:dyDescent="0.25">
      <c r="B35" s="49" t="s">
        <v>3</v>
      </c>
      <c r="C35" s="49"/>
      <c r="D35" s="31">
        <f t="shared" ref="D35:P35" si="6">D32</f>
        <v>238300</v>
      </c>
      <c r="E35" s="31">
        <f t="shared" si="6"/>
        <v>237100</v>
      </c>
      <c r="F35" s="31">
        <f t="shared" si="6"/>
        <v>236400</v>
      </c>
      <c r="G35" s="31">
        <f t="shared" si="6"/>
        <v>234950</v>
      </c>
      <c r="H35" s="31">
        <f t="shared" si="6"/>
        <v>234150</v>
      </c>
      <c r="I35" s="31">
        <f t="shared" si="6"/>
        <v>0</v>
      </c>
      <c r="J35" s="31">
        <f t="shared" si="6"/>
        <v>0</v>
      </c>
      <c r="K35" s="31">
        <f t="shared" si="6"/>
        <v>0</v>
      </c>
      <c r="L35" s="31">
        <f t="shared" si="6"/>
        <v>0</v>
      </c>
      <c r="M35" s="31">
        <f t="shared" si="6"/>
        <v>0</v>
      </c>
      <c r="N35" s="31">
        <f t="shared" si="6"/>
        <v>0</v>
      </c>
      <c r="O35" s="31">
        <f t="shared" si="6"/>
        <v>0</v>
      </c>
      <c r="P35" s="31">
        <f t="shared" si="6"/>
        <v>-4150</v>
      </c>
      <c r="Q35" s="32"/>
    </row>
    <row r="36" spans="2:17" ht="15.75" x14ac:dyDescent="0.25">
      <c r="B36" s="50" t="s">
        <v>1</v>
      </c>
      <c r="C36" s="50"/>
      <c r="D36" s="33">
        <f t="shared" ref="D36:P36" si="7">D34-D35</f>
        <v>164900</v>
      </c>
      <c r="E36" s="33">
        <f t="shared" si="7"/>
        <v>167170</v>
      </c>
      <c r="F36" s="33">
        <f t="shared" si="7"/>
        <v>171180</v>
      </c>
      <c r="G36" s="33">
        <f t="shared" si="7"/>
        <v>174380</v>
      </c>
      <c r="H36" s="33">
        <f t="shared" si="7"/>
        <v>179590</v>
      </c>
      <c r="I36" s="33">
        <f t="shared" si="7"/>
        <v>0</v>
      </c>
      <c r="J36" s="33">
        <f t="shared" si="7"/>
        <v>0</v>
      </c>
      <c r="K36" s="33">
        <f t="shared" si="7"/>
        <v>0</v>
      </c>
      <c r="L36" s="33">
        <f t="shared" si="7"/>
        <v>0</v>
      </c>
      <c r="M36" s="33">
        <f t="shared" si="7"/>
        <v>0</v>
      </c>
      <c r="N36" s="33">
        <f t="shared" si="7"/>
        <v>0</v>
      </c>
      <c r="O36" s="33">
        <f t="shared" si="7"/>
        <v>0</v>
      </c>
      <c r="P36" s="33">
        <f t="shared" si="7"/>
        <v>14690</v>
      </c>
      <c r="Q36" s="34"/>
    </row>
  </sheetData>
  <mergeCells count="15">
    <mergeCell ref="B27:C27"/>
    <mergeCell ref="B32:C32"/>
    <mergeCell ref="B34:C34"/>
    <mergeCell ref="B35:C35"/>
    <mergeCell ref="B36:C36"/>
    <mergeCell ref="B16:C16"/>
    <mergeCell ref="B17:C17"/>
    <mergeCell ref="B21:C21"/>
    <mergeCell ref="B22:C22"/>
    <mergeCell ref="B26:C26"/>
    <mergeCell ref="B1:R1"/>
    <mergeCell ref="B2:R2"/>
    <mergeCell ref="B5:C5"/>
    <mergeCell ref="B9:C9"/>
    <mergeCell ref="B10:C10"/>
  </mergeCells>
  <conditionalFormatting sqref="P5:P36">
    <cfRule type="cellIs" dxfId="9" priority="2" operator="greaterThan">
      <formula>0</formula>
    </cfRule>
    <cfRule type="cellIs" dxfId="8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7C00"/>
  </sheetPr>
  <dimension ref="B1:K54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14" customWidth="1"/>
    <col min="3" max="3" width="10" customWidth="1"/>
    <col min="4" max="4" width="16" customWidth="1"/>
    <col min="5" max="6" width="14" customWidth="1"/>
    <col min="7" max="7" width="16" customWidth="1"/>
    <col min="8" max="8" width="14" customWidth="1"/>
    <col min="9" max="10" width="16" customWidth="1"/>
    <col min="11" max="11" width="14" customWidth="1"/>
  </cols>
  <sheetData>
    <row r="1" spans="2:11" ht="30" customHeight="1" x14ac:dyDescent="0.25">
      <c r="B1" s="13" t="s">
        <v>82</v>
      </c>
      <c r="C1" s="13"/>
      <c r="D1" s="13"/>
      <c r="E1" s="13"/>
      <c r="F1" s="13"/>
      <c r="G1" s="13"/>
      <c r="H1" s="13"/>
      <c r="I1" s="13"/>
      <c r="J1" s="13"/>
      <c r="K1" s="13"/>
    </row>
    <row r="2" spans="2:11" x14ac:dyDescent="0.25">
      <c r="B2" s="12" t="s">
        <v>83</v>
      </c>
      <c r="C2" s="12"/>
      <c r="D2" s="12"/>
      <c r="E2" s="12"/>
      <c r="F2" s="12"/>
      <c r="G2" s="12"/>
      <c r="H2" s="12"/>
      <c r="I2" s="12"/>
      <c r="J2" s="12"/>
      <c r="K2" s="12"/>
    </row>
    <row r="4" spans="2:11" x14ac:dyDescent="0.25">
      <c r="B4" s="51" t="s">
        <v>84</v>
      </c>
      <c r="C4" s="51"/>
      <c r="D4" s="51"/>
      <c r="E4" s="51"/>
      <c r="G4" s="51" t="s">
        <v>85</v>
      </c>
      <c r="H4" s="51"/>
      <c r="I4" s="51"/>
      <c r="J4" s="51"/>
      <c r="K4" s="51"/>
    </row>
    <row r="5" spans="2:11" x14ac:dyDescent="0.25">
      <c r="B5" s="52" t="s">
        <v>86</v>
      </c>
      <c r="C5" s="52"/>
      <c r="D5" s="52"/>
      <c r="E5" s="35">
        <v>35</v>
      </c>
      <c r="G5" s="53" t="s">
        <v>87</v>
      </c>
      <c r="H5" s="53"/>
      <c r="I5" s="53"/>
      <c r="J5" s="54">
        <f>alter_rente-alter_aktuell</f>
        <v>32</v>
      </c>
      <c r="K5" s="54"/>
    </row>
    <row r="6" spans="2:11" x14ac:dyDescent="0.25">
      <c r="B6" s="52" t="s">
        <v>88</v>
      </c>
      <c r="C6" s="52"/>
      <c r="D6" s="52"/>
      <c r="E6" s="35">
        <v>67</v>
      </c>
      <c r="G6" s="53" t="s">
        <v>89</v>
      </c>
      <c r="H6" s="53"/>
      <c r="I6" s="53"/>
      <c r="J6" s="55">
        <f>einkommen_start-ausgaben_start</f>
        <v>13200</v>
      </c>
      <c r="K6" s="55"/>
    </row>
    <row r="7" spans="2:11" x14ac:dyDescent="0.25">
      <c r="B7" s="52" t="s">
        <v>90</v>
      </c>
      <c r="C7" s="52"/>
      <c r="D7" s="52"/>
      <c r="E7" s="36">
        <v>153700</v>
      </c>
      <c r="G7" s="53" t="s">
        <v>91</v>
      </c>
      <c r="H7" s="53"/>
      <c r="I7" s="53"/>
      <c r="J7" s="56">
        <f>IFERROR((einkommen_start-ausgaben_start)/einkommen_start,0)</f>
        <v>0.31428571428571428</v>
      </c>
      <c r="K7" s="56"/>
    </row>
    <row r="8" spans="2:11" x14ac:dyDescent="0.25">
      <c r="B8" s="52" t="s">
        <v>92</v>
      </c>
      <c r="C8" s="52"/>
      <c r="D8" s="52"/>
      <c r="E8" s="36">
        <v>42000</v>
      </c>
      <c r="G8" s="53" t="s">
        <v>93</v>
      </c>
      <c r="H8" s="53"/>
      <c r="I8" s="53"/>
      <c r="J8" s="57">
        <f>ausgaben_start*0.85/12</f>
        <v>2040</v>
      </c>
      <c r="K8" s="57"/>
    </row>
    <row r="9" spans="2:11" x14ac:dyDescent="0.25">
      <c r="B9" s="52" t="s">
        <v>94</v>
      </c>
      <c r="C9" s="52"/>
      <c r="D9" s="52"/>
      <c r="E9" s="36">
        <v>28800</v>
      </c>
      <c r="G9" s="53" t="s">
        <v>95</v>
      </c>
      <c r="H9" s="53"/>
      <c r="I9" s="53"/>
      <c r="J9" s="57">
        <f>rente_brutto*(1-steuer_rente)</f>
        <v>1517.0000000000002</v>
      </c>
      <c r="K9" s="57"/>
    </row>
    <row r="10" spans="2:11" x14ac:dyDescent="0.25">
      <c r="B10" s="52" t="s">
        <v>96</v>
      </c>
      <c r="C10" s="52"/>
      <c r="D10" s="52"/>
      <c r="E10" s="37">
        <v>2.5000000000000001E-2</v>
      </c>
      <c r="G10" s="53" t="s">
        <v>97</v>
      </c>
      <c r="H10" s="53"/>
      <c r="I10" s="53"/>
      <c r="J10" s="58">
        <f>MAX(0,J8-J9)</f>
        <v>522.99999999999977</v>
      </c>
      <c r="K10" s="58"/>
    </row>
    <row r="11" spans="2:11" x14ac:dyDescent="0.25">
      <c r="B11" s="52" t="s">
        <v>98</v>
      </c>
      <c r="C11" s="52"/>
      <c r="D11" s="52"/>
      <c r="E11" s="37">
        <v>2.5000000000000001E-2</v>
      </c>
      <c r="G11" s="53" t="s">
        <v>99</v>
      </c>
      <c r="H11" s="53"/>
      <c r="I11" s="53"/>
      <c r="J11" s="59">
        <f>J10*12*25</f>
        <v>156899.99999999994</v>
      </c>
      <c r="K11" s="59"/>
    </row>
    <row r="12" spans="2:11" x14ac:dyDescent="0.25">
      <c r="B12" s="52" t="s">
        <v>100</v>
      </c>
      <c r="C12" s="52"/>
      <c r="D12" s="52"/>
      <c r="E12" s="37">
        <v>0.05</v>
      </c>
    </row>
    <row r="13" spans="2:11" x14ac:dyDescent="0.25">
      <c r="B13" s="52" t="s">
        <v>101</v>
      </c>
      <c r="C13" s="52"/>
      <c r="D13" s="52"/>
      <c r="E13" s="36">
        <v>1850</v>
      </c>
    </row>
    <row r="14" spans="2:11" x14ac:dyDescent="0.25">
      <c r="B14" s="52" t="s">
        <v>102</v>
      </c>
      <c r="C14" s="52"/>
      <c r="D14" s="52"/>
      <c r="E14" s="37">
        <v>0.18</v>
      </c>
    </row>
    <row r="17" spans="2:11" ht="18" x14ac:dyDescent="0.25">
      <c r="B17" s="60" t="s">
        <v>103</v>
      </c>
      <c r="C17" s="60"/>
      <c r="D17" s="60"/>
      <c r="E17" s="60"/>
      <c r="F17" s="60"/>
      <c r="G17" s="60"/>
      <c r="H17" s="60"/>
      <c r="I17" s="60"/>
      <c r="J17" s="60"/>
      <c r="K17" s="60"/>
    </row>
    <row r="19" spans="2:11" x14ac:dyDescent="0.25">
      <c r="B19" s="14" t="s">
        <v>104</v>
      </c>
      <c r="C19" s="14" t="s">
        <v>105</v>
      </c>
      <c r="D19" s="14" t="s">
        <v>106</v>
      </c>
      <c r="E19" s="14" t="s">
        <v>107</v>
      </c>
      <c r="F19" s="14" t="s">
        <v>108</v>
      </c>
      <c r="G19" s="14" t="s">
        <v>109</v>
      </c>
      <c r="H19" s="14" t="s">
        <v>110</v>
      </c>
      <c r="I19" s="14" t="s">
        <v>111</v>
      </c>
      <c r="J19" s="14" t="s">
        <v>112</v>
      </c>
    </row>
    <row r="20" spans="2:11" x14ac:dyDescent="0.25">
      <c r="B20" s="38">
        <v>2026</v>
      </c>
      <c r="C20" s="39">
        <f>alter_aktuell+0</f>
        <v>35</v>
      </c>
      <c r="D20" s="16">
        <f>IF(C20&lt;alter_rente,einkommen_start*(1+einkommen_wachstum)^0,rente_brutto*12*(1-steuer_rente)*(1+inflation)^0)</f>
        <v>42000</v>
      </c>
      <c r="E20" s="16">
        <f>ausgaben_start*(1+inflation)^0</f>
        <v>28800</v>
      </c>
      <c r="F20" s="16">
        <f t="shared" ref="F20:F54" si="0">D20-E20</f>
        <v>13200</v>
      </c>
      <c r="G20" s="16">
        <f>vermoegen_start</f>
        <v>153700</v>
      </c>
      <c r="H20" s="16">
        <f t="shared" ref="H20:H54" si="1">G20*rendite</f>
        <v>7685</v>
      </c>
      <c r="I20" s="16">
        <f t="shared" ref="I20:I54" si="2">G20+H20+F20</f>
        <v>174585</v>
      </c>
      <c r="J20" s="16">
        <f>I20/(1+inflation)^1</f>
        <v>170326.8292682927</v>
      </c>
    </row>
    <row r="21" spans="2:11" x14ac:dyDescent="0.25">
      <c r="B21" s="40">
        <v>2027</v>
      </c>
      <c r="C21" s="41">
        <f>alter_aktuell+1</f>
        <v>36</v>
      </c>
      <c r="D21" s="42">
        <f>IF(C21&lt;alter_rente,einkommen_start*(1+einkommen_wachstum)^1,rente_brutto*12*(1-steuer_rente)*(1+inflation)^1)</f>
        <v>43049.999999999993</v>
      </c>
      <c r="E21" s="42">
        <f>ausgaben_start*(1+inflation)^1</f>
        <v>29519.999999999996</v>
      </c>
      <c r="F21" s="42">
        <f t="shared" si="0"/>
        <v>13529.999999999996</v>
      </c>
      <c r="G21" s="42">
        <f t="shared" ref="G21:G54" si="3">I20</f>
        <v>174585</v>
      </c>
      <c r="H21" s="42">
        <f t="shared" si="1"/>
        <v>8729.25</v>
      </c>
      <c r="I21" s="42">
        <f t="shared" si="2"/>
        <v>196844.25</v>
      </c>
      <c r="J21" s="42">
        <f>I21/(1+inflation)^2</f>
        <v>187359.19095776326</v>
      </c>
    </row>
    <row r="22" spans="2:11" x14ac:dyDescent="0.25">
      <c r="B22" s="38">
        <v>2028</v>
      </c>
      <c r="C22" s="39">
        <f>alter_aktuell+2</f>
        <v>37</v>
      </c>
      <c r="D22" s="16">
        <f>IF(C22&lt;alter_rente,einkommen_start*(1+einkommen_wachstum)^2,rente_brutto*12*(1-steuer_rente)*(1+inflation)^2)</f>
        <v>44126.25</v>
      </c>
      <c r="E22" s="16">
        <f>ausgaben_start*(1+inflation)^2</f>
        <v>30257.999999999996</v>
      </c>
      <c r="F22" s="16">
        <f t="shared" si="0"/>
        <v>13868.250000000004</v>
      </c>
      <c r="G22" s="16">
        <f t="shared" si="3"/>
        <v>196844.25</v>
      </c>
      <c r="H22" s="16">
        <f t="shared" si="1"/>
        <v>9842.2125000000015</v>
      </c>
      <c r="I22" s="16">
        <f t="shared" si="2"/>
        <v>220554.71249999999</v>
      </c>
      <c r="J22" s="16">
        <f>I22/(1+inflation)^3</f>
        <v>204806.97610307456</v>
      </c>
    </row>
    <row r="23" spans="2:11" x14ac:dyDescent="0.25">
      <c r="B23" s="40">
        <v>2029</v>
      </c>
      <c r="C23" s="41">
        <f>alter_aktuell+3</f>
        <v>38</v>
      </c>
      <c r="D23" s="42">
        <f>IF(C23&lt;alter_rente,einkommen_start*(1+einkommen_wachstum)^3,rente_brutto*12*(1-steuer_rente)*(1+inflation)^3)</f>
        <v>45229.406249999993</v>
      </c>
      <c r="E23" s="42">
        <f>ausgaben_start*(1+inflation)^3</f>
        <v>31014.449999999997</v>
      </c>
      <c r="F23" s="42">
        <f t="shared" si="0"/>
        <v>14214.956249999996</v>
      </c>
      <c r="G23" s="42">
        <f t="shared" si="3"/>
        <v>220554.71249999999</v>
      </c>
      <c r="H23" s="42">
        <f t="shared" si="1"/>
        <v>11027.735625000001</v>
      </c>
      <c r="I23" s="42">
        <f t="shared" si="2"/>
        <v>245797.40437499998</v>
      </c>
      <c r="J23" s="42">
        <f>I23/(1+inflation)^4</f>
        <v>222680.31698363737</v>
      </c>
    </row>
    <row r="24" spans="2:11" x14ac:dyDescent="0.25">
      <c r="B24" s="38">
        <v>2030</v>
      </c>
      <c r="C24" s="39">
        <f>alter_aktuell+4</f>
        <v>39</v>
      </c>
      <c r="D24" s="16">
        <f>IF(C24&lt;alter_rente,einkommen_start*(1+einkommen_wachstum)^4,rente_brutto*12*(1-steuer_rente)*(1+inflation)^4)</f>
        <v>46360.14140624999</v>
      </c>
      <c r="E24" s="16">
        <f>ausgaben_start*(1+inflation)^4</f>
        <v>31789.811249999992</v>
      </c>
      <c r="F24" s="16">
        <f t="shared" si="0"/>
        <v>14570.330156249998</v>
      </c>
      <c r="G24" s="16">
        <f t="shared" si="3"/>
        <v>245797.40437499998</v>
      </c>
      <c r="H24" s="16">
        <f t="shared" si="1"/>
        <v>12289.87021875</v>
      </c>
      <c r="I24" s="16">
        <f t="shared" si="2"/>
        <v>272657.60475</v>
      </c>
      <c r="J24" s="16">
        <f>I24/(1+inflation)^5</f>
        <v>240989.59300762854</v>
      </c>
    </row>
    <row r="25" spans="2:11" x14ac:dyDescent="0.25">
      <c r="B25" s="40">
        <v>2031</v>
      </c>
      <c r="C25" s="41">
        <f>alter_aktuell+5</f>
        <v>40</v>
      </c>
      <c r="D25" s="42">
        <f>IF(C25&lt;alter_rente,einkommen_start*(1+einkommen_wachstum)^5,rente_brutto*12*(1-steuer_rente)*(1+inflation)^5)</f>
        <v>47519.144941406237</v>
      </c>
      <c r="E25" s="42">
        <f>ausgaben_start*(1+inflation)^5</f>
        <v>32584.556531249989</v>
      </c>
      <c r="F25" s="42">
        <f t="shared" si="0"/>
        <v>14934.588410156248</v>
      </c>
      <c r="G25" s="42">
        <f t="shared" si="3"/>
        <v>272657.60475</v>
      </c>
      <c r="H25" s="42">
        <f t="shared" si="1"/>
        <v>13632.880237500001</v>
      </c>
      <c r="I25" s="42">
        <f t="shared" si="2"/>
        <v>301225.07339765626</v>
      </c>
      <c r="J25" s="42">
        <f>I25/(1+inflation)^6</f>
        <v>259745.43673952197</v>
      </c>
    </row>
    <row r="26" spans="2:11" x14ac:dyDescent="0.25">
      <c r="B26" s="38">
        <v>2032</v>
      </c>
      <c r="C26" s="39">
        <f>alter_aktuell+6</f>
        <v>41</v>
      </c>
      <c r="D26" s="16">
        <f>IF(C26&lt;alter_rente,einkommen_start*(1+einkommen_wachstum)^6,rente_brutto*12*(1-steuer_rente)*(1+inflation)^6)</f>
        <v>48707.123564941387</v>
      </c>
      <c r="E26" s="16">
        <f>ausgaben_start*(1+inflation)^6</f>
        <v>33399.170444531235</v>
      </c>
      <c r="F26" s="16">
        <f t="shared" si="0"/>
        <v>15307.953120410151</v>
      </c>
      <c r="G26" s="16">
        <f t="shared" si="3"/>
        <v>301225.07339765626</v>
      </c>
      <c r="H26" s="16">
        <f t="shared" si="1"/>
        <v>15061.253669882813</v>
      </c>
      <c r="I26" s="16">
        <f t="shared" si="2"/>
        <v>331594.28018794925</v>
      </c>
      <c r="J26" s="16">
        <f>I26/(1+inflation)^7</f>
        <v>278958.74007463228</v>
      </c>
    </row>
    <row r="27" spans="2:11" x14ac:dyDescent="0.25">
      <c r="B27" s="40">
        <v>2033</v>
      </c>
      <c r="C27" s="41">
        <f>alter_aktuell+7</f>
        <v>42</v>
      </c>
      <c r="D27" s="42">
        <f>IF(C27&lt;alter_rente,einkommen_start*(1+einkommen_wachstum)^7,rente_brutto*12*(1-steuer_rente)*(1+inflation)^7)</f>
        <v>49924.801654064926</v>
      </c>
      <c r="E27" s="42">
        <f>ausgaben_start*(1+inflation)^7</f>
        <v>34234.149705644522</v>
      </c>
      <c r="F27" s="42">
        <f t="shared" si="0"/>
        <v>15690.651948420404</v>
      </c>
      <c r="G27" s="42">
        <f t="shared" si="3"/>
        <v>331594.28018794925</v>
      </c>
      <c r="H27" s="42">
        <f t="shared" si="1"/>
        <v>16579.714009397463</v>
      </c>
      <c r="I27" s="42">
        <f t="shared" si="2"/>
        <v>363864.64614576712</v>
      </c>
      <c r="J27" s="42">
        <f>I27/(1+inflation)^8</f>
        <v>298640.66056425747</v>
      </c>
    </row>
    <row r="28" spans="2:11" x14ac:dyDescent="0.25">
      <c r="B28" s="38">
        <v>2034</v>
      </c>
      <c r="C28" s="39">
        <f>alter_aktuell+8</f>
        <v>43</v>
      </c>
      <c r="D28" s="16">
        <f>IF(C28&lt;alter_rente,einkommen_start*(1+einkommen_wachstum)^8,rente_brutto*12*(1-steuer_rente)*(1+inflation)^8)</f>
        <v>51172.921695416546</v>
      </c>
      <c r="E28" s="16">
        <f>ausgaben_start*(1+inflation)^8</f>
        <v>35090.003448285628</v>
      </c>
      <c r="F28" s="16">
        <f t="shared" si="0"/>
        <v>16082.918247130918</v>
      </c>
      <c r="G28" s="16">
        <f t="shared" si="3"/>
        <v>363864.64614576712</v>
      </c>
      <c r="H28" s="16">
        <f t="shared" si="1"/>
        <v>18193.232307288356</v>
      </c>
      <c r="I28" s="16">
        <f t="shared" si="2"/>
        <v>398140.79670018639</v>
      </c>
      <c r="J28" s="16">
        <f>I28/(1+inflation)^9</f>
        <v>318802.62789509306</v>
      </c>
    </row>
    <row r="29" spans="2:11" x14ac:dyDescent="0.25">
      <c r="B29" s="40">
        <v>2035</v>
      </c>
      <c r="C29" s="41">
        <f>alter_aktuell+9</f>
        <v>44</v>
      </c>
      <c r="D29" s="42">
        <f>IF(C29&lt;alter_rente,einkommen_start*(1+einkommen_wachstum)^9,rente_brutto*12*(1-steuer_rente)*(1+inflation)^9)</f>
        <v>52452.24473780195</v>
      </c>
      <c r="E29" s="42">
        <f>ausgaben_start*(1+inflation)^9</f>
        <v>35967.253534492767</v>
      </c>
      <c r="F29" s="42">
        <f t="shared" si="0"/>
        <v>16484.991203309182</v>
      </c>
      <c r="G29" s="42">
        <f t="shared" si="3"/>
        <v>398140.79670018639</v>
      </c>
      <c r="H29" s="42">
        <f t="shared" si="1"/>
        <v>19907.03983500932</v>
      </c>
      <c r="I29" s="42">
        <f t="shared" si="2"/>
        <v>434532.82773850486</v>
      </c>
      <c r="J29" s="42">
        <f>I29/(1+inflation)^10</f>
        <v>339456.3505266807</v>
      </c>
    </row>
    <row r="30" spans="2:11" x14ac:dyDescent="0.25">
      <c r="B30" s="38">
        <v>2036</v>
      </c>
      <c r="C30" s="39">
        <f>alter_aktuell+10</f>
        <v>45</v>
      </c>
      <c r="D30" s="16">
        <f>IF(C30&lt;alter_rente,einkommen_start*(1+einkommen_wachstum)^10,rente_brutto*12*(1-steuer_rente)*(1+inflation)^10)</f>
        <v>53763.550856246999</v>
      </c>
      <c r="E30" s="16">
        <f>ausgaben_start*(1+inflation)^10</f>
        <v>36866.434872855083</v>
      </c>
      <c r="F30" s="16">
        <f t="shared" si="0"/>
        <v>16897.115983391916</v>
      </c>
      <c r="G30" s="16">
        <f t="shared" si="3"/>
        <v>434532.82773850486</v>
      </c>
      <c r="H30" s="16">
        <f t="shared" si="1"/>
        <v>21726.641386925243</v>
      </c>
      <c r="I30" s="16">
        <f t="shared" si="2"/>
        <v>473156.58510882204</v>
      </c>
      <c r="J30" s="16">
        <f>I30/(1+inflation)^11</f>
        <v>360613.8224907461</v>
      </c>
    </row>
    <row r="31" spans="2:11" x14ac:dyDescent="0.25">
      <c r="B31" s="40">
        <v>2037</v>
      </c>
      <c r="C31" s="41">
        <f>alter_aktuell+11</f>
        <v>46</v>
      </c>
      <c r="D31" s="42">
        <f>IF(C31&lt;alter_rente,einkommen_start*(1+einkommen_wachstum)^11,rente_brutto*12*(1-steuer_rente)*(1+inflation)^11)</f>
        <v>55107.639627653174</v>
      </c>
      <c r="E31" s="42">
        <f>ausgaben_start*(1+inflation)^11</f>
        <v>37788.095744676459</v>
      </c>
      <c r="F31" s="42">
        <f t="shared" si="0"/>
        <v>17319.543882976715</v>
      </c>
      <c r="G31" s="42">
        <f t="shared" si="3"/>
        <v>473156.58510882204</v>
      </c>
      <c r="H31" s="42">
        <f t="shared" si="1"/>
        <v>23657.829255441102</v>
      </c>
      <c r="I31" s="42">
        <f t="shared" si="2"/>
        <v>514133.95824723982</v>
      </c>
      <c r="J31" s="42">
        <f>I31/(1+inflation)^12</f>
        <v>382287.33035637403</v>
      </c>
    </row>
    <row r="32" spans="2:11" x14ac:dyDescent="0.25">
      <c r="B32" s="38">
        <v>2038</v>
      </c>
      <c r="C32" s="39">
        <f>alter_aktuell+12</f>
        <v>47</v>
      </c>
      <c r="D32" s="16">
        <f>IF(C32&lt;alter_rente,einkommen_start*(1+einkommen_wachstum)^12,rente_brutto*12*(1-steuer_rente)*(1+inflation)^12)</f>
        <v>56485.330618344495</v>
      </c>
      <c r="E32" s="16">
        <f>ausgaben_start*(1+inflation)^12</f>
        <v>38732.798138293372</v>
      </c>
      <c r="F32" s="16">
        <f t="shared" si="0"/>
        <v>17752.532480051123</v>
      </c>
      <c r="G32" s="16">
        <f t="shared" si="3"/>
        <v>514133.95824723982</v>
      </c>
      <c r="H32" s="16">
        <f t="shared" si="1"/>
        <v>25706.697912361993</v>
      </c>
      <c r="I32" s="16">
        <f t="shared" si="2"/>
        <v>557593.18863965292</v>
      </c>
      <c r="J32" s="16">
        <f>I32/(1+inflation)^13</f>
        <v>404489.46036506607</v>
      </c>
    </row>
    <row r="33" spans="2:10" x14ac:dyDescent="0.25">
      <c r="B33" s="40">
        <v>2039</v>
      </c>
      <c r="C33" s="41">
        <f>alter_aktuell+13</f>
        <v>48</v>
      </c>
      <c r="D33" s="42">
        <f>IF(C33&lt;alter_rente,einkommen_start*(1+einkommen_wachstum)^13,rente_brutto*12*(1-steuer_rente)*(1+inflation)^13)</f>
        <v>57897.463883803102</v>
      </c>
      <c r="E33" s="42">
        <f>ausgaben_start*(1+inflation)^13</f>
        <v>39701.118091750701</v>
      </c>
      <c r="F33" s="42">
        <f t="shared" si="0"/>
        <v>18196.345792052402</v>
      </c>
      <c r="G33" s="42">
        <f t="shared" si="3"/>
        <v>557593.18863965292</v>
      </c>
      <c r="H33" s="42">
        <f t="shared" si="1"/>
        <v>27879.659431982647</v>
      </c>
      <c r="I33" s="42">
        <f t="shared" si="2"/>
        <v>603669.19386368804</v>
      </c>
      <c r="J33" s="42">
        <f>I33/(1+inflation)^14</f>
        <v>427233.10573982389</v>
      </c>
    </row>
    <row r="34" spans="2:10" x14ac:dyDescent="0.25">
      <c r="B34" s="38">
        <v>2040</v>
      </c>
      <c r="C34" s="39">
        <f>alter_aktuell+14</f>
        <v>49</v>
      </c>
      <c r="D34" s="16">
        <f>IF(C34&lt;alter_rente,einkommen_start*(1+einkommen_wachstum)^14,rente_brutto*12*(1-steuer_rente)*(1+inflation)^14)</f>
        <v>59344.900480898177</v>
      </c>
      <c r="E34" s="16">
        <f>ausgaben_start*(1+inflation)^14</f>
        <v>40693.646044044464</v>
      </c>
      <c r="F34" s="16">
        <f t="shared" si="0"/>
        <v>18651.254436853713</v>
      </c>
      <c r="G34" s="16">
        <f t="shared" si="3"/>
        <v>603669.19386368804</v>
      </c>
      <c r="H34" s="16">
        <f t="shared" si="1"/>
        <v>30183.459693184403</v>
      </c>
      <c r="I34" s="16">
        <f t="shared" si="2"/>
        <v>652503.90799372608</v>
      </c>
      <c r="J34" s="16">
        <f>I34/(1+inflation)^15</f>
        <v>450531.47417250241</v>
      </c>
    </row>
    <row r="35" spans="2:10" x14ac:dyDescent="0.25">
      <c r="B35" s="40">
        <v>2041</v>
      </c>
      <c r="C35" s="41">
        <f>alter_aktuell+15</f>
        <v>50</v>
      </c>
      <c r="D35" s="42">
        <f>IF(C35&lt;alter_rente,einkommen_start*(1+einkommen_wachstum)^15,rente_brutto*12*(1-steuer_rente)*(1+inflation)^15)</f>
        <v>60828.52299292064</v>
      </c>
      <c r="E35" s="42">
        <f>ausgaben_start*(1+inflation)^15</f>
        <v>41710.987195145579</v>
      </c>
      <c r="F35" s="42">
        <f t="shared" si="0"/>
        <v>19117.535797775061</v>
      </c>
      <c r="G35" s="42">
        <f t="shared" si="3"/>
        <v>652503.90799372608</v>
      </c>
      <c r="H35" s="42">
        <f t="shared" si="1"/>
        <v>32625.195399686305</v>
      </c>
      <c r="I35" s="42">
        <f t="shared" si="2"/>
        <v>704246.63919118745</v>
      </c>
      <c r="J35" s="42">
        <f>I35/(1+inflation)^16</f>
        <v>474398.09549378301</v>
      </c>
    </row>
    <row r="36" spans="2:10" x14ac:dyDescent="0.25">
      <c r="B36" s="38">
        <v>2042</v>
      </c>
      <c r="C36" s="39">
        <f>alter_aktuell+16</f>
        <v>51</v>
      </c>
      <c r="D36" s="16">
        <f>IF(C36&lt;alter_rente,einkommen_start*(1+einkommen_wachstum)^16,rente_brutto*12*(1-steuer_rente)*(1+inflation)^16)</f>
        <v>62349.236067743652</v>
      </c>
      <c r="E36" s="16">
        <f>ausgaben_start*(1+inflation)^16</f>
        <v>42753.761875024218</v>
      </c>
      <c r="F36" s="16">
        <f t="shared" si="0"/>
        <v>19595.474192719434</v>
      </c>
      <c r="G36" s="16">
        <f t="shared" si="3"/>
        <v>704246.63919118745</v>
      </c>
      <c r="H36" s="16">
        <f t="shared" si="1"/>
        <v>35212.331959559371</v>
      </c>
      <c r="I36" s="16">
        <f t="shared" si="2"/>
        <v>759054.44534346624</v>
      </c>
      <c r="J36" s="16">
        <f>I36/(1+inflation)^17</f>
        <v>498846.82953021681</v>
      </c>
    </row>
    <row r="37" spans="2:10" x14ac:dyDescent="0.25">
      <c r="B37" s="40">
        <v>2043</v>
      </c>
      <c r="C37" s="41">
        <f>alter_aktuell+17</f>
        <v>52</v>
      </c>
      <c r="D37" s="42">
        <f>IF(C37&lt;alter_rente,einkommen_start*(1+einkommen_wachstum)^17,rente_brutto*12*(1-steuer_rente)*(1+inflation)^17)</f>
        <v>63907.966969437235</v>
      </c>
      <c r="E37" s="42">
        <f>ausgaben_start*(1+inflation)^17</f>
        <v>43822.60592189982</v>
      </c>
      <c r="F37" s="42">
        <f t="shared" si="0"/>
        <v>20085.361047537415</v>
      </c>
      <c r="G37" s="42">
        <f t="shared" si="3"/>
        <v>759054.44534346624</v>
      </c>
      <c r="H37" s="42">
        <f t="shared" si="1"/>
        <v>37952.722267173311</v>
      </c>
      <c r="I37" s="42">
        <f t="shared" si="2"/>
        <v>817092.52865817701</v>
      </c>
      <c r="J37" s="42">
        <f>I37/(1+inflation)^18</f>
        <v>523891.87415290502</v>
      </c>
    </row>
    <row r="38" spans="2:10" x14ac:dyDescent="0.25">
      <c r="B38" s="38">
        <v>2044</v>
      </c>
      <c r="C38" s="39">
        <f>alter_aktuell+18</f>
        <v>53</v>
      </c>
      <c r="D38" s="16">
        <f>IF(C38&lt;alter_rente,einkommen_start*(1+einkommen_wachstum)^18,rente_brutto*12*(1-steuer_rente)*(1+inflation)^18)</f>
        <v>65505.666143673167</v>
      </c>
      <c r="E38" s="16">
        <f>ausgaben_start*(1+inflation)^18</f>
        <v>44918.171069947311</v>
      </c>
      <c r="F38" s="16">
        <f t="shared" si="0"/>
        <v>20587.495073725855</v>
      </c>
      <c r="G38" s="16">
        <f t="shared" si="3"/>
        <v>817092.52865817701</v>
      </c>
      <c r="H38" s="16">
        <f t="shared" si="1"/>
        <v>40854.626432908852</v>
      </c>
      <c r="I38" s="16">
        <f t="shared" si="2"/>
        <v>878534.65016481164</v>
      </c>
      <c r="J38" s="16">
        <f>I38/(1+inflation)^19</f>
        <v>549547.77352248807</v>
      </c>
    </row>
    <row r="39" spans="2:10" x14ac:dyDescent="0.25">
      <c r="B39" s="40">
        <v>2045</v>
      </c>
      <c r="C39" s="41">
        <f>alter_aktuell+19</f>
        <v>54</v>
      </c>
      <c r="D39" s="42">
        <f>IF(C39&lt;alter_rente,einkommen_start*(1+einkommen_wachstum)^19,rente_brutto*12*(1-steuer_rente)*(1+inflation)^19)</f>
        <v>67143.307797264992</v>
      </c>
      <c r="E39" s="42">
        <f>ausgaben_start*(1+inflation)^19</f>
        <v>46041.125346695997</v>
      </c>
      <c r="F39" s="42">
        <f t="shared" si="0"/>
        <v>21102.182450568995</v>
      </c>
      <c r="G39" s="42">
        <f t="shared" si="3"/>
        <v>878534.65016481164</v>
      </c>
      <c r="H39" s="42">
        <f t="shared" si="1"/>
        <v>43926.732508240588</v>
      </c>
      <c r="I39" s="42">
        <f t="shared" si="2"/>
        <v>943563.56512362126</v>
      </c>
      <c r="J39" s="42">
        <f>I39/(1+inflation)^20</f>
        <v>575829.42653523176</v>
      </c>
    </row>
    <row r="40" spans="2:10" x14ac:dyDescent="0.25">
      <c r="B40" s="38">
        <v>2046</v>
      </c>
      <c r="C40" s="39">
        <f>alter_aktuell+20</f>
        <v>55</v>
      </c>
      <c r="D40" s="16">
        <f>IF(C40&lt;alter_rente,einkommen_start*(1+einkommen_wachstum)^20,rente_brutto*12*(1-steuer_rente)*(1+inflation)^20)</f>
        <v>68821.890492196617</v>
      </c>
      <c r="E40" s="16">
        <f>ausgaben_start*(1+inflation)^20</f>
        <v>47192.153480363391</v>
      </c>
      <c r="F40" s="16">
        <f t="shared" si="0"/>
        <v>21629.737011833226</v>
      </c>
      <c r="G40" s="16">
        <f t="shared" si="3"/>
        <v>943563.56512362126</v>
      </c>
      <c r="H40" s="16">
        <f t="shared" si="1"/>
        <v>47178.178256181069</v>
      </c>
      <c r="I40" s="16">
        <f t="shared" si="2"/>
        <v>1012371.4803916356</v>
      </c>
      <c r="J40" s="16">
        <f>I40/(1+inflation)^21</f>
        <v>602752.09547511546</v>
      </c>
    </row>
    <row r="41" spans="2:10" x14ac:dyDescent="0.25">
      <c r="B41" s="40">
        <v>2047</v>
      </c>
      <c r="C41" s="41">
        <f>alter_aktuell+21</f>
        <v>56</v>
      </c>
      <c r="D41" s="42">
        <f>IF(C41&lt;alter_rente,einkommen_start*(1+einkommen_wachstum)^21,rente_brutto*12*(1-steuer_rente)*(1+inflation)^21)</f>
        <v>70542.437754501516</v>
      </c>
      <c r="E41" s="42">
        <f>ausgaben_start*(1+inflation)^21</f>
        <v>48371.957317372471</v>
      </c>
      <c r="F41" s="42">
        <f t="shared" si="0"/>
        <v>22170.480437129045</v>
      </c>
      <c r="G41" s="42">
        <f t="shared" si="3"/>
        <v>1012371.4803916356</v>
      </c>
      <c r="H41" s="42">
        <f t="shared" si="1"/>
        <v>50618.574019581778</v>
      </c>
      <c r="I41" s="42">
        <f t="shared" si="2"/>
        <v>1085160.5348483464</v>
      </c>
      <c r="J41" s="42">
        <f>I41/(1+inflation)^22</f>
        <v>630331.41487694765</v>
      </c>
    </row>
    <row r="42" spans="2:10" x14ac:dyDescent="0.25">
      <c r="B42" s="38">
        <v>2048</v>
      </c>
      <c r="C42" s="39">
        <f>alter_aktuell+22</f>
        <v>57</v>
      </c>
      <c r="D42" s="16">
        <f>IF(C42&lt;alter_rente,einkommen_start*(1+einkommen_wachstum)^22,rente_brutto*12*(1-steuer_rente)*(1+inflation)^22)</f>
        <v>72305.998698364056</v>
      </c>
      <c r="E42" s="16">
        <f>ausgaben_start*(1+inflation)^22</f>
        <v>49581.256250306782</v>
      </c>
      <c r="F42" s="16">
        <f t="shared" si="0"/>
        <v>22724.742448057274</v>
      </c>
      <c r="G42" s="16">
        <f t="shared" si="3"/>
        <v>1085160.5348483464</v>
      </c>
      <c r="H42" s="16">
        <f t="shared" si="1"/>
        <v>54258.026742417322</v>
      </c>
      <c r="I42" s="16">
        <f t="shared" si="2"/>
        <v>1162143.304038821</v>
      </c>
      <c r="J42" s="16">
        <f>I42/(1+inflation)^23</f>
        <v>658583.40060565365</v>
      </c>
    </row>
    <row r="43" spans="2:10" x14ac:dyDescent="0.25">
      <c r="B43" s="40">
        <v>2049</v>
      </c>
      <c r="C43" s="41">
        <f>alter_aktuell+23</f>
        <v>58</v>
      </c>
      <c r="D43" s="42">
        <f>IF(C43&lt;alter_rente,einkommen_start*(1+einkommen_wachstum)^23,rente_brutto*12*(1-steuer_rente)*(1+inflation)^23)</f>
        <v>74113.648665823159</v>
      </c>
      <c r="E43" s="42">
        <f>ausgaben_start*(1+inflation)^23</f>
        <v>50820.787656564455</v>
      </c>
      <c r="F43" s="42">
        <f t="shared" si="0"/>
        <v>23292.861009258704</v>
      </c>
      <c r="G43" s="42">
        <f t="shared" si="3"/>
        <v>1162143.304038821</v>
      </c>
      <c r="H43" s="42">
        <f t="shared" si="1"/>
        <v>58107.165201941054</v>
      </c>
      <c r="I43" s="42">
        <f t="shared" si="2"/>
        <v>1243543.3302500208</v>
      </c>
      <c r="J43" s="42">
        <f>I43/(1+inflation)^24</f>
        <v>687524.45915701112</v>
      </c>
    </row>
    <row r="44" spans="2:10" x14ac:dyDescent="0.25">
      <c r="B44" s="38">
        <v>2050</v>
      </c>
      <c r="C44" s="39">
        <f>alter_aktuell+24</f>
        <v>59</v>
      </c>
      <c r="D44" s="16">
        <f>IF(C44&lt;alter_rente,einkommen_start*(1+einkommen_wachstum)^24,rente_brutto*12*(1-steuer_rente)*(1+inflation)^24)</f>
        <v>75966.489882468741</v>
      </c>
      <c r="E44" s="16">
        <f>ausgaben_start*(1+inflation)^24</f>
        <v>52091.30734797856</v>
      </c>
      <c r="F44" s="16">
        <f t="shared" si="0"/>
        <v>23875.182534490181</v>
      </c>
      <c r="G44" s="16">
        <f t="shared" si="3"/>
        <v>1243543.3302500208</v>
      </c>
      <c r="H44" s="16">
        <f t="shared" si="1"/>
        <v>62177.166512501048</v>
      </c>
      <c r="I44" s="16">
        <f t="shared" si="2"/>
        <v>1329595.679297012</v>
      </c>
      <c r="J44" s="16">
        <f>I44/(1+inflation)^25</f>
        <v>717171.39718523098</v>
      </c>
    </row>
    <row r="45" spans="2:10" x14ac:dyDescent="0.25">
      <c r="B45" s="40">
        <v>2051</v>
      </c>
      <c r="C45" s="41">
        <f>alter_aktuell+25</f>
        <v>60</v>
      </c>
      <c r="D45" s="42">
        <f>IF(C45&lt;alter_rente,einkommen_start*(1+einkommen_wachstum)^25,rente_brutto*12*(1-steuer_rente)*(1+inflation)^25)</f>
        <v>77865.652129530441</v>
      </c>
      <c r="E45" s="42">
        <f>ausgaben_start*(1+inflation)^25</f>
        <v>53393.590031678017</v>
      </c>
      <c r="F45" s="42">
        <f t="shared" si="0"/>
        <v>24472.062097852424</v>
      </c>
      <c r="G45" s="42">
        <f t="shared" si="3"/>
        <v>1329595.679297012</v>
      </c>
      <c r="H45" s="42">
        <f t="shared" si="1"/>
        <v>66479.783964850605</v>
      </c>
      <c r="I45" s="42">
        <f t="shared" si="2"/>
        <v>1420547.5253597151</v>
      </c>
      <c r="J45" s="42">
        <f>I45/(1+inflation)^26</f>
        <v>747541.43126291968</v>
      </c>
    </row>
    <row r="46" spans="2:10" x14ac:dyDescent="0.25">
      <c r="B46" s="38">
        <v>2052</v>
      </c>
      <c r="C46" s="39">
        <f>alter_aktuell+26</f>
        <v>61</v>
      </c>
      <c r="D46" s="16">
        <f>IF(C46&lt;alter_rente,einkommen_start*(1+einkommen_wachstum)^26,rente_brutto*12*(1-steuer_rente)*(1+inflation)^26)</f>
        <v>79812.293432768696</v>
      </c>
      <c r="E46" s="16">
        <f>ausgaben_start*(1+inflation)^26</f>
        <v>54728.429782469961</v>
      </c>
      <c r="F46" s="16">
        <f t="shared" si="0"/>
        <v>25083.863650298736</v>
      </c>
      <c r="G46" s="16">
        <f t="shared" si="3"/>
        <v>1420547.5253597151</v>
      </c>
      <c r="H46" s="16">
        <f t="shared" si="1"/>
        <v>71027.376267985761</v>
      </c>
      <c r="I46" s="16">
        <f t="shared" si="2"/>
        <v>1516658.7652779995</v>
      </c>
      <c r="J46" s="16">
        <f>I46/(1+inflation)^27</f>
        <v>778652.19787908834</v>
      </c>
    </row>
    <row r="47" spans="2:10" x14ac:dyDescent="0.25">
      <c r="B47" s="40">
        <v>2053</v>
      </c>
      <c r="C47" s="41">
        <f>alter_aktuell+27</f>
        <v>62</v>
      </c>
      <c r="D47" s="42">
        <f>IF(C47&lt;alter_rente,einkommen_start*(1+einkommen_wachstum)^27,rente_brutto*12*(1-steuer_rente)*(1+inflation)^27)</f>
        <v>81807.600768587916</v>
      </c>
      <c r="E47" s="42">
        <f>ausgaben_start*(1+inflation)^27</f>
        <v>56096.640527031712</v>
      </c>
      <c r="F47" s="42">
        <f t="shared" si="0"/>
        <v>25710.960241556204</v>
      </c>
      <c r="G47" s="42">
        <f t="shared" si="3"/>
        <v>1516658.7652779995</v>
      </c>
      <c r="H47" s="42">
        <f t="shared" si="1"/>
        <v>75832.938263899981</v>
      </c>
      <c r="I47" s="42">
        <f t="shared" si="2"/>
        <v>1618202.6637834555</v>
      </c>
      <c r="J47" s="42">
        <f>I47/(1+inflation)^28</f>
        <v>810521.76368101733</v>
      </c>
    </row>
    <row r="48" spans="2:10" x14ac:dyDescent="0.25">
      <c r="B48" s="38">
        <v>2054</v>
      </c>
      <c r="C48" s="39">
        <f>alter_aktuell+28</f>
        <v>63</v>
      </c>
      <c r="D48" s="16">
        <f>IF(C48&lt;alter_rente,einkommen_start*(1+einkommen_wachstum)^28,rente_brutto*12*(1-steuer_rente)*(1+inflation)^28)</f>
        <v>83852.790787802602</v>
      </c>
      <c r="E48" s="16">
        <f>ausgaben_start*(1+inflation)^28</f>
        <v>57499.056540207501</v>
      </c>
      <c r="F48" s="16">
        <f t="shared" si="0"/>
        <v>26353.734247595101</v>
      </c>
      <c r="G48" s="16">
        <f t="shared" si="3"/>
        <v>1618202.6637834555</v>
      </c>
      <c r="H48" s="16">
        <f t="shared" si="1"/>
        <v>80910.133189172775</v>
      </c>
      <c r="I48" s="16">
        <f t="shared" si="2"/>
        <v>1725466.5312202233</v>
      </c>
      <c r="J48" s="16">
        <f>I48/(1+inflation)^29</f>
        <v>843168.63596592005</v>
      </c>
    </row>
    <row r="49" spans="2:10" x14ac:dyDescent="0.25">
      <c r="B49" s="40">
        <v>2055</v>
      </c>
      <c r="C49" s="41">
        <f>alter_aktuell+29</f>
        <v>64</v>
      </c>
      <c r="D49" s="42">
        <f>IF(C49&lt;alter_rente,einkommen_start*(1+einkommen_wachstum)^29,rente_brutto*12*(1-steuer_rente)*(1+inflation)^29)</f>
        <v>85949.110557497683</v>
      </c>
      <c r="E49" s="42">
        <f>ausgaben_start*(1+inflation)^29</f>
        <v>58936.532953712689</v>
      </c>
      <c r="F49" s="42">
        <f t="shared" si="0"/>
        <v>27012.577603784994</v>
      </c>
      <c r="G49" s="42">
        <f t="shared" si="3"/>
        <v>1725466.5312202233</v>
      </c>
      <c r="H49" s="42">
        <f t="shared" si="1"/>
        <v>86273.32656101117</v>
      </c>
      <c r="I49" s="42">
        <f t="shared" si="2"/>
        <v>1838752.4353850195</v>
      </c>
      <c r="J49" s="42">
        <f>I49/(1+inflation)^30</f>
        <v>876611.77342850377</v>
      </c>
    </row>
    <row r="50" spans="2:10" x14ac:dyDescent="0.25">
      <c r="B50" s="38">
        <v>2056</v>
      </c>
      <c r="C50" s="39">
        <f>alter_aktuell+30</f>
        <v>65</v>
      </c>
      <c r="D50" s="16">
        <f>IF(C50&lt;alter_rente,einkommen_start*(1+einkommen_wachstum)^30,rente_brutto*12*(1-steuer_rente)*(1+inflation)^30)</f>
        <v>88097.838321435091</v>
      </c>
      <c r="E50" s="16">
        <f>ausgaben_start*(1+inflation)^30</f>
        <v>60409.946277555493</v>
      </c>
      <c r="F50" s="16">
        <f t="shared" si="0"/>
        <v>27687.892043879598</v>
      </c>
      <c r="G50" s="16">
        <f t="shared" si="3"/>
        <v>1838752.4353850195</v>
      </c>
      <c r="H50" s="16">
        <f t="shared" si="1"/>
        <v>91937.621769250982</v>
      </c>
      <c r="I50" s="16">
        <f t="shared" si="2"/>
        <v>1958377.9491981501</v>
      </c>
      <c r="J50" s="16">
        <f>I50/(1+inflation)^31</f>
        <v>910870.59717066213</v>
      </c>
    </row>
    <row r="51" spans="2:10" x14ac:dyDescent="0.25">
      <c r="B51" s="40">
        <v>2057</v>
      </c>
      <c r="C51" s="41">
        <f>alter_aktuell+31</f>
        <v>66</v>
      </c>
      <c r="D51" s="42">
        <f>IF(C51&lt;alter_rente,einkommen_start*(1+einkommen_wachstum)^31,rente_brutto*12*(1-steuer_rente)*(1+inflation)^31)</f>
        <v>90300.284279471001</v>
      </c>
      <c r="E51" s="42">
        <f>ausgaben_start*(1+inflation)^31</f>
        <v>61920.194934494401</v>
      </c>
      <c r="F51" s="42">
        <f t="shared" si="0"/>
        <v>28380.089344976601</v>
      </c>
      <c r="G51" s="42">
        <f t="shared" si="3"/>
        <v>1958377.9491981501</v>
      </c>
      <c r="H51" s="42">
        <f t="shared" si="1"/>
        <v>97918.897459907515</v>
      </c>
      <c r="I51" s="42">
        <f t="shared" si="2"/>
        <v>2084676.9360030342</v>
      </c>
      <c r="J51" s="42">
        <f>I51/(1+inflation)^32</f>
        <v>945965.00197970285</v>
      </c>
    </row>
    <row r="52" spans="2:10" x14ac:dyDescent="0.25">
      <c r="B52" s="38">
        <v>2058</v>
      </c>
      <c r="C52" s="39">
        <f>alter_aktuell+32</f>
        <v>67</v>
      </c>
      <c r="D52" s="16">
        <f>IF(C52&lt;alter_rente,einkommen_start*(1+einkommen_wachstum)^32,rente_brutto*12*(1-steuer_rente)*(1+inflation)^32)</f>
        <v>40117.191295216115</v>
      </c>
      <c r="E52" s="16">
        <f>ausgaben_start*(1+inflation)^32</f>
        <v>63468.199807856749</v>
      </c>
      <c r="F52" s="16">
        <f t="shared" si="0"/>
        <v>-23351.008512640634</v>
      </c>
      <c r="G52" s="16">
        <f t="shared" si="3"/>
        <v>2084676.9360030342</v>
      </c>
      <c r="H52" s="16">
        <f t="shared" si="1"/>
        <v>104233.84680015172</v>
      </c>
      <c r="I52" s="16">
        <f t="shared" si="2"/>
        <v>2165559.7742905449</v>
      </c>
      <c r="J52" s="16">
        <f>I52/(1+inflation)^33</f>
        <v>958699.75812554918</v>
      </c>
    </row>
    <row r="53" spans="2:10" x14ac:dyDescent="0.25">
      <c r="B53" s="40">
        <v>2059</v>
      </c>
      <c r="C53" s="41">
        <f>alter_aktuell+33</f>
        <v>68</v>
      </c>
      <c r="D53" s="42">
        <f>IF(C53&lt;alter_rente,einkommen_start*(1+einkommen_wachstum)^33,rente_brutto*12*(1-steuer_rente)*(1+inflation)^33)</f>
        <v>41120.121077596516</v>
      </c>
      <c r="E53" s="42">
        <f>ausgaben_start*(1+inflation)^33</f>
        <v>65054.904803053163</v>
      </c>
      <c r="F53" s="42">
        <f t="shared" si="0"/>
        <v>-23934.783725456648</v>
      </c>
      <c r="G53" s="42">
        <f t="shared" si="3"/>
        <v>2165559.7742905449</v>
      </c>
      <c r="H53" s="42">
        <f t="shared" si="1"/>
        <v>108277.98871452725</v>
      </c>
      <c r="I53" s="42">
        <f t="shared" si="2"/>
        <v>2249902.9792796155</v>
      </c>
      <c r="J53" s="42">
        <f>I53/(1+inflation)^34</f>
        <v>971745.11807983089</v>
      </c>
    </row>
    <row r="54" spans="2:10" x14ac:dyDescent="0.25">
      <c r="B54" s="38">
        <v>2060</v>
      </c>
      <c r="C54" s="39">
        <f>alter_aktuell+34</f>
        <v>69</v>
      </c>
      <c r="D54" s="16">
        <f>IF(C54&lt;alter_rente,einkommen_start*(1+einkommen_wachstum)^34,rente_brutto*12*(1-steuer_rente)*(1+inflation)^34)</f>
        <v>42148.12410453643</v>
      </c>
      <c r="E54" s="16">
        <f>ausgaben_start*(1+inflation)^34</f>
        <v>66681.27742312949</v>
      </c>
      <c r="F54" s="16">
        <f t="shared" si="0"/>
        <v>-24533.15331859306</v>
      </c>
      <c r="G54" s="16">
        <f t="shared" si="3"/>
        <v>2249902.9792796155</v>
      </c>
      <c r="H54" s="16">
        <f t="shared" si="1"/>
        <v>112495.14896398078</v>
      </c>
      <c r="I54" s="16">
        <f t="shared" si="2"/>
        <v>2337864.974925003</v>
      </c>
      <c r="J54" s="16">
        <f>I54/(1+inflation)^35</f>
        <v>985108.65754519263</v>
      </c>
    </row>
  </sheetData>
  <mergeCells count="29">
    <mergeCell ref="B12:D12"/>
    <mergeCell ref="B13:D13"/>
    <mergeCell ref="B14:D14"/>
    <mergeCell ref="B17:K17"/>
    <mergeCell ref="B10:D10"/>
    <mergeCell ref="G10:I10"/>
    <mergeCell ref="J10:K10"/>
    <mergeCell ref="B11:D11"/>
    <mergeCell ref="G11:I11"/>
    <mergeCell ref="J11:K11"/>
    <mergeCell ref="B8:D8"/>
    <mergeCell ref="G8:I8"/>
    <mergeCell ref="J8:K8"/>
    <mergeCell ref="B9:D9"/>
    <mergeCell ref="G9:I9"/>
    <mergeCell ref="J9:K9"/>
    <mergeCell ref="B6:D6"/>
    <mergeCell ref="G6:I6"/>
    <mergeCell ref="J6:K6"/>
    <mergeCell ref="B7:D7"/>
    <mergeCell ref="G7:I7"/>
    <mergeCell ref="J7:K7"/>
    <mergeCell ref="B1:K1"/>
    <mergeCell ref="B2:K2"/>
    <mergeCell ref="B4:E4"/>
    <mergeCell ref="G4:K4"/>
    <mergeCell ref="B5:D5"/>
    <mergeCell ref="G5:I5"/>
    <mergeCell ref="J5:K5"/>
  </mergeCells>
  <conditionalFormatting sqref="B20:J54">
    <cfRule type="expression" dxfId="7" priority="2">
      <formula>$C20=alter_rente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A1B9A"/>
  </sheetPr>
  <dimension ref="B1:K1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38" customWidth="1"/>
    <col min="3" max="3" width="11" customWidth="1"/>
    <col min="4" max="4" width="14" customWidth="1"/>
    <col min="5" max="5" width="16" customWidth="1"/>
    <col min="6" max="6" width="13" customWidth="1"/>
    <col min="7" max="7" width="18" customWidth="1"/>
    <col min="8" max="8" width="13" customWidth="1"/>
    <col min="9" max="9" width="12" customWidth="1"/>
    <col min="10" max="10" width="13" customWidth="1"/>
    <col min="11" max="11" width="16" customWidth="1"/>
  </cols>
  <sheetData>
    <row r="1" spans="2:11" ht="30" customHeight="1" x14ac:dyDescent="0.25">
      <c r="B1" s="13" t="s">
        <v>113</v>
      </c>
      <c r="C1" s="13"/>
      <c r="D1" s="13"/>
      <c r="E1" s="13"/>
      <c r="F1" s="13"/>
      <c r="G1" s="13"/>
      <c r="H1" s="13"/>
      <c r="I1" s="13"/>
      <c r="J1" s="13"/>
      <c r="K1" s="13"/>
    </row>
    <row r="2" spans="2:11" x14ac:dyDescent="0.25">
      <c r="B2" s="12" t="s">
        <v>114</v>
      </c>
      <c r="C2" s="12"/>
      <c r="D2" s="12"/>
      <c r="E2" s="12"/>
      <c r="F2" s="12"/>
      <c r="G2" s="12"/>
      <c r="H2" s="12"/>
      <c r="I2" s="12"/>
      <c r="J2" s="12"/>
      <c r="K2" s="12"/>
    </row>
    <row r="4" spans="2:11" x14ac:dyDescent="0.25">
      <c r="B4" s="14" t="s">
        <v>36</v>
      </c>
      <c r="C4" s="14" t="s">
        <v>115</v>
      </c>
      <c r="D4" s="14" t="s">
        <v>37</v>
      </c>
      <c r="E4" s="14" t="s">
        <v>116</v>
      </c>
      <c r="F4" s="14" t="s">
        <v>117</v>
      </c>
      <c r="G4" s="14" t="s">
        <v>118</v>
      </c>
      <c r="H4" s="14" t="s">
        <v>39</v>
      </c>
      <c r="I4" s="14" t="s">
        <v>119</v>
      </c>
      <c r="J4" s="14" t="s">
        <v>40</v>
      </c>
      <c r="K4" s="14" t="s">
        <v>41</v>
      </c>
    </row>
    <row r="5" spans="2:11" x14ac:dyDescent="0.25">
      <c r="B5" s="15" t="s">
        <v>120</v>
      </c>
      <c r="C5" s="43" t="s">
        <v>121</v>
      </c>
      <c r="D5" s="44">
        <v>18000</v>
      </c>
      <c r="E5" s="44">
        <v>12600</v>
      </c>
      <c r="F5" s="45">
        <f>DATE(2026,12,31)</f>
        <v>46387</v>
      </c>
      <c r="G5" s="44">
        <v>800</v>
      </c>
      <c r="H5" s="16">
        <f t="shared" ref="H5:H12" si="0">MAX(0,D5-E5)</f>
        <v>5400</v>
      </c>
      <c r="I5" s="39">
        <f t="shared" ref="I5:I12" ca="1" si="1">MAX(0,DATEDIF(TODAY(),F5,"M"))</f>
        <v>7</v>
      </c>
      <c r="J5" s="18">
        <f t="shared" ref="J5:J13" si="2">IFERROR(E5/D5,0)</f>
        <v>0.7</v>
      </c>
      <c r="K5" s="19" t="str">
        <f t="shared" ref="K5:K12" ca="1" si="3">IF(D5&lt;=E5,"✓ Erreicht",IF(G5*I5&gt;=H5,"✓ Auf Kurs",IF(G5*I5&gt;=H5*0.8,"! Knapp","✗ Anpassen")))</f>
        <v>✓ Auf Kurs</v>
      </c>
    </row>
    <row r="6" spans="2:11" x14ac:dyDescent="0.25">
      <c r="B6" s="15" t="s">
        <v>122</v>
      </c>
      <c r="C6" s="43" t="s">
        <v>123</v>
      </c>
      <c r="D6" s="44">
        <v>5500</v>
      </c>
      <c r="E6" s="44">
        <v>1800</v>
      </c>
      <c r="F6" s="45">
        <f>DATE(2027,6,1)</f>
        <v>46539</v>
      </c>
      <c r="G6" s="44">
        <v>280</v>
      </c>
      <c r="H6" s="16">
        <f t="shared" si="0"/>
        <v>3700</v>
      </c>
      <c r="I6" s="39">
        <f t="shared" ca="1" si="1"/>
        <v>12</v>
      </c>
      <c r="J6" s="18">
        <f t="shared" si="2"/>
        <v>0.32727272727272727</v>
      </c>
      <c r="K6" s="19" t="str">
        <f t="shared" ca="1" si="3"/>
        <v>! Knapp</v>
      </c>
    </row>
    <row r="7" spans="2:11" x14ac:dyDescent="0.25">
      <c r="B7" s="15" t="s">
        <v>124</v>
      </c>
      <c r="C7" s="43" t="s">
        <v>121</v>
      </c>
      <c r="D7" s="44">
        <v>10000</v>
      </c>
      <c r="E7" s="44">
        <v>2400</v>
      </c>
      <c r="F7" s="45">
        <f>DATE(2027,1,31)</f>
        <v>46418</v>
      </c>
      <c r="G7" s="44">
        <v>1000</v>
      </c>
      <c r="H7" s="16">
        <f t="shared" si="0"/>
        <v>7600</v>
      </c>
      <c r="I7" s="39">
        <f t="shared" ca="1" si="1"/>
        <v>8</v>
      </c>
      <c r="J7" s="18">
        <f t="shared" si="2"/>
        <v>0.24</v>
      </c>
      <c r="K7" s="19" t="str">
        <f t="shared" ca="1" si="3"/>
        <v>✓ Auf Kurs</v>
      </c>
    </row>
    <row r="8" spans="2:11" x14ac:dyDescent="0.25">
      <c r="B8" s="15" t="s">
        <v>125</v>
      </c>
      <c r="C8" s="43" t="s">
        <v>123</v>
      </c>
      <c r="D8" s="44">
        <v>28000</v>
      </c>
      <c r="E8" s="44">
        <v>4500</v>
      </c>
      <c r="F8" s="45">
        <f>DATE(2030,9,1)</f>
        <v>47727</v>
      </c>
      <c r="G8" s="44">
        <v>360</v>
      </c>
      <c r="H8" s="16">
        <f t="shared" si="0"/>
        <v>23500</v>
      </c>
      <c r="I8" s="39">
        <f t="shared" ca="1" si="1"/>
        <v>51</v>
      </c>
      <c r="J8" s="18">
        <f t="shared" si="2"/>
        <v>0.16071428571428573</v>
      </c>
      <c r="K8" s="19" t="str">
        <f t="shared" ca="1" si="3"/>
        <v>✗ Anpassen</v>
      </c>
    </row>
    <row r="9" spans="2:11" x14ac:dyDescent="0.25">
      <c r="B9" s="15" t="s">
        <v>126</v>
      </c>
      <c r="C9" s="43" t="s">
        <v>127</v>
      </c>
      <c r="D9" s="44">
        <v>12000</v>
      </c>
      <c r="E9" s="44">
        <v>1500</v>
      </c>
      <c r="F9" s="45">
        <f>DATE(2028,3,31)</f>
        <v>46843</v>
      </c>
      <c r="G9" s="44">
        <v>500</v>
      </c>
      <c r="H9" s="16">
        <f t="shared" si="0"/>
        <v>10500</v>
      </c>
      <c r="I9" s="39">
        <f t="shared" ca="1" si="1"/>
        <v>22</v>
      </c>
      <c r="J9" s="18">
        <f t="shared" si="2"/>
        <v>0.125</v>
      </c>
      <c r="K9" s="19" t="str">
        <f t="shared" ca="1" si="3"/>
        <v>✓ Auf Kurs</v>
      </c>
    </row>
    <row r="10" spans="2:11" x14ac:dyDescent="0.25">
      <c r="B10" s="15" t="s">
        <v>128</v>
      </c>
      <c r="C10" s="43" t="s">
        <v>121</v>
      </c>
      <c r="D10" s="44">
        <v>50000</v>
      </c>
      <c r="E10" s="44">
        <v>8200</v>
      </c>
      <c r="F10" s="45">
        <f>DATE(2032,12,31)</f>
        <v>48579</v>
      </c>
      <c r="G10" s="44">
        <v>350</v>
      </c>
      <c r="H10" s="16">
        <f t="shared" si="0"/>
        <v>41800</v>
      </c>
      <c r="I10" s="39">
        <f t="shared" ca="1" si="1"/>
        <v>79</v>
      </c>
      <c r="J10" s="18">
        <f t="shared" si="2"/>
        <v>0.16400000000000001</v>
      </c>
      <c r="K10" s="19" t="str">
        <f t="shared" ca="1" si="3"/>
        <v>✗ Anpassen</v>
      </c>
    </row>
    <row r="11" spans="2:11" x14ac:dyDescent="0.25">
      <c r="B11" s="15" t="s">
        <v>129</v>
      </c>
      <c r="C11" s="43" t="s">
        <v>123</v>
      </c>
      <c r="D11" s="44">
        <v>7500</v>
      </c>
      <c r="E11" s="44">
        <v>2000</v>
      </c>
      <c r="F11" s="45">
        <f>DATE(2027,9,1)</f>
        <v>46631</v>
      </c>
      <c r="G11" s="44">
        <v>280</v>
      </c>
      <c r="H11" s="16">
        <f t="shared" si="0"/>
        <v>5500</v>
      </c>
      <c r="I11" s="39">
        <f t="shared" ca="1" si="1"/>
        <v>15</v>
      </c>
      <c r="J11" s="18">
        <f t="shared" si="2"/>
        <v>0.26666666666666666</v>
      </c>
      <c r="K11" s="19" t="str">
        <f t="shared" ca="1" si="3"/>
        <v>✗ Anpassen</v>
      </c>
    </row>
    <row r="12" spans="2:11" x14ac:dyDescent="0.25">
      <c r="B12" s="15" t="s">
        <v>130</v>
      </c>
      <c r="C12" s="43" t="s">
        <v>123</v>
      </c>
      <c r="D12" s="44">
        <v>15000</v>
      </c>
      <c r="E12" s="44">
        <v>3500</v>
      </c>
      <c r="F12" s="45">
        <f>DATE(2028,6,1)</f>
        <v>46905</v>
      </c>
      <c r="G12" s="44">
        <v>350</v>
      </c>
      <c r="H12" s="16">
        <f t="shared" si="0"/>
        <v>11500</v>
      </c>
      <c r="I12" s="39">
        <f t="shared" ca="1" si="1"/>
        <v>24</v>
      </c>
      <c r="J12" s="18">
        <f t="shared" si="2"/>
        <v>0.23333333333333334</v>
      </c>
      <c r="K12" s="19" t="str">
        <f t="shared" ca="1" si="3"/>
        <v>✗ Anpassen</v>
      </c>
    </row>
    <row r="13" spans="2:11" x14ac:dyDescent="0.25">
      <c r="B13" s="25" t="s">
        <v>131</v>
      </c>
      <c r="C13" s="46"/>
      <c r="D13" s="26">
        <f>SUM(D5:D12)</f>
        <v>146000</v>
      </c>
      <c r="E13" s="26">
        <f>SUM(E5:E12)</f>
        <v>36500</v>
      </c>
      <c r="F13" s="46"/>
      <c r="G13" s="26">
        <f>SUM(G5:G12)</f>
        <v>3920</v>
      </c>
      <c r="H13" s="26">
        <f>SUM(H5:H12)</f>
        <v>109500</v>
      </c>
      <c r="I13" s="46"/>
      <c r="J13" s="47">
        <f t="shared" si="2"/>
        <v>0.25</v>
      </c>
      <c r="K13" s="46"/>
    </row>
  </sheetData>
  <mergeCells count="2">
    <mergeCell ref="B1:K1"/>
    <mergeCell ref="B2:K2"/>
  </mergeCells>
  <conditionalFormatting sqref="C5:C12">
    <cfRule type="expression" dxfId="6" priority="7">
      <formula>$C5="Hoch"</formula>
    </cfRule>
    <cfRule type="expression" dxfId="5" priority="8">
      <formula>$C5="Mittel"</formula>
    </cfRule>
    <cfRule type="expression" dxfId="4" priority="9">
      <formula>$C5="Niedrig"</formula>
    </cfRule>
  </conditionalFormatting>
  <conditionalFormatting sqref="J5:J12">
    <cfRule type="dataBar" priority="6">
      <dataBar>
        <cfvo type="num" val="0"/>
        <cfvo type="num" val="1"/>
        <color rgb="FF2E7D6B"/>
      </dataBar>
      <extLst>
        <ext xmlns:x14="http://schemas.microsoft.com/office/spreadsheetml/2009/9/main" uri="{B025F937-C7B1-47D3-B67F-A62EFF666E3E}">
          <x14:id>{DDA17A42-47DD-4128-8D65-1FCE3D40A023}</x14:id>
        </ext>
      </extLst>
    </cfRule>
  </conditionalFormatting>
  <conditionalFormatting sqref="K5:K12">
    <cfRule type="expression" dxfId="3" priority="2">
      <formula>ISNUMBER(SEARCH("Erreicht",$K5))</formula>
    </cfRule>
    <cfRule type="expression" dxfId="2" priority="3">
      <formula>ISNUMBER(SEARCH("Auf Kurs",$K5))</formula>
    </cfRule>
    <cfRule type="expression" dxfId="1" priority="4">
      <formula>ISNUMBER(SEARCH("Knapp",$K5))</formula>
    </cfRule>
    <cfRule type="expression" dxfId="0" priority="5">
      <formula>ISNUMBER(SEARCH("Anpassen",$K5))</formula>
    </cfRule>
  </conditionalFormatting>
  <dataValidations count="1">
    <dataValidation type="list" allowBlank="1" sqref="C5:C32" xr:uid="{00000000-0002-0000-0300-000000000000}">
      <formula1>"Hoch,Mittel,Niedrig"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A17A42-47DD-4128-8D65-1FCE3D40A023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E7D6B"/>
            </x14:dataBar>
          </x14:cfRule>
          <xm:sqref>J5:J12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16</vt:i4>
      </vt:variant>
    </vt:vector>
  </HeadingPairs>
  <TitlesOfParts>
    <vt:vector size="20" baseType="lpstr">
      <vt:lpstr>Übersicht</vt:lpstr>
      <vt:lpstr>Vermögen</vt:lpstr>
      <vt:lpstr>Planung</vt:lpstr>
      <vt:lpstr>Sparziele</vt:lpstr>
      <vt:lpstr>AktivaAktuell</vt:lpstr>
      <vt:lpstr>alter_aktuell</vt:lpstr>
      <vt:lpstr>alter_rente</vt:lpstr>
      <vt:lpstr>ausgaben_start</vt:lpstr>
      <vt:lpstr>einkommen_start</vt:lpstr>
      <vt:lpstr>einkommen_wachstum</vt:lpstr>
      <vt:lpstr>inflation</vt:lpstr>
      <vt:lpstr>NettoAktuell</vt:lpstr>
      <vt:lpstr>PassivaAktuell</vt:lpstr>
      <vt:lpstr>rendite</vt:lpstr>
      <vt:lpstr>rente_brutto</vt:lpstr>
      <vt:lpstr>steuer_rente</vt:lpstr>
      <vt:lpstr>vermoegen_start</vt:lpstr>
      <vt:lpstr>ZieleGesamt</vt:lpstr>
      <vt:lpstr>ZieleGespart</vt:lpstr>
      <vt:lpstr>ZieleMonatlich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2026-05-30T10:49:07Z</dcterms:created>
  <dcterms:modified xsi:type="dcterms:W3CDTF">2026-05-30T10:55:50Z</dcterms:modified>
  <dc:language>en-US</dc:language>
</cp:coreProperties>
</file>