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Generador\"/>
    </mc:Choice>
  </mc:AlternateContent>
  <xr:revisionPtr revIDLastSave="0" documentId="13_ncr:1_{E56C94B7-5D5F-4436-9E2A-ADEFA9C750FE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Zeiterfassung" sheetId="2" r:id="rId1"/>
    <sheet name="Einstellungen" sheetId="1" r:id="rId2"/>
    <sheet name="Jahresübersicht" sheetId="3" r:id="rId3"/>
  </sheets>
  <definedNames>
    <definedName name="Feiertage">Einstellungen!$B$33:$B$41</definedName>
    <definedName name="Jahresurlaub">Einstellungen!$C$12</definedName>
    <definedName name="MitarbeiterName">Einstellungen!$C$6</definedName>
    <definedName name="PauseMinuten1">Einstellungen!$C$28</definedName>
    <definedName name="PauseMinuten2">Einstellungen!$C$29</definedName>
    <definedName name="PauseSchwelle1">Einstellungen!$B$28</definedName>
    <definedName name="PauseSchwelle2">Einstellungen!$B$29</definedName>
    <definedName name="Personalnummer">Einstellungen!$C$7</definedName>
    <definedName name="Resturlaub">Einstellungen!$C$13</definedName>
    <definedName name="Wochenstunden">Einstellungen!$C$11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4" i="2" l="1" a="1"/>
  <c r="D44" i="2" s="1"/>
  <c r="C21" i="3"/>
  <c r="E17" i="3"/>
  <c r="E16" i="3"/>
  <c r="E15" i="3"/>
  <c r="E14" i="3"/>
  <c r="E13" i="3"/>
  <c r="E12" i="3"/>
  <c r="E11" i="3"/>
  <c r="E10" i="3"/>
  <c r="E9" i="3"/>
  <c r="G8" i="3"/>
  <c r="G18" i="3" s="1"/>
  <c r="E22" i="3" s="1"/>
  <c r="F8" i="3"/>
  <c r="F18" i="3" s="1"/>
  <c r="H7" i="3"/>
  <c r="E7" i="3"/>
  <c r="H6" i="3"/>
  <c r="E6" i="3"/>
  <c r="C24" i="1"/>
  <c r="G44" i="2"/>
  <c r="J43" i="2"/>
  <c r="G43" i="2"/>
  <c r="D43" i="2"/>
  <c r="B38" i="2"/>
  <c r="I38" i="2" s="1"/>
  <c r="B37" i="2"/>
  <c r="I37" i="2" s="1"/>
  <c r="B36" i="2"/>
  <c r="I36" i="2" s="1"/>
  <c r="B35" i="2"/>
  <c r="C35" i="2" s="1"/>
  <c r="B34" i="2"/>
  <c r="I34" i="2" s="1"/>
  <c r="B33" i="2"/>
  <c r="I33" i="2" s="1"/>
  <c r="B32" i="2"/>
  <c r="I32" i="2" s="1"/>
  <c r="B31" i="2"/>
  <c r="C31" i="2" s="1"/>
  <c r="B30" i="2"/>
  <c r="I30" i="2" s="1"/>
  <c r="B29" i="2"/>
  <c r="I29" i="2" s="1"/>
  <c r="B28" i="2"/>
  <c r="I28" i="2" s="1"/>
  <c r="B27" i="2"/>
  <c r="C27" i="2" s="1"/>
  <c r="B26" i="2"/>
  <c r="I26" i="2" s="1"/>
  <c r="B25" i="2"/>
  <c r="I25" i="2" s="1"/>
  <c r="B24" i="2"/>
  <c r="I24" i="2" s="1"/>
  <c r="B23" i="2"/>
  <c r="C23" i="2" s="1"/>
  <c r="B22" i="2"/>
  <c r="I22" i="2" s="1"/>
  <c r="B21" i="2"/>
  <c r="I21" i="2" s="1"/>
  <c r="B20" i="2"/>
  <c r="I20" i="2" s="1"/>
  <c r="B19" i="2"/>
  <c r="C19" i="2" s="1"/>
  <c r="B18" i="2"/>
  <c r="H18" i="2" s="1"/>
  <c r="I17" i="2"/>
  <c r="H17" i="2"/>
  <c r="C17" i="2"/>
  <c r="B17" i="2"/>
  <c r="B16" i="2"/>
  <c r="I16" i="2" s="1"/>
  <c r="B15" i="2"/>
  <c r="H15" i="2" s="1"/>
  <c r="B14" i="2"/>
  <c r="I14" i="2" s="1"/>
  <c r="B13" i="2"/>
  <c r="I13" i="2" s="1"/>
  <c r="B12" i="2"/>
  <c r="I12" i="2" s="1"/>
  <c r="B11" i="2"/>
  <c r="I11" i="2" s="1"/>
  <c r="B10" i="2"/>
  <c r="I10" i="2" s="1"/>
  <c r="B9" i="2"/>
  <c r="I9" i="2" s="1"/>
  <c r="B8" i="2"/>
  <c r="I8" i="2" s="1"/>
  <c r="B5" i="2"/>
  <c r="G4" i="2"/>
  <c r="C4" i="2"/>
  <c r="H29" i="2" l="1"/>
  <c r="J29" i="2" s="1"/>
  <c r="J17" i="2"/>
  <c r="C29" i="2"/>
  <c r="C9" i="2"/>
  <c r="H9" i="2"/>
  <c r="J9" i="2" s="1"/>
  <c r="C21" i="2"/>
  <c r="H21" i="2"/>
  <c r="J21" i="2" s="1"/>
  <c r="C33" i="2"/>
  <c r="H33" i="2"/>
  <c r="J33" i="2" s="1"/>
  <c r="C13" i="2"/>
  <c r="H13" i="2"/>
  <c r="J13" i="2" s="1"/>
  <c r="C25" i="2"/>
  <c r="H25" i="2"/>
  <c r="J25" i="2" s="1"/>
  <c r="C37" i="2"/>
  <c r="H37" i="2"/>
  <c r="J37" i="2" s="1"/>
  <c r="C22" i="3"/>
  <c r="E21" i="3"/>
  <c r="C10" i="2"/>
  <c r="C14" i="2"/>
  <c r="C22" i="2"/>
  <c r="C26" i="2"/>
  <c r="C30" i="2"/>
  <c r="C34" i="2"/>
  <c r="C38" i="2"/>
  <c r="H10" i="2"/>
  <c r="J10" i="2" s="1"/>
  <c r="H22" i="2"/>
  <c r="I18" i="2"/>
  <c r="J18" i="2"/>
  <c r="J22" i="2"/>
  <c r="H11" i="2"/>
  <c r="J11" i="2" s="1"/>
  <c r="H23" i="2"/>
  <c r="H27" i="2"/>
  <c r="J27" i="2" s="1"/>
  <c r="H35" i="2"/>
  <c r="I15" i="2"/>
  <c r="I19" i="2"/>
  <c r="H19" i="2" s="1"/>
  <c r="J19" i="2" s="1"/>
  <c r="I23" i="2"/>
  <c r="J23" i="2" s="1"/>
  <c r="I27" i="2"/>
  <c r="I31" i="2"/>
  <c r="H31" i="2" s="1"/>
  <c r="J31" i="2" s="1"/>
  <c r="I35" i="2"/>
  <c r="C18" i="2"/>
  <c r="H14" i="2"/>
  <c r="H26" i="2"/>
  <c r="J26" i="2" s="1"/>
  <c r="H34" i="2"/>
  <c r="J34" i="2" s="1"/>
  <c r="H38" i="2"/>
  <c r="J38" i="2" s="1"/>
  <c r="J14" i="2"/>
  <c r="C11" i="2"/>
  <c r="C15" i="2"/>
  <c r="H30" i="2"/>
  <c r="J30" i="2" s="1"/>
  <c r="C8" i="2"/>
  <c r="C12" i="2"/>
  <c r="C16" i="2"/>
  <c r="C20" i="2"/>
  <c r="C24" i="2"/>
  <c r="C28" i="2"/>
  <c r="C32" i="2"/>
  <c r="C36" i="2"/>
  <c r="H8" i="2"/>
  <c r="J8" i="2" s="1"/>
  <c r="H12" i="2"/>
  <c r="J12" i="2" s="1"/>
  <c r="H16" i="2"/>
  <c r="J16" i="2" s="1"/>
  <c r="H20" i="2"/>
  <c r="J20" i="2" s="1"/>
  <c r="H24" i="2"/>
  <c r="J24" i="2" s="1"/>
  <c r="H28" i="2"/>
  <c r="J28" i="2" s="1"/>
  <c r="H32" i="2"/>
  <c r="J32" i="2" s="1"/>
  <c r="H36" i="2"/>
  <c r="J36" i="2" s="1"/>
  <c r="I40" i="2" l="1"/>
  <c r="D8" i="3" s="1"/>
  <c r="D18" i="3" s="1"/>
  <c r="J35" i="2"/>
  <c r="J15" i="2"/>
  <c r="J44" i="2"/>
  <c r="H40" i="2"/>
  <c r="C8" i="3" l="1"/>
  <c r="J40" i="2"/>
  <c r="H12" i="3" l="1"/>
  <c r="H11" i="3"/>
  <c r="H17" i="3"/>
  <c r="H10" i="3"/>
  <c r="H9" i="3"/>
  <c r="H14" i="3"/>
  <c r="H8" i="3"/>
  <c r="E8" i="3"/>
  <c r="H15" i="3"/>
  <c r="H13" i="3"/>
  <c r="C18" i="3"/>
  <c r="H16" i="3"/>
  <c r="H21" i="3" l="1"/>
  <c r="E18" i="3"/>
  <c r="H2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<sst xmlns="http://schemas.openxmlformats.org/spreadsheetml/2006/main" count="204" uniqueCount="133">
  <si>
    <t>ZEITERFASSUNG 2026 – EINSTELLUNGEN</t>
  </si>
  <si>
    <t>Geben Sie hier Ihre Stammdaten und Sollarbeitszeiten ein. Gelbe Zellen sind editierbar.</t>
  </si>
  <si>
    <t>1. MITARBEITERDATEN</t>
  </si>
  <si>
    <t>Name, Vorname</t>
  </si>
  <si>
    <t>Schneider, Lukas</t>
  </si>
  <si>
    <t>Personalnummer</t>
  </si>
  <si>
    <t>MA-2026-0481</t>
  </si>
  <si>
    <t>Abteilung</t>
  </si>
  <si>
    <t>Produktentwicklung</t>
  </si>
  <si>
    <t>Vorgesetzter</t>
  </si>
  <si>
    <t>Frau Dr. Hartmann</t>
  </si>
  <si>
    <t>Arbeitsbeginn (Vertrag)</t>
  </si>
  <si>
    <t>Wochenarbeitszeit (Stunden)</t>
  </si>
  <si>
    <t>Jahresurlaub (Tage)</t>
  </si>
  <si>
    <t>Resturlaub Vorjahr (Tage)</t>
  </si>
  <si>
    <t>2. SOLLSTUNDEN PRO WOCHENTAG</t>
  </si>
  <si>
    <t>Wochentag</t>
  </si>
  <si>
    <t>Sollstunden</t>
  </si>
  <si>
    <t>Arbeitstag (Ja/Nein)</t>
  </si>
  <si>
    <t>Montag</t>
  </si>
  <si>
    <t>Ja</t>
  </si>
  <si>
    <t>Dienstag</t>
  </si>
  <si>
    <t>Mittwoch</t>
  </si>
  <si>
    <t>Donnerstag</t>
  </si>
  <si>
    <t>Freitag</t>
  </si>
  <si>
    <t>Samstag</t>
  </si>
  <si>
    <t>Nein</t>
  </si>
  <si>
    <t>Sonntag</t>
  </si>
  <si>
    <t>Wochenarbeitszeit (Summe)</t>
  </si>
  <si>
    <t>3. PAUSENREGELUNG (gemäß Arbeitszeitgesetz)</t>
  </si>
  <si>
    <t>Bei mehr als ... Stunden Arbeit</t>
  </si>
  <si>
    <t>Mindestpause (Minuten)</t>
  </si>
  <si>
    <t>4. GESETZLICHE FEIERTAGE 2026</t>
  </si>
  <si>
    <t>Datum</t>
  </si>
  <si>
    <t>Bezeichnung</t>
  </si>
  <si>
    <t>Neujahr</t>
  </si>
  <si>
    <t>Karfreitag</t>
  </si>
  <si>
    <t>Ostermontag</t>
  </si>
  <si>
    <t>Tag der Arbeit</t>
  </si>
  <si>
    <t>Christi Himmelfahrt</t>
  </si>
  <si>
    <t>Pfingstmontag</t>
  </si>
  <si>
    <t>Tag der Deutschen Einheit</t>
  </si>
  <si>
    <t>1. Weihnachtsfeiertag</t>
  </si>
  <si>
    <t>2. Weihnachtsfeiertag</t>
  </si>
  <si>
    <t>LEGENDE:  🟡 Gelb = Eingabefelder    ⬜ Blau = berechnete / fixe Werte    🟦 Dunkelblau = Überschriften</t>
  </si>
  <si>
    <t>Mitarbeiter:</t>
  </si>
  <si>
    <t>Personalnr.:</t>
  </si>
  <si>
    <t>Monat:</t>
  </si>
  <si>
    <t>Jahr:</t>
  </si>
  <si>
    <t>Beginn</t>
  </si>
  <si>
    <t>Ende</t>
  </si>
  <si>
    <t>Pause (Min)</t>
  </si>
  <si>
    <t>Status</t>
  </si>
  <si>
    <t>Ist-Stunden</t>
  </si>
  <si>
    <t>Soll-Stunden</t>
  </si>
  <si>
    <t>Differenz</t>
  </si>
  <si>
    <t>Projekt</t>
  </si>
  <si>
    <t>Bemerkung</t>
  </si>
  <si>
    <t>Frei</t>
  </si>
  <si>
    <t>08:00</t>
  </si>
  <si>
    <t>16:45</t>
  </si>
  <si>
    <t>Normal</t>
  </si>
  <si>
    <t>ATLAS-V2</t>
  </si>
  <si>
    <t>Sprint-Planung Q2</t>
  </si>
  <si>
    <t>07:45</t>
  </si>
  <si>
    <t>17:15</t>
  </si>
  <si>
    <t>Code-Review mit Team</t>
  </si>
  <si>
    <t>08:15</t>
  </si>
  <si>
    <t>16:30</t>
  </si>
  <si>
    <t>Homeoffice</t>
  </si>
  <si>
    <t>Dokumentation</t>
  </si>
  <si>
    <t>Mobile Arbeit</t>
  </si>
  <si>
    <t>18:30</t>
  </si>
  <si>
    <t>Release-Vorbereitung</t>
  </si>
  <si>
    <t>14:00</t>
  </si>
  <si>
    <t>Kurzer Freitag</t>
  </si>
  <si>
    <t>17:00</t>
  </si>
  <si>
    <t>07:30</t>
  </si>
  <si>
    <t>16:00</t>
  </si>
  <si>
    <t>Kundentermin</t>
  </si>
  <si>
    <t>Außentermin München</t>
  </si>
  <si>
    <t>Krank</t>
  </si>
  <si>
    <t>Krankmeldung eingereicht</t>
  </si>
  <si>
    <t>Ärztliches Attest liegt vor</t>
  </si>
  <si>
    <t>Wiedereinstieg</t>
  </si>
  <si>
    <t>17:30</t>
  </si>
  <si>
    <t>Reporting</t>
  </si>
  <si>
    <t>Quartalsbericht</t>
  </si>
  <si>
    <t>09:00</t>
  </si>
  <si>
    <t>18:00</t>
  </si>
  <si>
    <t>Dienstreise</t>
  </si>
  <si>
    <t>Konferenz</t>
  </si>
  <si>
    <t>DevDay Berlin</t>
  </si>
  <si>
    <t>Urlaub</t>
  </si>
  <si>
    <t>Urlaubsantrag genehmigt</t>
  </si>
  <si>
    <t>Letzter Urlaubstag</t>
  </si>
  <si>
    <t>Rückkehr</t>
  </si>
  <si>
    <t>Monatsabschluss</t>
  </si>
  <si>
    <t>MONATSSUMMEN</t>
  </si>
  <si>
    <t>KENNZAHLEN DES MONATS</t>
  </si>
  <si>
    <t>Arbeitstage</t>
  </si>
  <si>
    <t>Urlaubstage</t>
  </si>
  <si>
    <t>Krankheitstage</t>
  </si>
  <si>
    <t>Feiertage (Mo–Fr)</t>
  </si>
  <si>
    <t>Homeoffice-Anteil</t>
  </si>
  <si>
    <t>Ø Tägliche Arbeitszeit</t>
  </si>
  <si>
    <t>Hinweis: Die tägliche Soll-Arbeitszeit wird automatisch aus den Einstellungen ermittelt. Bei Status „Urlaub“, „Krank“ oder „Feiertag“ wird die Soll-Arbeitszeit vollständig angerechnet.</t>
  </si>
  <si>
    <t>JAHRESÜBERSICHT 2026</t>
  </si>
  <si>
    <t>Tragen Sie hier die Monatsergebnisse manuell oder per Verknüpfung ein. Die Vorlage für März ist bereits aus dem Reiter „Zeiterfassung“ verknüpft.</t>
  </si>
  <si>
    <t>Monat</t>
  </si>
  <si>
    <t>Kranktage</t>
  </si>
  <si>
    <t>Saldo kumuliert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</si>
  <si>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</si>
  <si>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</si>
  <si>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</si>
  <si>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</si>
  <si>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</si>
  <si>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</si>
  <si>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</si>
  <si>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</si>
  <si>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</si>
  <si>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</si>
  <si>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</si>
  <si>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</si>
  <si>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JAHRESSUMME</t>
  </si>
  <si>
    <t>JAHRESKENNZAHLEN</t>
  </si>
  <si>
    <t>Verfügbare Urlaubstage</t>
  </si>
  <si>
    <t>Genommene Urlaubstage</t>
  </si>
  <si>
    <t>Ø Monatliche Ist-Stunden</t>
  </si>
  <si>
    <t>Resturlaub Jahresende</t>
  </si>
  <si>
    <t>Krankheitstage gesamt</t>
  </si>
  <si>
    <t>Saldo Jahresende</t>
  </si>
  <si>
    <t>ZEITERFASSUNG – MONATSÜBERSICHT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</si>
</sst>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TT.&quot;mm&quot;.JJJJ&quot;"/>
    <numFmt numFmtId="165" formatCode="[h]:mm"/>
    <numFmt numFmtId="166" formatCode="0&quot; Stunden&quot;"/>
    <numFmt numFmtId="167" formatCode="0&quot; Min&quot;"/>
    <numFmt numFmtId="168" formatCode="hh:mm"/>
    <numFmt numFmtId="169" formatCode="0&quot; Tage&quot;"/>
    <numFmt numFmtId="170" formatCode="0.0%"/>
  </numFmts>
  <fonts count="13" x14ac:knownFonts="1">
    <font>
      <sz val="11"/>
      <color theme="1"/>
      <name val="Calibri"/>
      <family val="2"/>
      <charset val="1"/>
    </font>
    <font>
      <b/>
      <sz val="18"/>
      <color rgb="FFFFFFFF"/>
      <name val="Arial"/>
      <charset val="1"/>
    </font>
    <font>
      <i/>
      <sz val="10"/>
      <color rgb="FF555555"/>
      <name val="Arial"/>
      <charset val="1"/>
    </font>
    <font>
      <b/>
      <sz val="12"/>
      <color rgb="FFFFFFFF"/>
      <name val="Arial"/>
      <charset val="1"/>
    </font>
    <font>
      <b/>
      <sz val="10"/>
      <name val="Arial"/>
      <charset val="1"/>
    </font>
    <font>
      <sz val="10"/>
      <name val="Arial"/>
      <charset val="1"/>
    </font>
    <font>
      <b/>
      <sz val="10"/>
      <color rgb="FFFFFFFF"/>
      <name val="Arial"/>
      <charset val="1"/>
    </font>
    <font>
      <i/>
      <sz val="9"/>
      <color rgb="FF555555"/>
      <name val="Arial"/>
      <charset val="1"/>
    </font>
    <font>
      <b/>
      <sz val="11"/>
      <color rgb="FF1F3A5F"/>
      <name val="Arial"/>
      <charset val="1"/>
    </font>
    <font>
      <b/>
      <sz val="11"/>
      <name val="Arial"/>
      <charset val="1"/>
    </font>
    <font>
      <b/>
      <sz val="14"/>
      <color rgb="FF1F3A5F"/>
      <name val="Arial"/>
      <charset val="1"/>
    </font>
    <font>
      <b/>
      <sz val="11"/>
      <color rgb="FFFFFFFF"/>
      <name val="Arial"/>
      <charset val="1"/>
    </font>
    <font>
      <i/>
      <sz val="10"/>
      <color rgb="FF2E7D32"/>
      <name val="Arial"/>
      <charset val="1"/>
    </font>
  </fonts>
  <fills count="9">
    <fill>
      <patternFill patternType="none"/>
    </fill>
    <fill>
      <patternFill patternType="gray125"/>
    </fill>
    <fill>
      <patternFill patternType="solid">
        <fgColor rgb="FF1F3A5F"/>
        <bgColor rgb="FF333333"/>
      </patternFill>
    </fill>
    <fill>
      <patternFill patternType="solid">
        <fgColor rgb="FF2E5C8A"/>
        <bgColor rgb="FF555555"/>
      </patternFill>
    </fill>
    <fill>
      <patternFill patternType="solid">
        <fgColor rgb="FFE8F1F9"/>
        <bgColor rgb="FFEFEFEF"/>
      </patternFill>
    </fill>
    <fill>
      <patternFill patternType="solid">
        <fgColor rgb="FFFFF9E6"/>
        <bgColor rgb="FFF5F5F5"/>
      </patternFill>
    </fill>
    <fill>
      <patternFill patternType="solid">
        <fgColor rgb="FFD6E4F0"/>
        <bgColor rgb="FFE0F0E0"/>
      </patternFill>
    </fill>
    <fill>
      <patternFill patternType="solid">
        <fgColor rgb="FFF5F5F5"/>
        <bgColor rgb="FFEFEFEF"/>
      </patternFill>
    </fill>
    <fill>
      <patternFill patternType="solid">
        <fgColor rgb="FFE0F0E0"/>
        <bgColor rgb="FFE8F1F9"/>
      </patternFill>
    </fill>
  </fills>
  <borders count="3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thin">
        <color rgb="FFB0B0B0"/>
      </left>
      <right/>
      <top style="thin">
        <color rgb="FFB0B0B0"/>
      </top>
      <bottom style="thin">
        <color rgb="FFB0B0B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5" fillId="4" borderId="2" xfId="0" applyFont="1" applyFill="1" applyBorder="1" applyAlignment="1">
      <alignment horizontal="left" vertical="center" indent="1"/>
    </xf>
    <xf numFmtId="0" fontId="6" fillId="2" borderId="2" xfId="0" applyFont="1" applyFill="1" applyBorder="1" applyAlignment="1">
      <alignment horizontal="center" vertical="center"/>
    </xf>
    <xf numFmtId="164" fontId="5" fillId="5" borderId="2" xfId="0" applyNumberFormat="1" applyFont="1" applyFill="1" applyBorder="1" applyAlignment="1">
      <alignment horizontal="left" vertical="center" indent="1"/>
    </xf>
    <xf numFmtId="0" fontId="5" fillId="5" borderId="2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horizontal="center" vertical="center"/>
    </xf>
    <xf numFmtId="0" fontId="0" fillId="2" borderId="2" xfId="0" applyFill="1" applyBorder="1"/>
    <xf numFmtId="0" fontId="11" fillId="2" borderId="2" xfId="0" applyFont="1" applyFill="1" applyBorder="1" applyAlignment="1">
      <alignment horizontal="right" vertical="center" indent="1"/>
    </xf>
    <xf numFmtId="0" fontId="10" fillId="4" borderId="0" xfId="0" applyFont="1" applyFill="1" applyAlignment="1">
      <alignment horizontal="center" vertical="center"/>
    </xf>
    <xf numFmtId="0" fontId="8" fillId="4" borderId="2" xfId="0" applyFont="1" applyFill="1" applyBorder="1" applyAlignment="1">
      <alignment horizontal="left" vertical="center" indent="1"/>
    </xf>
    <xf numFmtId="0" fontId="1" fillId="2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left" vertical="center" indent="1"/>
    </xf>
    <xf numFmtId="0" fontId="6" fillId="2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 vertical="center" indent="1"/>
    </xf>
    <xf numFmtId="165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left" vertical="center" indent="1"/>
    </xf>
    <xf numFmtId="165" fontId="4" fillId="6" borderId="1" xfId="0" applyNumberFormat="1" applyFont="1" applyFill="1" applyBorder="1" applyAlignment="1">
      <alignment horizontal="center" vertical="center"/>
    </xf>
    <xf numFmtId="0" fontId="0" fillId="6" borderId="1" xfId="0" applyFill="1" applyBorder="1"/>
    <xf numFmtId="166" fontId="5" fillId="5" borderId="1" xfId="0" applyNumberFormat="1" applyFont="1" applyFill="1" applyBorder="1" applyAlignment="1">
      <alignment horizontal="center" vertical="center"/>
    </xf>
    <xf numFmtId="167" fontId="5" fillId="5" borderId="1" xfId="0" applyNumberFormat="1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1" fontId="9" fillId="5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8" fontId="5" fillId="5" borderId="1" xfId="0" applyNumberFormat="1" applyFont="1" applyFill="1" applyBorder="1" applyAlignment="1">
      <alignment horizontal="center" vertical="center"/>
    </xf>
    <xf numFmtId="165" fontId="4" fillId="7" borderId="1" xfId="0" applyNumberFormat="1" applyFont="1" applyFill="1" applyBorder="1" applyAlignment="1">
      <alignment horizontal="center" vertical="center"/>
    </xf>
    <xf numFmtId="165" fontId="5" fillId="7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left" vertical="center" indent="1"/>
    </xf>
    <xf numFmtId="165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69" fontId="8" fillId="6" borderId="1" xfId="0" applyNumberFormat="1" applyFont="1" applyFill="1" applyBorder="1" applyAlignment="1">
      <alignment horizontal="center" vertical="center"/>
    </xf>
    <xf numFmtId="170" fontId="8" fillId="6" borderId="1" xfId="0" applyNumberFormat="1" applyFont="1" applyFill="1" applyBorder="1" applyAlignment="1">
      <alignment horizontal="center" vertical="center"/>
    </xf>
    <xf numFmtId="165" fontId="8" fillId="6" borderId="1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/>
    </xf>
    <xf numFmtId="165" fontId="12" fillId="8" borderId="1" xfId="0" applyNumberFormat="1" applyFont="1" applyFill="1" applyBorder="1" applyAlignment="1">
      <alignment horizontal="center" vertical="center"/>
    </xf>
    <xf numFmtId="1" fontId="12" fillId="8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indent="1"/>
    </xf>
    <xf numFmtId="169" fontId="1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0" fontId="8" fillId="6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Standard" xfId="0" builtinId="0"/>
  </cellStyles>
  <dxfs count="6">
    <dxf>
      <font>
        <b/>
        <sz val="10"/>
        <color rgb="FF2E7D32"/>
        <name val="Arial"/>
        <charset val="1"/>
      </font>
    </dxf>
    <dxf>
      <font>
        <b/>
        <sz val="10"/>
        <color rgb="FFC62828"/>
        <name val="Arial"/>
        <charset val="1"/>
      </font>
    </dxf>
    <dxf>
      <font>
        <b/>
        <sz val="10"/>
        <color rgb="FF2E7D32"/>
        <name val="Arial"/>
        <charset val="1"/>
      </font>
    </dxf>
    <dxf>
      <font>
        <b/>
        <sz val="10"/>
        <color rgb="FFC62828"/>
        <name val="Arial"/>
        <charset val="1"/>
      </font>
    </dxf>
    <dxf>
      <fill>
        <patternFill>
          <bgColor rgb="FFFFE0E0"/>
        </patternFill>
      </fill>
    </dxf>
    <dxf>
      <fill>
        <patternFill>
          <bgColor rgb="FFEFEFE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0B0B0"/>
      <rgbColor rgb="FF808080"/>
      <rgbColor rgb="FF9999FF"/>
      <rgbColor rgb="FF993366"/>
      <rgbColor rgb="FFFFF9E6"/>
      <rgbColor rgb="FFE8F1F9"/>
      <rgbColor rgb="FF660066"/>
      <rgbColor rgb="FFFF8080"/>
      <rgbColor rgb="FF0066CC"/>
      <rgbColor rgb="FFD6E4F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FEFEF"/>
      <rgbColor rgb="FFE0F0E0"/>
      <rgbColor rgb="FFF5F5F5"/>
      <rgbColor rgb="FF99CCFF"/>
      <rgbColor rgb="FFFF99CC"/>
      <rgbColor rgb="FFCC99FF"/>
      <rgbColor rgb="FFFFE0E0"/>
      <rgbColor rgb="FF3366FF"/>
      <rgbColor rgb="FF33CCCC"/>
      <rgbColor rgb="FF99CC00"/>
      <rgbColor rgb="FFFFCC00"/>
      <rgbColor rgb="FFFF9900"/>
      <rgbColor rgb="FFFF6600"/>
      <rgbColor rgb="FF555555"/>
      <rgbColor rgb="FF969696"/>
      <rgbColor rgb="FF1F3A5F"/>
      <rgbColor rgb="FF2E7D32"/>
      <rgbColor rgb="FF003300"/>
      <rgbColor rgb="FF333300"/>
      <rgbColor rgb="FFC62828"/>
      <rgbColor rgb="FF993366"/>
      <rgbColor rgb="FF2E5C8A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L46"/>
  <sheetViews>
    <sheetView showGridLines="0"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G8" sqref="G8"/>
    </sheetView>
  </sheetViews>
  <sheetFormatPr baseColWidth="10" defaultColWidth="8.7109375" defaultRowHeight="15" x14ac:dyDescent="0.25"/>
  <cols>
    <col min="1" max="1" width="2" customWidth="1"/>
    <col min="2" max="2" width="14" customWidth="1"/>
    <col min="3" max="3" width="12" customWidth="1"/>
    <col min="4" max="5" width="10" customWidth="1"/>
    <col min="6" max="6" width="12" customWidth="1"/>
    <col min="7" max="7" width="14" customWidth="1"/>
    <col min="8" max="10" width="13" customWidth="1"/>
    <col min="11" max="11" width="18" customWidth="1"/>
    <col min="12" max="12" width="26" customWidth="1"/>
    <col min="13" max="13" width="2" customWidth="1"/>
  </cols>
  <sheetData>
    <row r="2" spans="2:12" ht="31.5" customHeight="1" x14ac:dyDescent="0.25">
      <c r="B2" s="14" t="s">
        <v>132</v>
      </c>
      <c r="C2" s="14"/>
      <c r="D2" s="14"/>
      <c r="E2" s="14"/>
      <c r="F2" s="14"/>
      <c r="G2" s="14"/>
      <c r="H2" s="14"/>
      <c r="I2" s="14"/>
      <c r="J2" s="14"/>
      <c r="K2" s="14"/>
      <c r="L2" s="14"/>
    </row>
    <row r="4" spans="2:12" ht="21.75" customHeight="1" x14ac:dyDescent="0.25">
      <c r="B4" s="26" t="s">
        <v>45</v>
      </c>
      <c r="C4" s="13" t="str">
        <f>MitarbeiterName</f>
        <v>Schneider, Lukas</v>
      </c>
      <c r="D4" s="13"/>
      <c r="E4" s="13"/>
      <c r="F4" s="26" t="s">
        <v>46</v>
      </c>
      <c r="G4" s="13" t="str">
        <f>Personalnummer</f>
        <v>MA-2026-0481</v>
      </c>
      <c r="H4" s="13"/>
      <c r="I4" s="26" t="s">
        <v>47</v>
      </c>
      <c r="J4" s="27">
        <v>7</v>
      </c>
      <c r="K4" s="26" t="s">
        <v>48</v>
      </c>
      <c r="L4" s="27">
        <v>2026</v>
      </c>
    </row>
    <row r="5" spans="2:12" ht="25.5" customHeight="1" x14ac:dyDescent="0.25">
      <c r="B5" s="12" t="str">
        <f>UPPER(CHOOSE(J4,"Januar","Februar","März","April","Mai","Juni","Juli","August","September","Oktober","November","Dezember"))&amp;" "&amp;L4</f>
        <v>JULI 2026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7" spans="2:12" ht="27.75" customHeight="1" x14ac:dyDescent="0.25">
      <c r="B7" s="28" t="s">
        <v>33</v>
      </c>
      <c r="C7" s="28" t="s">
        <v>16</v>
      </c>
      <c r="D7" s="28" t="s">
        <v>49</v>
      </c>
      <c r="E7" s="28" t="s">
        <v>50</v>
      </c>
      <c r="F7" s="28" t="s">
        <v>51</v>
      </c>
      <c r="G7" s="28" t="s">
        <v>52</v>
      </c>
      <c r="H7" s="28" t="s">
        <v>53</v>
      </c>
      <c r="I7" s="28" t="s">
        <v>54</v>
      </c>
      <c r="J7" s="28" t="s">
        <v>55</v>
      </c>
      <c r="K7" s="28" t="s">
        <v>56</v>
      </c>
      <c r="L7" s="28" t="s">
        <v>57</v>
      </c>
    </row>
    <row r="8" spans="2:12" ht="19.5" customHeight="1" x14ac:dyDescent="0.25">
      <c r="B8" s="29">
        <f>IF(DAY(DATE($L$4,$J$4,1))=1,DATE($L$4,$J$4,1),"")</f>
        <v>46204</v>
      </c>
      <c r="C8" s="30" t="str">
        <f t="shared" ref="C8:C38" si="0">IF(B8="","",CHOOSE(WEEKDAY(B8,2),"Montag","Dienstag","Mittwoch","Donnerstag","Freitag","Samstag","Sonntag"))</f>
        <v>Mittwoch</v>
      </c>
      <c r="D8" s="31"/>
      <c r="E8" s="31"/>
      <c r="F8" s="24"/>
      <c r="G8" s="19" t="s">
        <v>58</v>
      </c>
      <c r="H8" s="32">
        <f t="shared" ref="H8:H38" si="1">IFERROR(IF(B8="","",IF(OR(G8="Urlaub",G8="Krank",G8="Feiertag"),I8,IF(G8="Frei",0,IF(OR(D8="",E8=""),0,MAX(0,(IF(E8&lt;D8,E8+1,E8)-D8)-F8/1440))))),0)</f>
        <v>0</v>
      </c>
      <c r="I8" s="33">
        <f>IFERROR(IF(B8="","",IF(NOT(ISNA(MATCH(B8,Feiertage,0))),0,IF(INDEX(Einstellungen!$D$17:$D$23,WEEKDAY(B8,2))="Ja",INDEX(Einstellungen!$C$17:$C$23,WEEKDAY(B8,2)),0))),0)</f>
        <v>0.33333333333333298</v>
      </c>
      <c r="J8" s="34" t="str">
        <f t="shared" ref="J8:J38" si="2">IF(B8="","",IF((H8-I8)&gt;=0,TEXT(H8-I8,"[h]:mm"),"-"&amp;TEXT(I8-H8,"[h]:mm")))</f>
        <v>-8:00</v>
      </c>
      <c r="K8" s="35"/>
      <c r="L8" s="35" t="s">
        <v>27</v>
      </c>
    </row>
    <row r="9" spans="2:12" ht="19.5" customHeight="1" x14ac:dyDescent="0.25">
      <c r="B9" s="29">
        <f>IF(DAY(DATE($L$4,$J$4,2))=2,DATE($L$4,$J$4,2),"")</f>
        <v>46205</v>
      </c>
      <c r="C9" s="30" t="str">
        <f t="shared" si="0"/>
        <v>Donnerstag</v>
      </c>
      <c r="D9" s="31" t="s">
        <v>59</v>
      </c>
      <c r="E9" s="31" t="s">
        <v>60</v>
      </c>
      <c r="F9" s="24">
        <v>45</v>
      </c>
      <c r="G9" s="19" t="s">
        <v>61</v>
      </c>
      <c r="H9" s="32">
        <f t="shared" si="1"/>
        <v>0.33333333333333331</v>
      </c>
      <c r="I9" s="33">
        <f>IFERROR(IF(B9="","",IF(NOT(ISNA(MATCH(B9,Feiertage,0))),0,IF(INDEX(Einstellungen!$D$17:$D$23,WEEKDAY(B9,2))="Ja",INDEX(Einstellungen!$C$17:$C$23,WEEKDAY(B9,2)),0))),0)</f>
        <v>0.33333333333333298</v>
      </c>
      <c r="J9" s="34" t="str">
        <f t="shared" si="2"/>
        <v>0:00</v>
      </c>
      <c r="K9" s="35" t="s">
        <v>62</v>
      </c>
      <c r="L9" s="35" t="s">
        <v>63</v>
      </c>
    </row>
    <row r="10" spans="2:12" ht="19.5" customHeight="1" x14ac:dyDescent="0.25">
      <c r="B10" s="29">
        <f>IF(DAY(DATE($L$4,$J$4,3))=3,DATE($L$4,$J$4,3),"")</f>
        <v>46206</v>
      </c>
      <c r="C10" s="30" t="str">
        <f t="shared" si="0"/>
        <v>Freitag</v>
      </c>
      <c r="D10" s="31" t="s">
        <v>64</v>
      </c>
      <c r="E10" s="31" t="s">
        <v>65</v>
      </c>
      <c r="F10" s="24">
        <v>60</v>
      </c>
      <c r="G10" s="19" t="s">
        <v>61</v>
      </c>
      <c r="H10" s="32">
        <f t="shared" si="1"/>
        <v>0.35416666666666663</v>
      </c>
      <c r="I10" s="33">
        <f>IFERROR(IF(B10="","",IF(NOT(ISNA(MATCH(B10,Feiertage,0))),0,IF(INDEX(Einstellungen!$D$17:$D$23,WEEKDAY(B10,2))="Ja",INDEX(Einstellungen!$C$17:$C$23,WEEKDAY(B10,2)),0))),0)</f>
        <v>0.33333333333333298</v>
      </c>
      <c r="J10" s="34" t="str">
        <f t="shared" si="2"/>
        <v>0:30</v>
      </c>
      <c r="K10" s="35" t="s">
        <v>62</v>
      </c>
      <c r="L10" s="35" t="s">
        <v>66</v>
      </c>
    </row>
    <row r="11" spans="2:12" ht="19.5" customHeight="1" x14ac:dyDescent="0.25">
      <c r="B11" s="29">
        <f>IF(DAY(DATE($L$4,$J$4,4))=4,DATE($L$4,$J$4,4),"")</f>
        <v>46207</v>
      </c>
      <c r="C11" s="30" t="str">
        <f t="shared" si="0"/>
        <v>Samstag</v>
      </c>
      <c r="D11" s="31" t="s">
        <v>67</v>
      </c>
      <c r="E11" s="31" t="s">
        <v>68</v>
      </c>
      <c r="F11" s="24">
        <v>30</v>
      </c>
      <c r="G11" s="19" t="s">
        <v>69</v>
      </c>
      <c r="H11" s="32">
        <f t="shared" si="1"/>
        <v>0.32291666666666669</v>
      </c>
      <c r="I11" s="33">
        <f>IFERROR(IF(B11="","",IF(NOT(ISNA(MATCH(B11,Feiertage,0))),0,IF(INDEX(Einstellungen!$D$17:$D$23,WEEKDAY(B11,2))="Ja",INDEX(Einstellungen!$C$17:$C$23,WEEKDAY(B11,2)),0))),0)</f>
        <v>0</v>
      </c>
      <c r="J11" s="34" t="str">
        <f t="shared" si="2"/>
        <v>7:45</v>
      </c>
      <c r="K11" s="35" t="s">
        <v>70</v>
      </c>
      <c r="L11" s="35" t="s">
        <v>71</v>
      </c>
    </row>
    <row r="12" spans="2:12" ht="19.5" customHeight="1" x14ac:dyDescent="0.25">
      <c r="B12" s="29">
        <f>IF(DAY(DATE($L$4,$J$4,5))=5,DATE($L$4,$J$4,5),"")</f>
        <v>46208</v>
      </c>
      <c r="C12" s="30" t="str">
        <f t="shared" si="0"/>
        <v>Sonntag</v>
      </c>
      <c r="D12" s="31" t="s">
        <v>59</v>
      </c>
      <c r="E12" s="31" t="s">
        <v>72</v>
      </c>
      <c r="F12" s="24">
        <v>45</v>
      </c>
      <c r="G12" s="19" t="s">
        <v>61</v>
      </c>
      <c r="H12" s="32">
        <f t="shared" si="1"/>
        <v>0.40625000000000006</v>
      </c>
      <c r="I12" s="33">
        <f>IFERROR(IF(B12="","",IF(NOT(ISNA(MATCH(B12,Feiertage,0))),0,IF(INDEX(Einstellungen!$D$17:$D$23,WEEKDAY(B12,2))="Ja",INDEX(Einstellungen!$C$17:$C$23,WEEKDAY(B12,2)),0))),0)</f>
        <v>0</v>
      </c>
      <c r="J12" s="34" t="str">
        <f t="shared" si="2"/>
        <v>9:45</v>
      </c>
      <c r="K12" s="35" t="s">
        <v>62</v>
      </c>
      <c r="L12" s="35" t="s">
        <v>73</v>
      </c>
    </row>
    <row r="13" spans="2:12" ht="19.5" customHeight="1" x14ac:dyDescent="0.25">
      <c r="B13" s="29">
        <f>IF(DAY(DATE($L$4,$J$4,6))=6,DATE($L$4,$J$4,6),"")</f>
        <v>46209</v>
      </c>
      <c r="C13" s="30" t="str">
        <f t="shared" si="0"/>
        <v>Montag</v>
      </c>
      <c r="D13" s="31" t="s">
        <v>59</v>
      </c>
      <c r="E13" s="31" t="s">
        <v>74</v>
      </c>
      <c r="F13" s="24">
        <v>30</v>
      </c>
      <c r="G13" s="19" t="s">
        <v>61</v>
      </c>
      <c r="H13" s="32">
        <f t="shared" si="1"/>
        <v>0.22916666666666671</v>
      </c>
      <c r="I13" s="33">
        <f>IFERROR(IF(B13="","",IF(NOT(ISNA(MATCH(B13,Feiertage,0))),0,IF(INDEX(Einstellungen!$D$17:$D$23,WEEKDAY(B13,2))="Ja",INDEX(Einstellungen!$C$17:$C$23,WEEKDAY(B13,2)),0))),0)</f>
        <v>0.33333333333333298</v>
      </c>
      <c r="J13" s="34" t="str">
        <f t="shared" si="2"/>
        <v>-2:30</v>
      </c>
      <c r="K13" s="35" t="s">
        <v>62</v>
      </c>
      <c r="L13" s="35" t="s">
        <v>75</v>
      </c>
    </row>
    <row r="14" spans="2:12" ht="19.5" customHeight="1" x14ac:dyDescent="0.25">
      <c r="B14" s="29">
        <f>IF(DAY(DATE($L$4,$J$4,7))=7,DATE($L$4,$J$4,7),"")</f>
        <v>46210</v>
      </c>
      <c r="C14" s="30" t="str">
        <f t="shared" si="0"/>
        <v>Dienstag</v>
      </c>
      <c r="D14" s="31"/>
      <c r="E14" s="31"/>
      <c r="F14" s="24"/>
      <c r="G14" s="19" t="s">
        <v>58</v>
      </c>
      <c r="H14" s="32">
        <f t="shared" si="1"/>
        <v>0</v>
      </c>
      <c r="I14" s="33">
        <f>IFERROR(IF(B14="","",IF(NOT(ISNA(MATCH(B14,Feiertage,0))),0,IF(INDEX(Einstellungen!$D$17:$D$23,WEEKDAY(B14,2))="Ja",INDEX(Einstellungen!$C$17:$C$23,WEEKDAY(B14,2)),0))),0)</f>
        <v>0.33333333333333298</v>
      </c>
      <c r="J14" s="34" t="str">
        <f t="shared" si="2"/>
        <v>-8:00</v>
      </c>
      <c r="K14" s="35"/>
      <c r="L14" s="35" t="s">
        <v>25</v>
      </c>
    </row>
    <row r="15" spans="2:12" ht="19.5" customHeight="1" x14ac:dyDescent="0.25">
      <c r="B15" s="29">
        <f>IF(DAY(DATE($L$4,$J$4,8))=8,DATE($L$4,$J$4,8),"")</f>
        <v>46211</v>
      </c>
      <c r="C15" s="30" t="str">
        <f t="shared" si="0"/>
        <v>Mittwoch</v>
      </c>
      <c r="D15" s="31"/>
      <c r="E15" s="31"/>
      <c r="F15" s="24"/>
      <c r="G15" s="19" t="s">
        <v>58</v>
      </c>
      <c r="H15" s="32">
        <f t="shared" si="1"/>
        <v>0</v>
      </c>
      <c r="I15" s="33">
        <f>IFERROR(IF(B15="","",IF(NOT(ISNA(MATCH(B15,Feiertage,0))),0,IF(INDEX(Einstellungen!$D$17:$D$23,WEEKDAY(B15,2))="Ja",INDEX(Einstellungen!$C$17:$C$23,WEEKDAY(B15,2)),0))),0)</f>
        <v>0.33333333333333298</v>
      </c>
      <c r="J15" s="34" t="str">
        <f t="shared" si="2"/>
        <v>-8:00</v>
      </c>
      <c r="K15" s="35"/>
      <c r="L15" s="35" t="s">
        <v>27</v>
      </c>
    </row>
    <row r="16" spans="2:12" ht="19.5" customHeight="1" x14ac:dyDescent="0.25">
      <c r="B16" s="29">
        <f>IF(DAY(DATE($L$4,$J$4,9))=9,DATE($L$4,$J$4,9),"")</f>
        <v>46212</v>
      </c>
      <c r="C16" s="30" t="str">
        <f t="shared" si="0"/>
        <v>Donnerstag</v>
      </c>
      <c r="D16" s="31" t="s">
        <v>59</v>
      </c>
      <c r="E16" s="31" t="s">
        <v>76</v>
      </c>
      <c r="F16" s="24">
        <v>45</v>
      </c>
      <c r="G16" s="19" t="s">
        <v>61</v>
      </c>
      <c r="H16" s="32">
        <f t="shared" si="1"/>
        <v>0.34375000000000006</v>
      </c>
      <c r="I16" s="33">
        <f>IFERROR(IF(B16="","",IF(NOT(ISNA(MATCH(B16,Feiertage,0))),0,IF(INDEX(Einstellungen!$D$17:$D$23,WEEKDAY(B16,2))="Ja",INDEX(Einstellungen!$C$17:$C$23,WEEKDAY(B16,2)),0))),0)</f>
        <v>0.33333333333333298</v>
      </c>
      <c r="J16" s="34" t="str">
        <f t="shared" si="2"/>
        <v>0:15</v>
      </c>
      <c r="K16" s="35" t="s">
        <v>62</v>
      </c>
      <c r="L16" s="35"/>
    </row>
    <row r="17" spans="2:12" ht="19.5" customHeight="1" x14ac:dyDescent="0.25">
      <c r="B17" s="29">
        <f>IF(DAY(DATE($L$4,$J$4,10))=10,DATE($L$4,$J$4,10),"")</f>
        <v>46213</v>
      </c>
      <c r="C17" s="30" t="str">
        <f t="shared" si="0"/>
        <v>Freitag</v>
      </c>
      <c r="D17" s="31" t="s">
        <v>77</v>
      </c>
      <c r="E17" s="31" t="s">
        <v>78</v>
      </c>
      <c r="F17" s="24">
        <v>30</v>
      </c>
      <c r="G17" s="19" t="s">
        <v>61</v>
      </c>
      <c r="H17" s="32">
        <f t="shared" si="1"/>
        <v>0.33333333333333331</v>
      </c>
      <c r="I17" s="33">
        <f>IFERROR(IF(B17="","",IF(NOT(ISNA(MATCH(B17,Feiertage,0))),0,IF(INDEX(Einstellungen!$D$17:$D$23,WEEKDAY(B17,2))="Ja",INDEX(Einstellungen!$C$17:$C$23,WEEKDAY(B17,2)),0))),0)</f>
        <v>0.33333333333333298</v>
      </c>
      <c r="J17" s="34" t="str">
        <f t="shared" si="2"/>
        <v>0:00</v>
      </c>
      <c r="K17" s="35" t="s">
        <v>79</v>
      </c>
      <c r="L17" s="35" t="s">
        <v>80</v>
      </c>
    </row>
    <row r="18" spans="2:12" ht="19.5" customHeight="1" x14ac:dyDescent="0.25">
      <c r="B18" s="29">
        <f>IF(DAY(DATE($L$4,$J$4,11))=11,DATE($L$4,$J$4,11),"")</f>
        <v>46214</v>
      </c>
      <c r="C18" s="30" t="str">
        <f t="shared" si="0"/>
        <v>Samstag</v>
      </c>
      <c r="D18" s="31" t="s">
        <v>59</v>
      </c>
      <c r="E18" s="31" t="s">
        <v>68</v>
      </c>
      <c r="F18" s="24">
        <v>30</v>
      </c>
      <c r="G18" s="19" t="s">
        <v>61</v>
      </c>
      <c r="H18" s="32">
        <f t="shared" si="1"/>
        <v>0.33333333333333337</v>
      </c>
      <c r="I18" s="33">
        <f>IFERROR(IF(B18="","",IF(NOT(ISNA(MATCH(B18,Feiertage,0))),0,IF(INDEX(Einstellungen!$D$17:$D$23,WEEKDAY(B18,2))="Ja",INDEX(Einstellungen!$C$17:$C$23,WEEKDAY(B18,2)),0))),0)</f>
        <v>0</v>
      </c>
      <c r="J18" s="34" t="str">
        <f t="shared" si="2"/>
        <v>8:00</v>
      </c>
      <c r="K18" s="35" t="s">
        <v>62</v>
      </c>
      <c r="L18" s="35"/>
    </row>
    <row r="19" spans="2:12" ht="19.5" customHeight="1" x14ac:dyDescent="0.25">
      <c r="B19" s="29">
        <f>IF(DAY(DATE($L$4,$J$4,12))=12,DATE($L$4,$J$4,12),"")</f>
        <v>46215</v>
      </c>
      <c r="C19" s="30" t="str">
        <f t="shared" si="0"/>
        <v>Sonntag</v>
      </c>
      <c r="D19" s="31"/>
      <c r="E19" s="31"/>
      <c r="F19" s="24"/>
      <c r="G19" s="19" t="s">
        <v>81</v>
      </c>
      <c r="H19" s="32">
        <f t="shared" si="1"/>
        <v>0</v>
      </c>
      <c r="I19" s="33">
        <f>IFERROR(IF(B19="","",IF(NOT(ISNA(MATCH(B19,Feiertage,0))),0,IF(INDEX(Einstellungen!$D$17:$D$23,WEEKDAY(B19,2))="Ja",INDEX(Einstellungen!$C$17:$C$23,WEEKDAY(B19,2)),0))),0)</f>
        <v>0</v>
      </c>
      <c r="J19" s="34" t="str">
        <f t="shared" si="2"/>
        <v>0:00</v>
      </c>
      <c r="K19" s="35"/>
      <c r="L19" s="35" t="s">
        <v>82</v>
      </c>
    </row>
    <row r="20" spans="2:12" ht="19.5" customHeight="1" x14ac:dyDescent="0.25">
      <c r="B20" s="29">
        <f>IF(DAY(DATE($L$4,$J$4,13))=13,DATE($L$4,$J$4,13),"")</f>
        <v>46216</v>
      </c>
      <c r="C20" s="30" t="str">
        <f t="shared" si="0"/>
        <v>Montag</v>
      </c>
      <c r="D20" s="31"/>
      <c r="E20" s="31"/>
      <c r="F20" s="24"/>
      <c r="G20" s="19" t="s">
        <v>81</v>
      </c>
      <c r="H20" s="32">
        <f t="shared" si="1"/>
        <v>0.33333333333333298</v>
      </c>
      <c r="I20" s="33">
        <f>IFERROR(IF(B20="","",IF(NOT(ISNA(MATCH(B20,Feiertage,0))),0,IF(INDEX(Einstellungen!$D$17:$D$23,WEEKDAY(B20,2))="Ja",INDEX(Einstellungen!$C$17:$C$23,WEEKDAY(B20,2)),0))),0)</f>
        <v>0.33333333333333298</v>
      </c>
      <c r="J20" s="34" t="str">
        <f t="shared" si="2"/>
        <v>0:00</v>
      </c>
      <c r="K20" s="35"/>
      <c r="L20" s="35" t="s">
        <v>83</v>
      </c>
    </row>
    <row r="21" spans="2:12" ht="19.5" customHeight="1" x14ac:dyDescent="0.25">
      <c r="B21" s="29">
        <f>IF(DAY(DATE($L$4,$J$4,14))=14,DATE($L$4,$J$4,14),"")</f>
        <v>46217</v>
      </c>
      <c r="C21" s="30" t="str">
        <f t="shared" si="0"/>
        <v>Dienstag</v>
      </c>
      <c r="D21" s="31"/>
      <c r="E21" s="31"/>
      <c r="F21" s="24"/>
      <c r="G21" s="19" t="s">
        <v>58</v>
      </c>
      <c r="H21" s="32">
        <f t="shared" si="1"/>
        <v>0</v>
      </c>
      <c r="I21" s="33">
        <f>IFERROR(IF(B21="","",IF(NOT(ISNA(MATCH(B21,Feiertage,0))),0,IF(INDEX(Einstellungen!$D$17:$D$23,WEEKDAY(B21,2))="Ja",INDEX(Einstellungen!$C$17:$C$23,WEEKDAY(B21,2)),0))),0)</f>
        <v>0.33333333333333298</v>
      </c>
      <c r="J21" s="34" t="str">
        <f t="shared" si="2"/>
        <v>-8:00</v>
      </c>
      <c r="K21" s="35"/>
      <c r="L21" s="35" t="s">
        <v>25</v>
      </c>
    </row>
    <row r="22" spans="2:12" ht="19.5" customHeight="1" x14ac:dyDescent="0.25">
      <c r="B22" s="29">
        <f>IF(DAY(DATE($L$4,$J$4,15))=15,DATE($L$4,$J$4,15),"")</f>
        <v>46218</v>
      </c>
      <c r="C22" s="30" t="str">
        <f t="shared" si="0"/>
        <v>Mittwoch</v>
      </c>
      <c r="D22" s="31"/>
      <c r="E22" s="31"/>
      <c r="F22" s="24"/>
      <c r="G22" s="19" t="s">
        <v>58</v>
      </c>
      <c r="H22" s="32">
        <f t="shared" si="1"/>
        <v>0</v>
      </c>
      <c r="I22" s="33">
        <f>IFERROR(IF(B22="","",IF(NOT(ISNA(MATCH(B22,Feiertage,0))),0,IF(INDEX(Einstellungen!$D$17:$D$23,WEEKDAY(B22,2))="Ja",INDEX(Einstellungen!$C$17:$C$23,WEEKDAY(B22,2)),0))),0)</f>
        <v>0.33333333333333298</v>
      </c>
      <c r="J22" s="34" t="str">
        <f t="shared" si="2"/>
        <v>-8:00</v>
      </c>
      <c r="K22" s="35"/>
      <c r="L22" s="35" t="s">
        <v>27</v>
      </c>
    </row>
    <row r="23" spans="2:12" ht="19.5" customHeight="1" x14ac:dyDescent="0.25">
      <c r="B23" s="29">
        <f>IF(DAY(DATE($L$4,$J$4,16))=16,DATE($L$4,$J$4,16),"")</f>
        <v>46219</v>
      </c>
      <c r="C23" s="30" t="str">
        <f t="shared" si="0"/>
        <v>Donnerstag</v>
      </c>
      <c r="D23" s="31" t="s">
        <v>59</v>
      </c>
      <c r="E23" s="31" t="s">
        <v>76</v>
      </c>
      <c r="F23" s="24">
        <v>45</v>
      </c>
      <c r="G23" s="19" t="s">
        <v>61</v>
      </c>
      <c r="H23" s="32">
        <f t="shared" si="1"/>
        <v>0.34375000000000006</v>
      </c>
      <c r="I23" s="33">
        <f>IFERROR(IF(B23="","",IF(NOT(ISNA(MATCH(B23,Feiertage,0))),0,IF(INDEX(Einstellungen!$D$17:$D$23,WEEKDAY(B23,2))="Ja",INDEX(Einstellungen!$C$17:$C$23,WEEKDAY(B23,2)),0))),0)</f>
        <v>0.33333333333333298</v>
      </c>
      <c r="J23" s="34" t="str">
        <f t="shared" si="2"/>
        <v>0:15</v>
      </c>
      <c r="K23" s="35" t="s">
        <v>62</v>
      </c>
      <c r="L23" s="35" t="s">
        <v>84</v>
      </c>
    </row>
    <row r="24" spans="2:12" ht="19.5" customHeight="1" x14ac:dyDescent="0.25">
      <c r="B24" s="29">
        <f>IF(DAY(DATE($L$4,$J$4,17))=17,DATE($L$4,$J$4,17),"")</f>
        <v>46220</v>
      </c>
      <c r="C24" s="30" t="str">
        <f t="shared" si="0"/>
        <v>Freitag</v>
      </c>
      <c r="D24" s="31" t="s">
        <v>59</v>
      </c>
      <c r="E24" s="31" t="s">
        <v>85</v>
      </c>
      <c r="F24" s="24">
        <v>45</v>
      </c>
      <c r="G24" s="19" t="s">
        <v>61</v>
      </c>
      <c r="H24" s="32">
        <f t="shared" si="1"/>
        <v>0.36458333333333331</v>
      </c>
      <c r="I24" s="33">
        <f>IFERROR(IF(B24="","",IF(NOT(ISNA(MATCH(B24,Feiertage,0))),0,IF(INDEX(Einstellungen!$D$17:$D$23,WEEKDAY(B24,2))="Ja",INDEX(Einstellungen!$C$17:$C$23,WEEKDAY(B24,2)),0))),0)</f>
        <v>0.33333333333333298</v>
      </c>
      <c r="J24" s="34" t="str">
        <f t="shared" si="2"/>
        <v>0:45</v>
      </c>
      <c r="K24" s="35" t="s">
        <v>86</v>
      </c>
      <c r="L24" s="35" t="s">
        <v>87</v>
      </c>
    </row>
    <row r="25" spans="2:12" ht="19.5" customHeight="1" x14ac:dyDescent="0.25">
      <c r="B25" s="29">
        <f>IF(DAY(DATE($L$4,$J$4,18))=18,DATE($L$4,$J$4,18),"")</f>
        <v>46221</v>
      </c>
      <c r="C25" s="30" t="str">
        <f t="shared" si="0"/>
        <v>Samstag</v>
      </c>
      <c r="D25" s="31" t="s">
        <v>64</v>
      </c>
      <c r="E25" s="31" t="s">
        <v>60</v>
      </c>
      <c r="F25" s="24">
        <v>45</v>
      </c>
      <c r="G25" s="19" t="s">
        <v>61</v>
      </c>
      <c r="H25" s="32">
        <f t="shared" si="1"/>
        <v>0.34374999999999994</v>
      </c>
      <c r="I25" s="33">
        <f>IFERROR(IF(B25="","",IF(NOT(ISNA(MATCH(B25,Feiertage,0))),0,IF(INDEX(Einstellungen!$D$17:$D$23,WEEKDAY(B25,2))="Ja",INDEX(Einstellungen!$C$17:$C$23,WEEKDAY(B25,2)),0))),0)</f>
        <v>0</v>
      </c>
      <c r="J25" s="34" t="str">
        <f t="shared" si="2"/>
        <v>8:15</v>
      </c>
      <c r="K25" s="35" t="s">
        <v>86</v>
      </c>
      <c r="L25" s="35"/>
    </row>
    <row r="26" spans="2:12" ht="19.5" customHeight="1" x14ac:dyDescent="0.25">
      <c r="B26" s="29">
        <f>IF(DAY(DATE($L$4,$J$4,19))=19,DATE($L$4,$J$4,19),"")</f>
        <v>46222</v>
      </c>
      <c r="C26" s="30" t="str">
        <f t="shared" si="0"/>
        <v>Sonntag</v>
      </c>
      <c r="D26" s="31" t="s">
        <v>88</v>
      </c>
      <c r="E26" s="31" t="s">
        <v>89</v>
      </c>
      <c r="F26" s="24">
        <v>30</v>
      </c>
      <c r="G26" s="19" t="s">
        <v>90</v>
      </c>
      <c r="H26" s="32">
        <f t="shared" si="1"/>
        <v>0.35416666666666669</v>
      </c>
      <c r="I26" s="33">
        <f>IFERROR(IF(B26="","",IF(NOT(ISNA(MATCH(B26,Feiertage,0))),0,IF(INDEX(Einstellungen!$D$17:$D$23,WEEKDAY(B26,2))="Ja",INDEX(Einstellungen!$C$17:$C$23,WEEKDAY(B26,2)),0))),0)</f>
        <v>0</v>
      </c>
      <c r="J26" s="34" t="str">
        <f t="shared" si="2"/>
        <v>8:30</v>
      </c>
      <c r="K26" s="35" t="s">
        <v>91</v>
      </c>
      <c r="L26" s="35" t="s">
        <v>92</v>
      </c>
    </row>
    <row r="27" spans="2:12" ht="19.5" customHeight="1" x14ac:dyDescent="0.25">
      <c r="B27" s="29">
        <f>IF(DAY(DATE($L$4,$J$4,20))=20,DATE($L$4,$J$4,20),"")</f>
        <v>46223</v>
      </c>
      <c r="C27" s="30" t="str">
        <f t="shared" si="0"/>
        <v>Montag</v>
      </c>
      <c r="D27" s="31" t="s">
        <v>59</v>
      </c>
      <c r="E27" s="31" t="s">
        <v>76</v>
      </c>
      <c r="F27" s="24">
        <v>45</v>
      </c>
      <c r="G27" s="19" t="s">
        <v>69</v>
      </c>
      <c r="H27" s="32">
        <f t="shared" si="1"/>
        <v>0.34375000000000006</v>
      </c>
      <c r="I27" s="33">
        <f>IFERROR(IF(B27="","",IF(NOT(ISNA(MATCH(B27,Feiertage,0))),0,IF(INDEX(Einstellungen!$D$17:$D$23,WEEKDAY(B27,2))="Ja",INDEX(Einstellungen!$C$17:$C$23,WEEKDAY(B27,2)),0))),0)</f>
        <v>0.33333333333333298</v>
      </c>
      <c r="J27" s="34" t="str">
        <f t="shared" si="2"/>
        <v>0:15</v>
      </c>
      <c r="K27" s="35" t="s">
        <v>62</v>
      </c>
      <c r="L27" s="35"/>
    </row>
    <row r="28" spans="2:12" ht="19.5" customHeight="1" x14ac:dyDescent="0.25">
      <c r="B28" s="29">
        <f>IF(DAY(DATE($L$4,$J$4,21))=21,DATE($L$4,$J$4,21),"")</f>
        <v>46224</v>
      </c>
      <c r="C28" s="30" t="str">
        <f t="shared" si="0"/>
        <v>Dienstag</v>
      </c>
      <c r="D28" s="31"/>
      <c r="E28" s="31"/>
      <c r="F28" s="24"/>
      <c r="G28" s="19" t="s">
        <v>58</v>
      </c>
      <c r="H28" s="32">
        <f t="shared" si="1"/>
        <v>0</v>
      </c>
      <c r="I28" s="33">
        <f>IFERROR(IF(B28="","",IF(NOT(ISNA(MATCH(B28,Feiertage,0))),0,IF(INDEX(Einstellungen!$D$17:$D$23,WEEKDAY(B28,2))="Ja",INDEX(Einstellungen!$C$17:$C$23,WEEKDAY(B28,2)),0))),0)</f>
        <v>0.33333333333333298</v>
      </c>
      <c r="J28" s="34" t="str">
        <f t="shared" si="2"/>
        <v>-8:00</v>
      </c>
      <c r="K28" s="35"/>
      <c r="L28" s="35" t="s">
        <v>25</v>
      </c>
    </row>
    <row r="29" spans="2:12" ht="19.5" customHeight="1" x14ac:dyDescent="0.25">
      <c r="B29" s="29">
        <f>IF(DAY(DATE($L$4,$J$4,22))=22,DATE($L$4,$J$4,22),"")</f>
        <v>46225</v>
      </c>
      <c r="C29" s="30" t="str">
        <f t="shared" si="0"/>
        <v>Mittwoch</v>
      </c>
      <c r="D29" s="31"/>
      <c r="E29" s="31"/>
      <c r="F29" s="24"/>
      <c r="G29" s="19" t="s">
        <v>58</v>
      </c>
      <c r="H29" s="32">
        <f t="shared" si="1"/>
        <v>0</v>
      </c>
      <c r="I29" s="33">
        <f>IFERROR(IF(B29="","",IF(NOT(ISNA(MATCH(B29,Feiertage,0))),0,IF(INDEX(Einstellungen!$D$17:$D$23,WEEKDAY(B29,2))="Ja",INDEX(Einstellungen!$C$17:$C$23,WEEKDAY(B29,2)),0))),0)</f>
        <v>0.33333333333333298</v>
      </c>
      <c r="J29" s="34" t="str">
        <f t="shared" si="2"/>
        <v>-8:00</v>
      </c>
      <c r="K29" s="35"/>
      <c r="L29" s="35" t="s">
        <v>27</v>
      </c>
    </row>
    <row r="30" spans="2:12" ht="19.5" customHeight="1" x14ac:dyDescent="0.25">
      <c r="B30" s="29">
        <f>IF(DAY(DATE($L$4,$J$4,23))=23,DATE($L$4,$J$4,23),"")</f>
        <v>46226</v>
      </c>
      <c r="C30" s="30" t="str">
        <f t="shared" si="0"/>
        <v>Donnerstag</v>
      </c>
      <c r="D30" s="31"/>
      <c r="E30" s="31"/>
      <c r="F30" s="24"/>
      <c r="G30" s="19" t="s">
        <v>93</v>
      </c>
      <c r="H30" s="32">
        <f t="shared" si="1"/>
        <v>0.33333333333333298</v>
      </c>
      <c r="I30" s="33">
        <f>IFERROR(IF(B30="","",IF(NOT(ISNA(MATCH(B30,Feiertage,0))),0,IF(INDEX(Einstellungen!$D$17:$D$23,WEEKDAY(B30,2))="Ja",INDEX(Einstellungen!$C$17:$C$23,WEEKDAY(B30,2)),0))),0)</f>
        <v>0.33333333333333298</v>
      </c>
      <c r="J30" s="34" t="str">
        <f t="shared" si="2"/>
        <v>0:00</v>
      </c>
      <c r="K30" s="35"/>
      <c r="L30" s="35" t="s">
        <v>94</v>
      </c>
    </row>
    <row r="31" spans="2:12" ht="19.5" customHeight="1" x14ac:dyDescent="0.25">
      <c r="B31" s="29">
        <f>IF(DAY(DATE($L$4,$J$4,24))=24,DATE($L$4,$J$4,24),"")</f>
        <v>46227</v>
      </c>
      <c r="C31" s="30" t="str">
        <f t="shared" si="0"/>
        <v>Freitag</v>
      </c>
      <c r="D31" s="31"/>
      <c r="E31" s="31"/>
      <c r="F31" s="24"/>
      <c r="G31" s="19" t="s">
        <v>93</v>
      </c>
      <c r="H31" s="32">
        <f t="shared" si="1"/>
        <v>0.33333333333333298</v>
      </c>
      <c r="I31" s="33">
        <f>IFERROR(IF(B31="","",IF(NOT(ISNA(MATCH(B31,Feiertage,0))),0,IF(INDEX(Einstellungen!$D$17:$D$23,WEEKDAY(B31,2))="Ja",INDEX(Einstellungen!$C$17:$C$23,WEEKDAY(B31,2)),0))),0)</f>
        <v>0.33333333333333298</v>
      </c>
      <c r="J31" s="34" t="str">
        <f t="shared" si="2"/>
        <v>0:00</v>
      </c>
      <c r="K31" s="35"/>
      <c r="L31" s="35"/>
    </row>
    <row r="32" spans="2:12" ht="19.5" customHeight="1" x14ac:dyDescent="0.25">
      <c r="B32" s="29">
        <f>IF(DAY(DATE($L$4,$J$4,25))=25,DATE($L$4,$J$4,25),"")</f>
        <v>46228</v>
      </c>
      <c r="C32" s="30" t="str">
        <f t="shared" si="0"/>
        <v>Samstag</v>
      </c>
      <c r="D32" s="31"/>
      <c r="E32" s="31"/>
      <c r="F32" s="24"/>
      <c r="G32" s="19" t="s">
        <v>93</v>
      </c>
      <c r="H32" s="32">
        <f t="shared" si="1"/>
        <v>0</v>
      </c>
      <c r="I32" s="33">
        <f>IFERROR(IF(B32="","",IF(NOT(ISNA(MATCH(B32,Feiertage,0))),0,IF(INDEX(Einstellungen!$D$17:$D$23,WEEKDAY(B32,2))="Ja",INDEX(Einstellungen!$C$17:$C$23,WEEKDAY(B32,2)),0))),0)</f>
        <v>0</v>
      </c>
      <c r="J32" s="34" t="str">
        <f t="shared" si="2"/>
        <v>0:00</v>
      </c>
      <c r="K32" s="35"/>
      <c r="L32" s="35"/>
    </row>
    <row r="33" spans="2:12" ht="19.5" customHeight="1" x14ac:dyDescent="0.25">
      <c r="B33" s="29">
        <f>IF(DAY(DATE($L$4,$J$4,26))=26,DATE($L$4,$J$4,26),"")</f>
        <v>46229</v>
      </c>
      <c r="C33" s="30" t="str">
        <f t="shared" si="0"/>
        <v>Sonntag</v>
      </c>
      <c r="D33" s="31"/>
      <c r="E33" s="31"/>
      <c r="F33" s="24"/>
      <c r="G33" s="19" t="s">
        <v>93</v>
      </c>
      <c r="H33" s="32">
        <f t="shared" si="1"/>
        <v>0</v>
      </c>
      <c r="I33" s="33">
        <f>IFERROR(IF(B33="","",IF(NOT(ISNA(MATCH(B33,Feiertage,0))),0,IF(INDEX(Einstellungen!$D$17:$D$23,WEEKDAY(B33,2))="Ja",INDEX(Einstellungen!$C$17:$C$23,WEEKDAY(B33,2)),0))),0)</f>
        <v>0</v>
      </c>
      <c r="J33" s="34" t="str">
        <f t="shared" si="2"/>
        <v>0:00</v>
      </c>
      <c r="K33" s="35"/>
      <c r="L33" s="35"/>
    </row>
    <row r="34" spans="2:12" ht="19.5" customHeight="1" x14ac:dyDescent="0.25">
      <c r="B34" s="29">
        <f>IF(DAY(DATE($L$4,$J$4,27))=27,DATE($L$4,$J$4,27),"")</f>
        <v>46230</v>
      </c>
      <c r="C34" s="30" t="str">
        <f t="shared" si="0"/>
        <v>Montag</v>
      </c>
      <c r="D34" s="31"/>
      <c r="E34" s="31"/>
      <c r="F34" s="24"/>
      <c r="G34" s="19" t="s">
        <v>93</v>
      </c>
      <c r="H34" s="32">
        <f t="shared" si="1"/>
        <v>0.33333333333333298</v>
      </c>
      <c r="I34" s="33">
        <f>IFERROR(IF(B34="","",IF(NOT(ISNA(MATCH(B34,Feiertage,0))),0,IF(INDEX(Einstellungen!$D$17:$D$23,WEEKDAY(B34,2))="Ja",INDEX(Einstellungen!$C$17:$C$23,WEEKDAY(B34,2)),0))),0)</f>
        <v>0.33333333333333298</v>
      </c>
      <c r="J34" s="34" t="str">
        <f t="shared" si="2"/>
        <v>0:00</v>
      </c>
      <c r="K34" s="35"/>
      <c r="L34" s="35" t="s">
        <v>95</v>
      </c>
    </row>
    <row r="35" spans="2:12" ht="19.5" customHeight="1" x14ac:dyDescent="0.25">
      <c r="B35" s="29">
        <f>IF(DAY(DATE($L$4,$J$4,28))=28,DATE($L$4,$J$4,28),"")</f>
        <v>46231</v>
      </c>
      <c r="C35" s="30" t="str">
        <f t="shared" si="0"/>
        <v>Dienstag</v>
      </c>
      <c r="D35" s="31"/>
      <c r="E35" s="31"/>
      <c r="F35" s="24"/>
      <c r="G35" s="19" t="s">
        <v>58</v>
      </c>
      <c r="H35" s="32">
        <f t="shared" si="1"/>
        <v>0</v>
      </c>
      <c r="I35" s="33">
        <f>IFERROR(IF(B35="","",IF(NOT(ISNA(MATCH(B35,Feiertage,0))),0,IF(INDEX(Einstellungen!$D$17:$D$23,WEEKDAY(B35,2))="Ja",INDEX(Einstellungen!$C$17:$C$23,WEEKDAY(B35,2)),0))),0)</f>
        <v>0.33333333333333298</v>
      </c>
      <c r="J35" s="34" t="str">
        <f t="shared" si="2"/>
        <v>-8:00</v>
      </c>
      <c r="K35" s="35"/>
      <c r="L35" s="35" t="s">
        <v>25</v>
      </c>
    </row>
    <row r="36" spans="2:12" ht="19.5" customHeight="1" x14ac:dyDescent="0.25">
      <c r="B36" s="29">
        <f>IF(DAY(DATE($L$4,$J$4,29))=29,DATE($L$4,$J$4,29),"")</f>
        <v>46232</v>
      </c>
      <c r="C36" s="30" t="str">
        <f t="shared" si="0"/>
        <v>Mittwoch</v>
      </c>
      <c r="D36" s="31"/>
      <c r="E36" s="31"/>
      <c r="F36" s="24"/>
      <c r="G36" s="19" t="s">
        <v>58</v>
      </c>
      <c r="H36" s="32">
        <f t="shared" si="1"/>
        <v>0</v>
      </c>
      <c r="I36" s="33">
        <f>IFERROR(IF(B36="","",IF(NOT(ISNA(MATCH(B36,Feiertage,0))),0,IF(INDEX(Einstellungen!$D$17:$D$23,WEEKDAY(B36,2))="Ja",INDEX(Einstellungen!$C$17:$C$23,WEEKDAY(B36,2)),0))),0)</f>
        <v>0.33333333333333298</v>
      </c>
      <c r="J36" s="34" t="str">
        <f t="shared" si="2"/>
        <v>-8:00</v>
      </c>
      <c r="K36" s="35"/>
      <c r="L36" s="35" t="s">
        <v>27</v>
      </c>
    </row>
    <row r="37" spans="2:12" ht="19.5" customHeight="1" x14ac:dyDescent="0.25">
      <c r="B37" s="29">
        <f>IF(DAY(DATE($L$4,$J$4,30))=30,DATE($L$4,$J$4,30),"")</f>
        <v>46233</v>
      </c>
      <c r="C37" s="30" t="str">
        <f t="shared" si="0"/>
        <v>Donnerstag</v>
      </c>
      <c r="D37" s="31" t="s">
        <v>59</v>
      </c>
      <c r="E37" s="31" t="s">
        <v>68</v>
      </c>
      <c r="F37" s="24">
        <v>30</v>
      </c>
      <c r="G37" s="19" t="s">
        <v>61</v>
      </c>
      <c r="H37" s="32">
        <f t="shared" si="1"/>
        <v>0.33333333333333337</v>
      </c>
      <c r="I37" s="33">
        <f>IFERROR(IF(B37="","",IF(NOT(ISNA(MATCH(B37,Feiertage,0))),0,IF(INDEX(Einstellungen!$D$17:$D$23,WEEKDAY(B37,2))="Ja",INDEX(Einstellungen!$C$17:$C$23,WEEKDAY(B37,2)),0))),0)</f>
        <v>0.33333333333333298</v>
      </c>
      <c r="J37" s="34" t="str">
        <f t="shared" si="2"/>
        <v>0:00</v>
      </c>
      <c r="K37" s="35" t="s">
        <v>62</v>
      </c>
      <c r="L37" s="35" t="s">
        <v>96</v>
      </c>
    </row>
    <row r="38" spans="2:12" ht="19.5" customHeight="1" x14ac:dyDescent="0.25">
      <c r="B38" s="29">
        <f>IF(DAY(DATE($L$4,$J$4,31))=31,DATE($L$4,$J$4,31),"")</f>
        <v>46234</v>
      </c>
      <c r="C38" s="30" t="str">
        <f t="shared" si="0"/>
        <v>Freitag</v>
      </c>
      <c r="D38" s="31" t="s">
        <v>59</v>
      </c>
      <c r="E38" s="31" t="s">
        <v>85</v>
      </c>
      <c r="F38" s="24">
        <v>45</v>
      </c>
      <c r="G38" s="19" t="s">
        <v>61</v>
      </c>
      <c r="H38" s="32">
        <f t="shared" si="1"/>
        <v>0.36458333333333331</v>
      </c>
      <c r="I38" s="33">
        <f>IFERROR(IF(B38="","",IF(NOT(ISNA(MATCH(B38,Feiertage,0))),0,IF(INDEX(Einstellungen!$D$17:$D$23,WEEKDAY(B38,2))="Ja",INDEX(Einstellungen!$C$17:$C$23,WEEKDAY(B38,2)),0))),0)</f>
        <v>0.33333333333333298</v>
      </c>
      <c r="J38" s="34" t="str">
        <f t="shared" si="2"/>
        <v>0:45</v>
      </c>
      <c r="K38" s="35" t="s">
        <v>62</v>
      </c>
      <c r="L38" s="35" t="s">
        <v>97</v>
      </c>
    </row>
    <row r="40" spans="2:12" ht="25.5" customHeight="1" x14ac:dyDescent="0.25">
      <c r="B40" s="11" t="s">
        <v>98</v>
      </c>
      <c r="C40" s="11"/>
      <c r="D40" s="11"/>
      <c r="E40" s="11"/>
      <c r="F40" s="11"/>
      <c r="G40" s="11"/>
      <c r="H40" s="36">
        <f>SUM(H8:H38)</f>
        <v>6.4374999999999991</v>
      </c>
      <c r="I40" s="36">
        <f>SUM(I8:I38)</f>
        <v>7.666666666666659</v>
      </c>
      <c r="J40" s="37" t="str">
        <f>IF((H40-I40)&gt;=0,TEXT(H40-I40,"[h]:mm"),"-"&amp;TEXT(I40-H40,"[h]:mm"))</f>
        <v>-29:30</v>
      </c>
      <c r="K40" s="10"/>
      <c r="L40" s="10"/>
    </row>
    <row r="42" spans="2:12" ht="24" customHeight="1" x14ac:dyDescent="0.25">
      <c r="B42" s="9" t="s">
        <v>99</v>
      </c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2:12" ht="21.75" customHeight="1" x14ac:dyDescent="0.25">
      <c r="B43" s="8" t="s">
        <v>100</v>
      </c>
      <c r="C43" s="8"/>
      <c r="D43" s="38">
        <f>COUNTIFS(G8:G38,"Normal")+COUNTIFS(G8:G38,"Homeoffice")+COUNTIFS(G8:G38,"Dienstreise")</f>
        <v>15</v>
      </c>
      <c r="E43" s="8" t="s">
        <v>101</v>
      </c>
      <c r="F43" s="8"/>
      <c r="G43" s="38">
        <f>COUNTIF(G8:G38,"Urlaub")</f>
        <v>5</v>
      </c>
      <c r="H43" s="8" t="s">
        <v>102</v>
      </c>
      <c r="I43" s="8"/>
      <c r="J43" s="38">
        <f>COUNTIF(G8:G38,"Krank")</f>
        <v>2</v>
      </c>
    </row>
    <row r="44" spans="2:12" ht="21.75" customHeight="1" x14ac:dyDescent="0.25">
      <c r="B44" s="8" t="s">
        <v>103</v>
      </c>
      <c r="C44" s="8"/>
      <c r="D44" s="38" cm="1">
        <f t="array" ref="D44">SUMPRODUCT((B8:B38&lt;&gt;"")*(ISNUMBER(MATCH(B8:B38,Feiertage,0)))*(WEEKDAY(B8:B38+0,2)&lt;6))</f>
        <v>0</v>
      </c>
      <c r="E44" s="8" t="s">
        <v>104</v>
      </c>
      <c r="F44" s="8"/>
      <c r="G44" s="39">
        <f>IFERROR(COUNTIF(G8:G38,"Homeoffice")/(COUNTIF(G8:G38,"Normal")+COUNTIF(G8:G38,"Homeoffice")+COUNTIF(G8:G38,"Dienstreise")),0)</f>
        <v>0.13333333333333333</v>
      </c>
      <c r="H44" s="8" t="s">
        <v>105</v>
      </c>
      <c r="I44" s="8"/>
      <c r="J44" s="40">
        <f>IFERROR(SUMPRODUCT(((G8:G38="Normal")+(G8:G38="Homeoffice")+(G8:G38="Dienstreise"))*H8:H38)/(COUNTIF(G8:G38,"Normal")+COUNTIF(G8:G38,"Homeoffice")+COUNTIF(G8:G38,"Dienstreise")),0)</f>
        <v>0.34027777777777779</v>
      </c>
    </row>
    <row r="46" spans="2:12" ht="27.75" customHeight="1" x14ac:dyDescent="0.25">
      <c r="B46" s="7" t="s">
        <v>106</v>
      </c>
      <c r="C46" s="7"/>
      <c r="D46" s="7"/>
      <c r="E46" s="7"/>
      <c r="F46" s="7"/>
      <c r="G46" s="7"/>
      <c r="H46" s="7"/>
      <c r="I46" s="7"/>
      <c r="J46" s="7"/>
      <c r="K46" s="7"/>
      <c r="L46" s="7"/>
    </row>
  </sheetData>
  <mergeCells count="14">
    <mergeCell ref="B46:L46"/>
    <mergeCell ref="B42:L42"/>
    <mergeCell ref="B43:C43"/>
    <mergeCell ref="E43:F43"/>
    <mergeCell ref="H43:I43"/>
    <mergeCell ref="B44:C44"/>
    <mergeCell ref="E44:F44"/>
    <mergeCell ref="H44:I44"/>
    <mergeCell ref="B2:L2"/>
    <mergeCell ref="C4:E4"/>
    <mergeCell ref="G4:H4"/>
    <mergeCell ref="B5:L5"/>
    <mergeCell ref="B40:G40"/>
    <mergeCell ref="K40:L40"/>
  </mergeCells>
  <conditionalFormatting sqref="B8:L38">
    <cfRule type="expression" dxfId="5" priority="2">
      <formula>WEEKDAY($B8,2)&gt;5</formula>
    </cfRule>
    <cfRule type="expression" dxfId="4" priority="3">
      <formula>NOT(ISNA(MATCH($B8,Feiertage,0)))</formula>
    </cfRule>
  </conditionalFormatting>
  <conditionalFormatting sqref="J8:J38">
    <cfRule type="expression" dxfId="3" priority="4">
      <formula>AND(J8&lt;&gt;"",LEFT(J8,1)="-")</formula>
    </cfRule>
    <cfRule type="expression" dxfId="2" priority="5">
      <formula>AND(J8&lt;&gt;"",LEFT(J8,1)&lt;&gt;"-",J8&lt;&gt;"0:00")</formula>
    </cfRule>
  </conditionalFormatting>
  <dataValidations count="2">
    <dataValidation type="whole" sqref="J4" xr:uid="{00000000-0002-0000-0100-000000000000}">
      <formula1>1</formula1>
      <formula2>12</formula2>
    </dataValidation>
    <dataValidation type="list" allowBlank="1" sqref="G8:G38" xr:uid="{00000000-0002-0000-0100-000001000000}">
      <formula1>"Normal,Urlaub,Krank,Feiertag,Dienstreise,Homeoffice,Frei"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43"/>
  <sheetViews>
    <sheetView showGridLines="0" topLeftCell="A28" zoomScaleNormal="100" workbookViewId="0"/>
  </sheetViews>
  <sheetFormatPr baseColWidth="10" defaultColWidth="8.7109375" defaultRowHeight="15" x14ac:dyDescent="0.25"/>
  <cols>
    <col min="1" max="1" width="2" customWidth="1"/>
    <col min="2" max="2" width="32" customWidth="1"/>
    <col min="3" max="4" width="22" customWidth="1"/>
    <col min="5" max="6" width="14" customWidth="1"/>
    <col min="7" max="7" width="2" customWidth="1"/>
  </cols>
  <sheetData>
    <row r="2" spans="2:6" ht="31.5" customHeight="1" x14ac:dyDescent="0.25">
      <c r="B2" s="14" t="s">
        <v>0</v>
      </c>
      <c r="C2" s="14"/>
      <c r="D2" s="14"/>
      <c r="E2" s="14"/>
      <c r="F2" s="14"/>
    </row>
    <row r="3" spans="2:6" ht="21.75" customHeight="1" x14ac:dyDescent="0.25">
      <c r="B3" s="6" t="s">
        <v>1</v>
      </c>
      <c r="C3" s="6"/>
      <c r="D3" s="6"/>
      <c r="E3" s="6"/>
      <c r="F3" s="6"/>
    </row>
    <row r="5" spans="2:6" ht="24" customHeight="1" x14ac:dyDescent="0.25">
      <c r="B5" s="5" t="s">
        <v>2</v>
      </c>
      <c r="C5" s="5"/>
      <c r="D5" s="5"/>
      <c r="E5" s="5"/>
      <c r="F5" s="5"/>
    </row>
    <row r="6" spans="2:6" ht="19.5" customHeight="1" x14ac:dyDescent="0.25">
      <c r="B6" s="15" t="s">
        <v>3</v>
      </c>
      <c r="C6" s="4" t="s">
        <v>4</v>
      </c>
      <c r="D6" s="4"/>
      <c r="E6" s="4"/>
      <c r="F6" s="4"/>
    </row>
    <row r="7" spans="2:6" ht="19.5" customHeight="1" x14ac:dyDescent="0.25">
      <c r="B7" s="15" t="s">
        <v>5</v>
      </c>
      <c r="C7" s="4" t="s">
        <v>6</v>
      </c>
      <c r="D7" s="4"/>
      <c r="E7" s="4"/>
      <c r="F7" s="4"/>
    </row>
    <row r="8" spans="2:6" ht="19.5" customHeight="1" x14ac:dyDescent="0.25">
      <c r="B8" s="15" t="s">
        <v>7</v>
      </c>
      <c r="C8" s="4" t="s">
        <v>8</v>
      </c>
      <c r="D8" s="4"/>
      <c r="E8" s="4"/>
      <c r="F8" s="4"/>
    </row>
    <row r="9" spans="2:6" ht="19.5" customHeight="1" x14ac:dyDescent="0.25">
      <c r="B9" s="15" t="s">
        <v>9</v>
      </c>
      <c r="C9" s="4" t="s">
        <v>10</v>
      </c>
      <c r="D9" s="4"/>
      <c r="E9" s="4"/>
      <c r="F9" s="4"/>
    </row>
    <row r="10" spans="2:6" ht="19.5" customHeight="1" x14ac:dyDescent="0.25">
      <c r="B10" s="15" t="s">
        <v>11</v>
      </c>
      <c r="C10" s="3">
        <v>44621</v>
      </c>
      <c r="D10" s="3"/>
      <c r="E10" s="3"/>
      <c r="F10" s="3"/>
    </row>
    <row r="11" spans="2:6" ht="19.5" customHeight="1" x14ac:dyDescent="0.25">
      <c r="B11" s="15" t="s">
        <v>12</v>
      </c>
      <c r="C11" s="4">
        <v>40</v>
      </c>
      <c r="D11" s="4"/>
      <c r="E11" s="4"/>
      <c r="F11" s="4"/>
    </row>
    <row r="12" spans="2:6" ht="19.5" customHeight="1" x14ac:dyDescent="0.25">
      <c r="B12" s="15" t="s">
        <v>13</v>
      </c>
      <c r="C12" s="4">
        <v>30</v>
      </c>
      <c r="D12" s="4"/>
      <c r="E12" s="4"/>
      <c r="F12" s="4"/>
    </row>
    <row r="13" spans="2:6" ht="19.5" customHeight="1" x14ac:dyDescent="0.25">
      <c r="B13" s="15" t="s">
        <v>14</v>
      </c>
      <c r="C13" s="4">
        <v>4</v>
      </c>
      <c r="D13" s="4"/>
      <c r="E13" s="4"/>
      <c r="F13" s="4"/>
    </row>
    <row r="15" spans="2:6" ht="24" customHeight="1" x14ac:dyDescent="0.25">
      <c r="B15" s="5" t="s">
        <v>15</v>
      </c>
      <c r="C15" s="5"/>
      <c r="D15" s="5"/>
      <c r="E15" s="5"/>
      <c r="F15" s="5"/>
    </row>
    <row r="16" spans="2:6" ht="21.75" customHeight="1" x14ac:dyDescent="0.25">
      <c r="B16" s="16" t="s">
        <v>16</v>
      </c>
      <c r="C16" s="16" t="s">
        <v>17</v>
      </c>
      <c r="D16" s="16" t="s">
        <v>18</v>
      </c>
    </row>
    <row r="17" spans="2:6" ht="18" customHeight="1" x14ac:dyDescent="0.25">
      <c r="B17" s="17" t="s">
        <v>19</v>
      </c>
      <c r="C17" s="18">
        <v>0.33333333333333298</v>
      </c>
      <c r="D17" s="19" t="s">
        <v>20</v>
      </c>
    </row>
    <row r="18" spans="2:6" ht="18" customHeight="1" x14ac:dyDescent="0.25">
      <c r="B18" s="17" t="s">
        <v>21</v>
      </c>
      <c r="C18" s="18">
        <v>0.33333333333333298</v>
      </c>
      <c r="D18" s="19" t="s">
        <v>20</v>
      </c>
    </row>
    <row r="19" spans="2:6" ht="18" customHeight="1" x14ac:dyDescent="0.25">
      <c r="B19" s="17" t="s">
        <v>22</v>
      </c>
      <c r="C19" s="18">
        <v>0.33333333333333298</v>
      </c>
      <c r="D19" s="19" t="s">
        <v>20</v>
      </c>
    </row>
    <row r="20" spans="2:6" ht="18" customHeight="1" x14ac:dyDescent="0.25">
      <c r="B20" s="17" t="s">
        <v>23</v>
      </c>
      <c r="C20" s="18">
        <v>0.33333333333333298</v>
      </c>
      <c r="D20" s="19" t="s">
        <v>20</v>
      </c>
    </row>
    <row r="21" spans="2:6" ht="18" customHeight="1" x14ac:dyDescent="0.25">
      <c r="B21" s="17" t="s">
        <v>24</v>
      </c>
      <c r="C21" s="18">
        <v>0.33333333333333298</v>
      </c>
      <c r="D21" s="19" t="s">
        <v>20</v>
      </c>
    </row>
    <row r="22" spans="2:6" ht="18" customHeight="1" x14ac:dyDescent="0.25">
      <c r="B22" s="17" t="s">
        <v>25</v>
      </c>
      <c r="C22" s="18">
        <v>0</v>
      </c>
      <c r="D22" s="19" t="s">
        <v>26</v>
      </c>
    </row>
    <row r="23" spans="2:6" ht="18" customHeight="1" x14ac:dyDescent="0.25">
      <c r="B23" s="17" t="s">
        <v>27</v>
      </c>
      <c r="C23" s="18">
        <v>0</v>
      </c>
      <c r="D23" s="19" t="s">
        <v>26</v>
      </c>
    </row>
    <row r="24" spans="2:6" x14ac:dyDescent="0.25">
      <c r="B24" s="20" t="s">
        <v>28</v>
      </c>
      <c r="C24" s="21">
        <f>SUM(C17:C23)</f>
        <v>1.666666666666665</v>
      </c>
      <c r="D24" s="22"/>
    </row>
    <row r="26" spans="2:6" ht="24" customHeight="1" x14ac:dyDescent="0.25">
      <c r="B26" s="5" t="s">
        <v>29</v>
      </c>
      <c r="C26" s="5"/>
      <c r="D26" s="5"/>
      <c r="E26" s="5"/>
      <c r="F26" s="5"/>
    </row>
    <row r="27" spans="2:6" ht="21.75" customHeight="1" x14ac:dyDescent="0.25">
      <c r="B27" s="16" t="s">
        <v>30</v>
      </c>
      <c r="C27" s="16" t="s">
        <v>31</v>
      </c>
    </row>
    <row r="28" spans="2:6" ht="18" customHeight="1" x14ac:dyDescent="0.25">
      <c r="B28" s="23">
        <v>6</v>
      </c>
      <c r="C28" s="24">
        <v>30</v>
      </c>
    </row>
    <row r="29" spans="2:6" ht="18" customHeight="1" x14ac:dyDescent="0.25">
      <c r="B29" s="23">
        <v>9</v>
      </c>
      <c r="C29" s="24">
        <v>45</v>
      </c>
    </row>
    <row r="31" spans="2:6" ht="24" customHeight="1" x14ac:dyDescent="0.25">
      <c r="B31" s="5" t="s">
        <v>32</v>
      </c>
      <c r="C31" s="5"/>
      <c r="D31" s="5"/>
      <c r="E31" s="5"/>
      <c r="F31" s="5"/>
    </row>
    <row r="32" spans="2:6" ht="21.75" customHeight="1" x14ac:dyDescent="0.25">
      <c r="B32" s="16" t="s">
        <v>33</v>
      </c>
      <c r="C32" s="2" t="s">
        <v>34</v>
      </c>
      <c r="D32" s="2"/>
      <c r="E32" s="2"/>
      <c r="F32" s="2"/>
    </row>
    <row r="33" spans="2:6" ht="18" customHeight="1" x14ac:dyDescent="0.25">
      <c r="B33" s="25">
        <v>46023</v>
      </c>
      <c r="C33" s="1" t="s">
        <v>35</v>
      </c>
      <c r="D33" s="1"/>
      <c r="E33" s="1"/>
      <c r="F33" s="1"/>
    </row>
    <row r="34" spans="2:6" ht="18" customHeight="1" x14ac:dyDescent="0.25">
      <c r="B34" s="25">
        <v>46115</v>
      </c>
      <c r="C34" s="1" t="s">
        <v>36</v>
      </c>
      <c r="D34" s="1"/>
      <c r="E34" s="1"/>
      <c r="F34" s="1"/>
    </row>
    <row r="35" spans="2:6" ht="18" customHeight="1" x14ac:dyDescent="0.25">
      <c r="B35" s="25">
        <v>46118</v>
      </c>
      <c r="C35" s="1" t="s">
        <v>37</v>
      </c>
      <c r="D35" s="1"/>
      <c r="E35" s="1"/>
      <c r="F35" s="1"/>
    </row>
    <row r="36" spans="2:6" ht="18" customHeight="1" x14ac:dyDescent="0.25">
      <c r="B36" s="25">
        <v>46143</v>
      </c>
      <c r="C36" s="1" t="s">
        <v>38</v>
      </c>
      <c r="D36" s="1"/>
      <c r="E36" s="1"/>
      <c r="F36" s="1"/>
    </row>
    <row r="37" spans="2:6" ht="18" customHeight="1" x14ac:dyDescent="0.25">
      <c r="B37" s="25">
        <v>46156</v>
      </c>
      <c r="C37" s="1" t="s">
        <v>39</v>
      </c>
      <c r="D37" s="1"/>
      <c r="E37" s="1"/>
      <c r="F37" s="1"/>
    </row>
    <row r="38" spans="2:6" ht="18" customHeight="1" x14ac:dyDescent="0.25">
      <c r="B38" s="25">
        <v>46167</v>
      </c>
      <c r="C38" s="1" t="s">
        <v>40</v>
      </c>
      <c r="D38" s="1"/>
      <c r="E38" s="1"/>
      <c r="F38" s="1"/>
    </row>
    <row r="39" spans="2:6" ht="18" customHeight="1" x14ac:dyDescent="0.25">
      <c r="B39" s="25">
        <v>46298</v>
      </c>
      <c r="C39" s="1" t="s">
        <v>41</v>
      </c>
      <c r="D39" s="1"/>
      <c r="E39" s="1"/>
      <c r="F39" s="1"/>
    </row>
    <row r="40" spans="2:6" ht="18" customHeight="1" x14ac:dyDescent="0.25">
      <c r="B40" s="25">
        <v>46381</v>
      </c>
      <c r="C40" s="1" t="s">
        <v>42</v>
      </c>
      <c r="D40" s="1"/>
      <c r="E40" s="1"/>
      <c r="F40" s="1"/>
    </row>
    <row r="41" spans="2:6" ht="18" customHeight="1" x14ac:dyDescent="0.25">
      <c r="B41" s="25">
        <v>46382</v>
      </c>
      <c r="C41" s="1" t="s">
        <v>43</v>
      </c>
      <c r="D41" s="1"/>
      <c r="E41" s="1"/>
      <c r="F41" s="1"/>
    </row>
    <row r="43" spans="2:6" ht="19.5" customHeight="1" x14ac:dyDescent="0.25">
      <c r="B43" s="48" t="s">
        <v>44</v>
      </c>
      <c r="C43" s="48"/>
      <c r="D43" s="48"/>
      <c r="E43" s="48"/>
      <c r="F43" s="48"/>
    </row>
  </sheetData>
  <mergeCells count="25">
    <mergeCell ref="C38:F38"/>
    <mergeCell ref="C39:F39"/>
    <mergeCell ref="C40:F40"/>
    <mergeCell ref="C41:F41"/>
    <mergeCell ref="B43:F43"/>
    <mergeCell ref="C33:F33"/>
    <mergeCell ref="C34:F34"/>
    <mergeCell ref="C35:F35"/>
    <mergeCell ref="C36:F36"/>
    <mergeCell ref="C37:F37"/>
    <mergeCell ref="C13:F13"/>
    <mergeCell ref="B15:F15"/>
    <mergeCell ref="B26:F26"/>
    <mergeCell ref="B31:F31"/>
    <mergeCell ref="C32:F32"/>
    <mergeCell ref="C8:F8"/>
    <mergeCell ref="C9:F9"/>
    <mergeCell ref="C10:F10"/>
    <mergeCell ref="C11:F11"/>
    <mergeCell ref="C12:F12"/>
    <mergeCell ref="B2:F2"/>
    <mergeCell ref="B3:F3"/>
    <mergeCell ref="B5:F5"/>
    <mergeCell ref="C6:F6"/>
    <mergeCell ref="C7:F7"/>
  </mergeCells>
  <dataValidations count="1">
    <dataValidation type="list" sqref="D17:D23" xr:uid="{00000000-0002-0000-0000-000000000000}">
      <formula1>"Ja,Nein"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H22"/>
  <sheetViews>
    <sheetView showGridLines="0" zoomScaleNormal="100" workbookViewId="0"/>
  </sheetViews>
  <sheetFormatPr baseColWidth="10" defaultColWidth="8.7109375" defaultRowHeight="15" x14ac:dyDescent="0.25"/>
  <cols>
    <col min="1" max="1" width="2" customWidth="1"/>
    <col min="2" max="2" width="18" customWidth="1"/>
    <col min="3" max="7" width="16" customWidth="1"/>
    <col min="8" max="8" width="20" customWidth="1"/>
    <col min="9" max="9" width="2" customWidth="1"/>
  </cols>
  <sheetData>
    <row r="2" spans="2:8" ht="31.5" customHeight="1" x14ac:dyDescent="0.25">
      <c r="B2" s="14" t="s">
        <v>107</v>
      </c>
      <c r="C2" s="14"/>
      <c r="D2" s="14"/>
      <c r="E2" s="14"/>
      <c r="F2" s="14"/>
      <c r="G2" s="14"/>
      <c r="H2" s="14"/>
    </row>
    <row r="3" spans="2:8" ht="27.75" customHeight="1" x14ac:dyDescent="0.25">
      <c r="B3" s="7" t="s">
        <v>108</v>
      </c>
      <c r="C3" s="7"/>
      <c r="D3" s="7"/>
      <c r="E3" s="7"/>
      <c r="F3" s="7"/>
      <c r="G3" s="7"/>
      <c r="H3" s="7"/>
    </row>
    <row r="5" spans="2:8" ht="30" customHeight="1" x14ac:dyDescent="0.25">
      <c r="B5" s="28" t="s">
        <v>109</v>
      </c>
      <c r="C5" s="28" t="s">
        <v>53</v>
      </c>
      <c r="D5" s="28" t="s">
        <v>54</v>
      </c>
      <c r="E5" s="28" t="s">
        <v>55</v>
      </c>
      <c r="F5" s="28" t="s">
        <v>101</v>
      </c>
      <c r="G5" s="28" t="s">
        <v>110</v>
      </c>
      <c r="H5" s="28" t="s">
        <v>111</v>
      </c>
    </row>
    <row r="6" spans="2:8" ht="19.5" customHeight="1" x14ac:dyDescent="0.25">
      <c r="B6" s="15" t="s">
        <v>112</v>
      </c>
      <c r="C6" s="18">
        <v>7</v>
      </c>
      <c r="D6" s="18">
        <v>7</v>
      </c>
      <c r="E6" s="34" t="str">
        <f t="shared" ref="E6:E17" si="0">IF(OR(C6="",D6=""),"",IF(C6&gt;=D6,TEXT(C6-D6,"[h]:mm"),"-"&amp;TEXT(D6-C6,"[h]:mm")))</f>
        <v>0:00</v>
      </c>
      <c r="F6" s="41">
        <v>0</v>
      </c>
      <c r="G6" s="41">
        <v>0</v>
      </c>
      <c r="H6" s="34" t="str">
        <f>IF(OR(C6="",D6=""),"",IF((C6-D6)&gt;=0,TEXT(C6-D6,"[h]:mm"),"-"&amp;TEXT(D6-C6,"[h]:mm")))</f>
        <v>0:00</v>
      </c>
    </row>
    <row r="7" spans="2:8" ht="19.5" customHeight="1" x14ac:dyDescent="0.25">
      <c r="B7" s="15" t="s">
        <v>113</v>
      </c>
      <c r="C7" s="18">
        <v>6.75</v>
      </c>
      <c r="D7" s="18">
        <v>6.6666666666666696</v>
      </c>
      <c r="E7" s="34" t="str">
        <f t="shared" si="0"/>
        <v>2:00</v>
      </c>
      <c r="F7" s="41">
        <v>3</v>
      </c>
      <c r="G7" s="41">
        <v>0</v>
      </c>
      <c r="H7" s="34" t="str">
        <f>IF(OR(C7="",D7=""),H6,IF((SUM($C$6:C7)-SUM($D$6:D7))&gt;=0,TEXT(SUM($C$6:C7)-SUM($D$6:D7),"[h]:mm"),"-"&amp;TEXT(SUM($D$6:D7)-SUM($C$6:C7),"[h]:mm")))</f>
        <v>2:00</v>
      </c>
    </row>
    <row r="8" spans="2:8" ht="19.5" customHeight="1" x14ac:dyDescent="0.25">
      <c r="B8" s="15" t="s">
        <v>114</v>
      </c>
      <c r="C8" s="42">
        <f>Zeiterfassung!H40</f>
        <v>6.4374999999999991</v>
      </c>
      <c r="D8" s="42">
        <f>Zeiterfassung!I40</f>
        <v>7.666666666666659</v>
      </c>
      <c r="E8" s="34" t="str">
        <f t="shared" si="0"/>
        <v>-29:30</v>
      </c>
      <c r="F8" s="43">
        <f>COUNTIF(Zeiterfassung!G8:G38,"Urlaub")</f>
        <v>5</v>
      </c>
      <c r="G8" s="43">
        <f>COUNTIF(Zeiterfassung!G8:G38,"Krank")</f>
        <v>2</v>
      </c>
      <c r="H8" s="34" t="str">
        <f>IF(OR(C8="",D8=""),H7,IF((SUM($C$6:C8)-SUM($D$6:D8))&gt;=0,TEXT(SUM($C$6:C8)-SUM($D$6:D8),"[h]:mm"),"-"&amp;TEXT(SUM($D$6:D8)-SUM($C$6:C8),"[h]:mm")))</f>
        <v>-27:30</v>
      </c>
    </row>
    <row r="9" spans="2:8" ht="19.5" customHeight="1" x14ac:dyDescent="0.25">
      <c r="B9" s="15" t="s">
        <v>115</v>
      </c>
      <c r="C9" s="18">
        <v>7.0833333333333304</v>
      </c>
      <c r="D9" s="18">
        <v>7.3333333333333304</v>
      </c>
      <c r="E9" s="34" t="str">
        <f t="shared" si="0"/>
        <v>-6:00</v>
      </c>
      <c r="F9" s="41">
        <v>1</v>
      </c>
      <c r="G9" s="41">
        <v>1</v>
      </c>
      <c r="H9" s="34" t="str">
        <f>IF(OR(C9="",D9=""),H8,IF((SUM($C$6:C9)-SUM($D$6:D9))&gt;=0,TEXT(SUM($C$6:C9)-SUM($D$6:D9),"[h]:mm"),"-"&amp;TEXT(SUM($D$6:D9)-SUM($C$6:C9),"[h]:mm")))</f>
        <v>-33:30</v>
      </c>
    </row>
    <row r="10" spans="2:8" ht="19.5" customHeight="1" x14ac:dyDescent="0.25">
      <c r="B10" s="15" t="s">
        <v>116</v>
      </c>
      <c r="C10" s="18">
        <v>6.4583333333333304</v>
      </c>
      <c r="D10" s="18">
        <v>6.6666666666666696</v>
      </c>
      <c r="E10" s="34" t="str">
        <f t="shared" si="0"/>
        <v>-5:00</v>
      </c>
      <c r="F10" s="41">
        <v>2</v>
      </c>
      <c r="G10" s="41">
        <v>0</v>
      </c>
      <c r="H10" s="34" t="str">
        <f>IF(OR(C10="",D10=""),H9,IF((SUM($C$6:C10)-SUM($D$6:D10))&gt;=0,TEXT(SUM($C$6:C10)-SUM($D$6:D10),"[h]:mm"),"-"&amp;TEXT(SUM($D$6:D10)-SUM($C$6:C10),"[h]:mm")))</f>
        <v>-38:30</v>
      </c>
    </row>
    <row r="11" spans="2:8" ht="19.5" customHeight="1" x14ac:dyDescent="0.25">
      <c r="B11" s="15" t="s">
        <v>117</v>
      </c>
      <c r="C11" s="18">
        <v>7.375</v>
      </c>
      <c r="D11" s="18">
        <v>7.3333333333333304</v>
      </c>
      <c r="E11" s="34" t="str">
        <f t="shared" si="0"/>
        <v>1:00</v>
      </c>
      <c r="F11" s="41">
        <v>0</v>
      </c>
      <c r="G11" s="41">
        <v>0</v>
      </c>
      <c r="H11" s="34" t="str">
        <f>IF(OR(C11="",D11=""),H10,IF((SUM($C$6:C11)-SUM($D$6:D11))&gt;=0,TEXT(SUM($C$6:C11)-SUM($D$6:D11),"[h]:mm"),"-"&amp;TEXT(SUM($D$6:D11)-SUM($C$6:C11),"[h]:mm")))</f>
        <v>-37:30</v>
      </c>
    </row>
    <row r="12" spans="2:8" ht="19.5" customHeight="1" x14ac:dyDescent="0.25">
      <c r="B12" s="15" t="s">
        <v>118</v>
      </c>
      <c r="C12" s="18">
        <v>5.8333333333333304</v>
      </c>
      <c r="D12" s="18">
        <v>7.6666666666666696</v>
      </c>
      <c r="E12" s="34" t="str">
        <f t="shared" si="0"/>
        <v>-44:00</v>
      </c>
      <c r="F12" s="41">
        <v>5</v>
      </c>
      <c r="G12" s="41">
        <v>0</v>
      </c>
      <c r="H12" s="34" t="str">
        <f>IF(OR(C12="",D12=""),H11,IF((SUM($C$6:C12)-SUM($D$6:D12))&gt;=0,TEXT(SUM($C$6:C12)-SUM($D$6:D12),"[h]:mm"),"-"&amp;TEXT(SUM($D$6:D12)-SUM($C$6:C12),"[h]:mm")))</f>
        <v>-81:30</v>
      </c>
    </row>
    <row r="13" spans="2:8" ht="19.5" customHeight="1" x14ac:dyDescent="0.25">
      <c r="B13" s="15" t="s">
        <v>119</v>
      </c>
      <c r="C13" s="18">
        <v>4</v>
      </c>
      <c r="D13" s="18">
        <v>7.6666666666666696</v>
      </c>
      <c r="E13" s="34" t="str">
        <f t="shared" si="0"/>
        <v>-88:00</v>
      </c>
      <c r="F13" s="41">
        <v>10</v>
      </c>
      <c r="G13" s="41">
        <v>0</v>
      </c>
      <c r="H13" s="34" t="str">
        <f>IF(OR(C13="",D13=""),H12,IF((SUM($C$6:C13)-SUM($D$6:D13))&gt;=0,TEXT(SUM($C$6:C13)-SUM($D$6:D13),"[h]:mm"),"-"&amp;TEXT(SUM($D$6:D13)-SUM($C$6:C13),"[h]:mm")))</f>
        <v>-169:30</v>
      </c>
    </row>
    <row r="14" spans="2:8" ht="19.5" customHeight="1" x14ac:dyDescent="0.25">
      <c r="B14" s="15" t="s">
        <v>120</v>
      </c>
      <c r="C14" s="18">
        <v>7.2916666666666696</v>
      </c>
      <c r="D14" s="18">
        <v>7.3333333333333304</v>
      </c>
      <c r="E14" s="34" t="str">
        <f t="shared" si="0"/>
        <v>-1:00</v>
      </c>
      <c r="F14" s="41">
        <v>1</v>
      </c>
      <c r="G14" s="41">
        <v>0</v>
      </c>
      <c r="H14" s="34" t="str">
        <f>IF(OR(C14="",D14=""),H13,IF((SUM($C$6:C14)-SUM($D$6:D14))&gt;=0,TEXT(SUM($C$6:C14)-SUM($D$6:D14),"[h]:mm"),"-"&amp;TEXT(SUM($D$6:D14)-SUM($C$6:C14),"[h]:mm")))</f>
        <v>-170:30</v>
      </c>
    </row>
    <row r="15" spans="2:8" ht="19.5" customHeight="1" x14ac:dyDescent="0.25">
      <c r="B15" s="15" t="s">
        <v>121</v>
      </c>
      <c r="C15" s="18">
        <v>7.1666666666666696</v>
      </c>
      <c r="D15" s="18">
        <v>7.3333333333333304</v>
      </c>
      <c r="E15" s="34" t="str">
        <f t="shared" si="0"/>
        <v>-4:00</v>
      </c>
      <c r="F15" s="41">
        <v>0</v>
      </c>
      <c r="G15" s="41">
        <v>1</v>
      </c>
      <c r="H15" s="34" t="str">
        <f>IF(OR(C15="",D15=""),H14,IF((SUM($C$6:C15)-SUM($D$6:D15))&gt;=0,TEXT(SUM($C$6:C15)-SUM($D$6:D15),"[h]:mm"),"-"&amp;TEXT(SUM($D$6:D15)-SUM($C$6:C15),"[h]:mm")))</f>
        <v>-174:30</v>
      </c>
    </row>
    <row r="16" spans="2:8" ht="19.5" customHeight="1" x14ac:dyDescent="0.25">
      <c r="B16" s="15" t="s">
        <v>122</v>
      </c>
      <c r="C16" s="18">
        <v>7</v>
      </c>
      <c r="D16" s="18">
        <v>7</v>
      </c>
      <c r="E16" s="34" t="str">
        <f t="shared" si="0"/>
        <v>0:00</v>
      </c>
      <c r="F16" s="41">
        <v>0</v>
      </c>
      <c r="G16" s="41">
        <v>0</v>
      </c>
      <c r="H16" s="34" t="str">
        <f>IF(OR(C16="",D16=""),H15,IF((SUM($C$6:C16)-SUM($D$6:D16))&gt;=0,TEXT(SUM($C$6:C16)-SUM($D$6:D16),"[h]:mm"),"-"&amp;TEXT(SUM($D$6:D16)-SUM($C$6:C16),"[h]:mm")))</f>
        <v>-174:30</v>
      </c>
    </row>
    <row r="17" spans="2:8" ht="19.5" customHeight="1" x14ac:dyDescent="0.25">
      <c r="B17" s="15" t="s">
        <v>123</v>
      </c>
      <c r="C17" s="18">
        <v>5.8333333333333304</v>
      </c>
      <c r="D17" s="18">
        <v>7</v>
      </c>
      <c r="E17" s="34" t="str">
        <f t="shared" si="0"/>
        <v>-28:00</v>
      </c>
      <c r="F17" s="41">
        <v>4</v>
      </c>
      <c r="G17" s="41">
        <v>0</v>
      </c>
      <c r="H17" s="34" t="str">
        <f>IF(OR(C17="",D17=""),H16,IF((SUM($C$6:C17)-SUM($D$6:D17))&gt;=0,TEXT(SUM($C$6:C17)-SUM($D$6:D17),"[h]:mm"),"-"&amp;TEXT(SUM($D$6:D17)-SUM($C$6:C17),"[h]:mm")))</f>
        <v>-202:30</v>
      </c>
    </row>
    <row r="18" spans="2:8" ht="25.5" customHeight="1" x14ac:dyDescent="0.25">
      <c r="B18" s="44" t="s">
        <v>124</v>
      </c>
      <c r="C18" s="36">
        <f>SUM(C6:C17)</f>
        <v>78.229166666666657</v>
      </c>
      <c r="D18" s="36">
        <f>SUM(D6:D17)</f>
        <v>86.666666666666657</v>
      </c>
      <c r="E18" s="37" t="str">
        <f>IF((C18-D18)&gt;=0,TEXT(C18-D18,"[h]:mm"),"-"&amp;TEXT(D18-C18,"[h]:mm"))</f>
        <v>-202:30</v>
      </c>
      <c r="F18" s="45">
        <f>SUM(F6:F17)</f>
        <v>31</v>
      </c>
      <c r="G18" s="45">
        <f>SUM(G6:G17)</f>
        <v>4</v>
      </c>
      <c r="H18" s="46"/>
    </row>
    <row r="20" spans="2:8" ht="24" customHeight="1" x14ac:dyDescent="0.25">
      <c r="B20" s="9" t="s">
        <v>125</v>
      </c>
      <c r="C20" s="9"/>
      <c r="D20" s="9"/>
      <c r="E20" s="9"/>
      <c r="F20" s="9"/>
      <c r="G20" s="9"/>
      <c r="H20" s="9"/>
    </row>
    <row r="21" spans="2:8" ht="21.75" customHeight="1" x14ac:dyDescent="0.25">
      <c r="B21" s="15" t="s">
        <v>126</v>
      </c>
      <c r="C21" s="38">
        <f>Jahresurlaub+Resturlaub</f>
        <v>34</v>
      </c>
      <c r="D21" s="15" t="s">
        <v>127</v>
      </c>
      <c r="E21" s="38">
        <f>F18</f>
        <v>31</v>
      </c>
      <c r="F21" s="8" t="s">
        <v>128</v>
      </c>
      <c r="G21" s="8"/>
      <c r="H21" s="40">
        <f>IFERROR(C18/COUNTIF(C6:C17,"&gt;0"),0)</f>
        <v>6.5190972222222214</v>
      </c>
    </row>
    <row r="22" spans="2:8" ht="21.75" customHeight="1" x14ac:dyDescent="0.25">
      <c r="B22" s="15" t="s">
        <v>129</v>
      </c>
      <c r="C22" s="38">
        <f>Jahresurlaub+Resturlaub-F18</f>
        <v>3</v>
      </c>
      <c r="D22" s="15" t="s">
        <v>130</v>
      </c>
      <c r="E22" s="38">
        <f>G18</f>
        <v>4</v>
      </c>
      <c r="F22" s="8" t="s">
        <v>131</v>
      </c>
      <c r="G22" s="8"/>
      <c r="H22" s="47" t="str">
        <f>E18</f>
        <v>-202:30</v>
      </c>
    </row>
  </sheetData>
  <mergeCells count="5">
    <mergeCell ref="B2:H2"/>
    <mergeCell ref="B3:H3"/>
    <mergeCell ref="B20:H20"/>
    <mergeCell ref="F21:G21"/>
    <mergeCell ref="F22:G22"/>
  </mergeCells>
  <conditionalFormatting sqref="E6:E17">
    <cfRule type="expression" dxfId="1" priority="2">
      <formula>AND(E6&lt;&gt;"",LEFT(E6,1)="-")</formula>
    </cfRule>
    <cfRule type="expression" dxfId="0" priority="3">
      <formula>AND(E6&lt;&gt;"",LEFT(E6,1)&lt;&gt;"-",E6&lt;&gt;"0:00")</formula>
    </cfRule>
  </conditionalFormatting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10</vt:i4>
      </vt:variant>
    </vt:vector>
  </HeadingPairs>
  <TitlesOfParts>
    <vt:vector size="13" baseType="lpstr">
      <vt:lpstr>Zeiterfassung</vt:lpstr>
      <vt:lpstr>Einstellungen</vt:lpstr>
      <vt:lpstr>Jahresübersicht</vt:lpstr>
      <vt:lpstr>Feiertage</vt:lpstr>
      <vt:lpstr>Jahresurlaub</vt:lpstr>
      <vt:lpstr>MitarbeiterName</vt:lpstr>
      <vt:lpstr>PauseMinuten1</vt:lpstr>
      <vt:lpstr>PauseMinuten2</vt:lpstr>
      <vt:lpstr>PauseSchwelle1</vt:lpstr>
      <vt:lpstr>PauseSchwelle2</vt:lpstr>
      <vt:lpstr>Personalnummer</vt:lpstr>
      <vt:lpstr>Resturlaub</vt:lpstr>
      <vt:lpstr>Wochenstunden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Sergio Jiménez Canales</cp:lastModifiedBy>
  <cp:revision>0</cp:revision>
  <dcterms:created xsi:type="dcterms:W3CDTF">2026-05-31T10:10:40Z</dcterms:created>
  <dcterms:modified xsi:type="dcterms:W3CDTF">2026-05-31T10:13:25Z</dcterms:modified>
  <dc:language>en-US</dc:language>
</cp:coreProperties>
</file>