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Generador\"/>
    </mc:Choice>
  </mc:AlternateContent>
  <xr:revisionPtr revIDLastSave="0" documentId="13_ncr:1_{1A75A663-D358-4754-BACB-19D061ED10B3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Hypothekenrechner" sheetId="1" r:id="rId1"/>
  </sheets>
  <definedNames>
    <definedName name="_xlnm.Print_Area" localSheetId="0">Hypothekenrechner!$A$1:$K$68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3" i="1" l="1"/>
  <c r="C22" i="1"/>
  <c r="C21" i="1"/>
  <c r="C20" i="1"/>
  <c r="F15" i="1"/>
  <c r="F14" i="1"/>
  <c r="F11" i="1"/>
  <c r="F9" i="1"/>
  <c r="F8" i="1"/>
  <c r="F5" i="1"/>
  <c r="F4" i="1"/>
  <c r="C23" i="1" l="1"/>
  <c r="C24" i="1" s="1"/>
  <c r="F33" i="1"/>
  <c r="D33" i="1"/>
  <c r="B33" i="1"/>
  <c r="F13" i="1"/>
  <c r="F7" i="1"/>
  <c r="F6" i="1"/>
  <c r="C25" i="1" l="1"/>
  <c r="F10" i="1"/>
  <c r="I33" i="1"/>
  <c r="E33" i="1"/>
  <c r="G33" i="1" s="1"/>
  <c r="H33" i="1" l="1"/>
  <c r="C34" i="1" s="1"/>
  <c r="J33" i="1"/>
  <c r="K33" i="1" s="1"/>
  <c r="B34" i="1" l="1"/>
  <c r="F34" i="1"/>
  <c r="D34" i="1"/>
  <c r="E34" i="1" l="1"/>
  <c r="I34" i="1"/>
  <c r="H34" i="1" l="1"/>
  <c r="C35" i="1" s="1"/>
  <c r="J34" i="1"/>
  <c r="K34" i="1" s="1"/>
  <c r="G34" i="1"/>
  <c r="D35" i="1" l="1"/>
  <c r="F35" i="1"/>
  <c r="B35" i="1"/>
  <c r="I35" i="1" l="1"/>
  <c r="E35" i="1"/>
  <c r="G35" i="1" l="1"/>
  <c r="H35" i="1"/>
  <c r="C36" i="1" s="1"/>
  <c r="J35" i="1"/>
  <c r="K35" i="1" s="1"/>
  <c r="D36" i="1" l="1"/>
  <c r="F36" i="1"/>
  <c r="B36" i="1"/>
  <c r="E36" i="1" l="1"/>
  <c r="I36" i="1"/>
  <c r="H36" i="1"/>
  <c r="C37" i="1" s="1"/>
  <c r="J36" i="1"/>
  <c r="K36" i="1" s="1"/>
  <c r="G36" i="1"/>
  <c r="D37" i="1" l="1"/>
  <c r="F37" i="1"/>
  <c r="B37" i="1"/>
  <c r="E37" i="1" l="1"/>
  <c r="I37" i="1"/>
  <c r="G37" i="1" l="1"/>
  <c r="H37" i="1"/>
  <c r="C38" i="1" s="1"/>
  <c r="J37" i="1"/>
  <c r="K37" i="1" s="1"/>
  <c r="F38" i="1" l="1"/>
  <c r="D38" i="1"/>
  <c r="B38" i="1"/>
  <c r="I38" i="1" l="1"/>
  <c r="E38" i="1"/>
  <c r="G38" i="1" l="1"/>
  <c r="J38" i="1"/>
  <c r="K38" i="1" s="1"/>
  <c r="H38" i="1"/>
  <c r="C39" i="1" s="1"/>
  <c r="D39" i="1" l="1"/>
  <c r="B39" i="1"/>
  <c r="F39" i="1"/>
  <c r="E39" i="1" l="1"/>
  <c r="G39" i="1" s="1"/>
  <c r="I39" i="1"/>
  <c r="J39" i="1" l="1"/>
  <c r="K39" i="1" s="1"/>
  <c r="H39" i="1"/>
  <c r="C40" i="1" s="1"/>
  <c r="F40" i="1" l="1"/>
  <c r="B40" i="1"/>
  <c r="D40" i="1"/>
  <c r="E40" i="1" l="1"/>
  <c r="I40" i="1"/>
  <c r="H40" i="1" l="1"/>
  <c r="C41" i="1" s="1"/>
  <c r="J40" i="1"/>
  <c r="K40" i="1" s="1"/>
  <c r="G40" i="1"/>
  <c r="D41" i="1" l="1"/>
  <c r="F41" i="1"/>
  <c r="B41" i="1"/>
  <c r="E41" i="1" l="1"/>
  <c r="I41" i="1"/>
  <c r="J41" i="1" l="1"/>
  <c r="K41" i="1" s="1"/>
  <c r="H41" i="1"/>
  <c r="C42" i="1" s="1"/>
  <c r="G41" i="1"/>
  <c r="E42" i="1" l="1"/>
  <c r="I42" i="1"/>
  <c r="D42" i="1"/>
  <c r="F42" i="1"/>
  <c r="B42" i="1"/>
  <c r="G42" i="1" l="1"/>
  <c r="H42" i="1"/>
  <c r="C43" i="1" s="1"/>
  <c r="J42" i="1"/>
  <c r="K42" i="1" s="1"/>
  <c r="D43" i="1" l="1"/>
  <c r="F43" i="1"/>
  <c r="B43" i="1"/>
  <c r="I43" i="1" l="1"/>
  <c r="E43" i="1"/>
  <c r="J43" i="1" l="1"/>
  <c r="K43" i="1" s="1"/>
  <c r="H43" i="1"/>
  <c r="C44" i="1" s="1"/>
  <c r="G43" i="1"/>
  <c r="B44" i="1" l="1"/>
  <c r="D44" i="1"/>
  <c r="F44" i="1"/>
  <c r="I44" i="1" l="1"/>
  <c r="E44" i="1"/>
  <c r="J44" i="1" l="1"/>
  <c r="K44" i="1" s="1"/>
  <c r="H44" i="1"/>
  <c r="C45" i="1" s="1"/>
  <c r="G44" i="1"/>
  <c r="D45" i="1" l="1"/>
  <c r="F45" i="1"/>
  <c r="B45" i="1"/>
  <c r="E45" i="1" l="1"/>
  <c r="I45" i="1"/>
  <c r="J45" i="1" l="1"/>
  <c r="K45" i="1" s="1"/>
  <c r="H45" i="1"/>
  <c r="C46" i="1" s="1"/>
  <c r="G45" i="1"/>
  <c r="D46" i="1" l="1"/>
  <c r="E46" i="1" s="1"/>
  <c r="F46" i="1"/>
  <c r="I46" i="1"/>
  <c r="B46" i="1"/>
  <c r="G46" i="1" l="1"/>
  <c r="H46" i="1"/>
  <c r="C47" i="1" s="1"/>
  <c r="J46" i="1"/>
  <c r="K46" i="1" s="1"/>
  <c r="B47" i="1" l="1"/>
  <c r="F47" i="1"/>
  <c r="D47" i="1"/>
  <c r="E47" i="1" l="1"/>
  <c r="I47" i="1"/>
  <c r="G47" i="1" l="1"/>
  <c r="J47" i="1"/>
  <c r="K47" i="1" s="1"/>
  <c r="H47" i="1"/>
  <c r="C48" i="1" s="1"/>
  <c r="B48" i="1" l="1"/>
  <c r="F48" i="1"/>
  <c r="D48" i="1"/>
  <c r="I48" i="1" l="1"/>
  <c r="E48" i="1"/>
  <c r="J48" i="1" l="1"/>
  <c r="K48" i="1" s="1"/>
  <c r="H48" i="1"/>
  <c r="C49" i="1" s="1"/>
  <c r="G48" i="1"/>
  <c r="B49" i="1" l="1"/>
  <c r="F49" i="1"/>
  <c r="D49" i="1"/>
  <c r="I49" i="1" l="1"/>
  <c r="E49" i="1"/>
  <c r="J49" i="1"/>
  <c r="K49" i="1" s="1"/>
  <c r="G49" i="1" l="1"/>
  <c r="H49" i="1"/>
  <c r="C50" i="1" s="1"/>
  <c r="B50" i="1" l="1"/>
  <c r="F50" i="1"/>
  <c r="D50" i="1"/>
  <c r="E50" i="1" l="1"/>
  <c r="I50" i="1"/>
  <c r="H50" i="1"/>
  <c r="C51" i="1" s="1"/>
  <c r="G50" i="1" l="1"/>
  <c r="J50" i="1"/>
  <c r="K50" i="1" s="1"/>
  <c r="B51" i="1"/>
  <c r="F51" i="1"/>
  <c r="D51" i="1"/>
  <c r="I51" i="1" l="1"/>
  <c r="E51" i="1"/>
  <c r="G51" i="1" s="1"/>
  <c r="H51" i="1" l="1"/>
  <c r="C52" i="1" s="1"/>
  <c r="J51" i="1"/>
  <c r="K51" i="1" s="1"/>
  <c r="B52" i="1" l="1"/>
  <c r="F52" i="1"/>
  <c r="D52" i="1"/>
  <c r="E52" i="1" l="1"/>
  <c r="G52" i="1" s="1"/>
  <c r="I52" i="1"/>
  <c r="J52" i="1" l="1"/>
  <c r="K52" i="1" s="1"/>
  <c r="H52" i="1"/>
  <c r="C53" i="1" s="1"/>
  <c r="B53" i="1" l="1"/>
  <c r="F53" i="1"/>
  <c r="D53" i="1"/>
  <c r="E53" i="1" l="1"/>
  <c r="G53" i="1" s="1"/>
  <c r="I53" i="1"/>
  <c r="H53" i="1" l="1"/>
  <c r="C54" i="1" s="1"/>
  <c r="J53" i="1"/>
  <c r="K53" i="1" s="1"/>
  <c r="B54" i="1" l="1"/>
  <c r="F54" i="1"/>
  <c r="D54" i="1"/>
  <c r="E54" i="1" l="1"/>
  <c r="G54" i="1" s="1"/>
  <c r="I54" i="1"/>
  <c r="J54" i="1" l="1"/>
  <c r="K54" i="1" s="1"/>
  <c r="H54" i="1"/>
  <c r="C55" i="1" s="1"/>
  <c r="B55" i="1" l="1"/>
  <c r="F55" i="1"/>
  <c r="D55" i="1"/>
  <c r="I55" i="1" l="1"/>
  <c r="E55" i="1"/>
  <c r="G55" i="1" s="1"/>
  <c r="H55" i="1" l="1"/>
  <c r="C56" i="1" s="1"/>
  <c r="J55" i="1"/>
  <c r="K55" i="1" s="1"/>
  <c r="B56" i="1" l="1"/>
  <c r="F56" i="1"/>
  <c r="D56" i="1"/>
  <c r="I56" i="1" l="1"/>
  <c r="E56" i="1"/>
  <c r="G56" i="1" s="1"/>
  <c r="H56" i="1" l="1"/>
  <c r="C57" i="1" s="1"/>
  <c r="J56" i="1"/>
  <c r="K56" i="1" s="1"/>
  <c r="B57" i="1" l="1"/>
  <c r="F57" i="1"/>
  <c r="D57" i="1"/>
  <c r="I57" i="1" l="1"/>
  <c r="E57" i="1"/>
  <c r="G57" i="1" s="1"/>
  <c r="H57" i="1" l="1"/>
  <c r="C58" i="1" s="1"/>
  <c r="J57" i="1"/>
  <c r="K57" i="1" s="1"/>
  <c r="B58" i="1" l="1"/>
  <c r="F58" i="1"/>
  <c r="D58" i="1"/>
  <c r="I58" i="1" l="1"/>
  <c r="E58" i="1"/>
  <c r="G58" i="1" s="1"/>
  <c r="H58" i="1" l="1"/>
  <c r="C59" i="1" s="1"/>
  <c r="J58" i="1"/>
  <c r="K58" i="1" s="1"/>
  <c r="B59" i="1" l="1"/>
  <c r="F59" i="1"/>
  <c r="D59" i="1"/>
  <c r="I59" i="1" l="1"/>
  <c r="E59" i="1"/>
  <c r="G59" i="1" s="1"/>
  <c r="H59" i="1" l="1"/>
  <c r="C60" i="1" s="1"/>
  <c r="J59" i="1"/>
  <c r="K59" i="1" s="1"/>
  <c r="B60" i="1" l="1"/>
  <c r="F60" i="1"/>
  <c r="D60" i="1"/>
  <c r="I60" i="1" l="1"/>
  <c r="E60" i="1"/>
  <c r="G60" i="1" s="1"/>
  <c r="H60" i="1" l="1"/>
  <c r="C61" i="1" s="1"/>
  <c r="J60" i="1"/>
  <c r="K60" i="1" s="1"/>
  <c r="B61" i="1" l="1"/>
  <c r="F61" i="1"/>
  <c r="D61" i="1"/>
  <c r="I61" i="1" l="1"/>
  <c r="E61" i="1"/>
  <c r="G61" i="1" s="1"/>
  <c r="J61" i="1" l="1"/>
  <c r="K61" i="1" s="1"/>
  <c r="H61" i="1"/>
  <c r="C62" i="1" s="1"/>
  <c r="B62" i="1" l="1"/>
  <c r="F62" i="1"/>
  <c r="D62" i="1"/>
  <c r="I62" i="1" l="1"/>
  <c r="E62" i="1"/>
  <c r="G62" i="1" s="1"/>
  <c r="J62" i="1" l="1"/>
  <c r="K62" i="1" s="1"/>
  <c r="H62" i="1"/>
  <c r="C63" i="1" s="1"/>
  <c r="B63" i="1" l="1"/>
  <c r="F63" i="1"/>
  <c r="D63" i="1"/>
  <c r="I63" i="1" l="1"/>
  <c r="E63" i="1"/>
  <c r="G63" i="1" s="1"/>
  <c r="H63" i="1" l="1"/>
  <c r="C64" i="1" s="1"/>
  <c r="J63" i="1"/>
  <c r="K63" i="1" s="1"/>
  <c r="B64" i="1" l="1"/>
  <c r="F64" i="1"/>
  <c r="D64" i="1"/>
  <c r="I64" i="1" l="1"/>
  <c r="E64" i="1"/>
  <c r="G64" i="1" s="1"/>
  <c r="J64" i="1" l="1"/>
  <c r="K64" i="1" s="1"/>
  <c r="H64" i="1"/>
  <c r="C65" i="1" s="1"/>
  <c r="B65" i="1" l="1"/>
  <c r="F65" i="1"/>
  <c r="D65" i="1"/>
  <c r="I65" i="1" l="1"/>
  <c r="E65" i="1"/>
  <c r="G65" i="1" s="1"/>
  <c r="J65" i="1" l="1"/>
  <c r="K65" i="1" s="1"/>
  <c r="H65" i="1"/>
  <c r="C66" i="1" s="1"/>
  <c r="B66" i="1" l="1"/>
  <c r="F66" i="1"/>
  <c r="D66" i="1"/>
  <c r="I66" i="1" l="1"/>
  <c r="E66" i="1"/>
  <c r="G66" i="1" s="1"/>
  <c r="J66" i="1" l="1"/>
  <c r="K66" i="1" s="1"/>
  <c r="H66" i="1"/>
  <c r="C67" i="1" s="1"/>
  <c r="B67" i="1" l="1"/>
  <c r="F67" i="1"/>
  <c r="F68" i="1" s="1"/>
  <c r="D67" i="1"/>
  <c r="I67" i="1" s="1"/>
  <c r="D68" i="1" l="1"/>
  <c r="E67" i="1"/>
  <c r="G67" i="1" s="1"/>
  <c r="G68" i="1" s="1"/>
  <c r="H67" i="1" l="1"/>
  <c r="J67" i="1"/>
  <c r="K67" i="1" s="1"/>
  <c r="E68" i="1"/>
</calcChain>
</file>

<file path=xl/sharedStrings.xml><?xml version="1.0" encoding="utf-8"?>
<sst xmlns="http://schemas.openxmlformats.org/spreadsheetml/2006/main" count="49" uniqueCount="49">
  <si>
    <t>🏠  Hypothekenrechner mit Sondertilgung</t>
  </si>
  <si>
    <t>📋  Darlehensdaten (Eingaben)</t>
  </si>
  <si>
    <t>📊  Ergebnisübersicht</t>
  </si>
  <si>
    <t>Darlehensbetrag (€)</t>
  </si>
  <si>
    <t>Monatliche Rate (Annuität)</t>
  </si>
  <si>
    <t>Sollzinssatz (% p.a.)</t>
  </si>
  <si>
    <t>Monatl. Zins (Monat 1)</t>
  </si>
  <si>
    <t>Anfängl. Tilgung (% p.a.)</t>
  </si>
  <si>
    <t>Monatl. Tilgung (Monat 1)</t>
  </si>
  <si>
    <t>Zinsbindung (Jahre)</t>
  </si>
  <si>
    <t>Laufzeit OHNE Sondertilgung</t>
  </si>
  <si>
    <t>Darlehensbeginn (Jahr)</t>
  </si>
  <si>
    <t>Max. Sondertilgung/Jahr (€)</t>
  </si>
  <si>
    <t>Max. Sondertilgung/Jahr (%)</t>
  </si>
  <si>
    <t>Effektivzins (Näherungswert)</t>
  </si>
  <si>
    <t>Sondertilgung geplant (€/Jahr)</t>
  </si>
  <si>
    <t>Eigenkapitalquote</t>
  </si>
  <si>
    <t>Darlehensbetrag / Kaufpreis</t>
  </si>
  <si>
    <t>🏦  Immobilie &amp; Nebenkosten</t>
  </si>
  <si>
    <t>💡  Sondertilgungs-Szenario</t>
  </si>
  <si>
    <t>Kaufpreis Immobilie (€)</t>
  </si>
  <si>
    <t>Mit Sondertilgung: Jahresrate (€)</t>
  </si>
  <si>
    <t>Eigenkapital (€)</t>
  </si>
  <si>
    <t>Max. erlaubte Sondertilgung (€)</t>
  </si>
  <si>
    <t>Grunderwerbsteuer (%)</t>
  </si>
  <si>
    <t>Sondertilgung innerhalb Limit?</t>
  </si>
  <si>
    <t>Notar &amp; Grundbuch (%)</t>
  </si>
  <si>
    <t>Maklercourtage (%)</t>
  </si>
  <si>
    <t>🧮  Kaufnebenkosten</t>
  </si>
  <si>
    <t>Grunderwerbsteuer (€)</t>
  </si>
  <si>
    <t>Notar &amp; Grundbuch (€)</t>
  </si>
  <si>
    <t>Maklercourtage (€)</t>
  </si>
  <si>
    <t>Gesamte Nebenkosten (€)</t>
  </si>
  <si>
    <t>Gesamtinvestition (€)</t>
  </si>
  <si>
    <t>Eigenkapitalquote (%)</t>
  </si>
  <si>
    <t>⚠️  Wichtige Hinweise: Die monatliche Rate = (Zinssatz + anfängl. Tilgung) × Darlehensbetrag / 12. Sondertilgungen bis zu 5 % des Darlehensbetrags/Jahr sind bei vielen Banken kostenfrei – bitte prüfen Sie Ihren Kreditvertrag. Der Tilgungsplan zeigt die jährliche Entwicklung. Blau markierte Felder sind Eingabefelder. Grüne Felder zeigen berechnete Ergebnisse.</t>
  </si>
  <si>
    <t>📅  Jährlicher Tilgungsplan mit Sondertilgung</t>
  </si>
  <si>
    <t>#</t>
  </si>
  <si>
    <t>Jahr</t>
  </si>
  <si>
    <t>Restschuld
Beginn (€)</t>
  </si>
  <si>
    <t>Jahreszins
(€)</t>
  </si>
  <si>
    <t>Jahres-
tilgung (€)</t>
  </si>
  <si>
    <t>Sonder-
tilgung (€)</t>
  </si>
  <si>
    <t>Gesamt-
zahlung (€)</t>
  </si>
  <si>
    <t>Restschuld
Ende (€)</t>
  </si>
  <si>
    <t>Kum.
Zinsen (€)</t>
  </si>
  <si>
    <t>Kum.
Tilgung (€)</t>
  </si>
  <si>
    <t>Tilgungs-
fort. %</t>
  </si>
  <si>
    <t>∑ 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</si>
</sst>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€&quot;;\(#,##0.00&quot; €)&quot;;\-"/>
    <numFmt numFmtId="165" formatCode="0.0&quot; Jahre&quot;"/>
    <numFmt numFmtId="166" formatCode="0.0%"/>
  </numFmts>
  <fonts count="19" x14ac:knownFonts="1">
    <font>
      <sz val="11"/>
      <color theme="1"/>
      <name val="Calibri"/>
      <family val="2"/>
      <charset val="1"/>
    </font>
    <font>
      <b/>
      <sz val="20"/>
      <color rgb="FFFFFFFF"/>
      <name val="Arial"/>
      <charset val="1"/>
    </font>
    <font>
      <b/>
      <sz val="11"/>
      <color rgb="FF1F4E79"/>
      <name val="Arial"/>
      <charset val="1"/>
    </font>
    <font>
      <sz val="10"/>
      <color rgb="FF2C3E50"/>
      <name val="Arial"/>
      <charset val="1"/>
    </font>
    <font>
      <b/>
      <sz val="10"/>
      <color rgb="FF0000FF"/>
      <name val="Arial"/>
      <charset val="1"/>
    </font>
    <font>
      <b/>
      <sz val="10"/>
      <color rgb="FF1A5632"/>
      <name val="Arial"/>
      <charset val="1"/>
    </font>
    <font>
      <sz val="10"/>
      <color rgb="FF1A5632"/>
      <name val="Arial"/>
      <charset val="1"/>
    </font>
    <font>
      <b/>
      <sz val="10"/>
      <color rgb="FF1A5276"/>
      <name val="Arial"/>
      <charset val="1"/>
    </font>
    <font>
      <b/>
      <sz val="13"/>
      <color rgb="FFFFFFFF"/>
      <name val="Arial"/>
      <charset val="1"/>
    </font>
    <font>
      <b/>
      <sz val="9"/>
      <color rgb="FFFFFFFF"/>
      <name val="Arial"/>
      <charset val="1"/>
    </font>
    <font>
      <sz val="8"/>
      <color rgb="FFAAAAAA"/>
      <name val="Arial"/>
      <charset val="1"/>
    </font>
    <font>
      <b/>
      <sz val="9"/>
      <color rgb="FF1F4E79"/>
      <name val="Arial"/>
      <charset val="1"/>
    </font>
    <font>
      <sz val="9"/>
      <color rgb="FF000000"/>
      <name val="Arial"/>
      <charset val="1"/>
    </font>
    <font>
      <sz val="9"/>
      <color rgb="FFC0392B"/>
      <name val="Arial"/>
      <charset val="1"/>
    </font>
    <font>
      <sz val="9"/>
      <color rgb="FF1A5632"/>
      <name val="Arial"/>
      <charset val="1"/>
    </font>
    <font>
      <b/>
      <sz val="9"/>
      <color rgb="FF0000FF"/>
      <name val="Arial"/>
      <charset val="1"/>
    </font>
    <font>
      <b/>
      <sz val="9"/>
      <color rgb="FF7D3C98"/>
      <name val="Arial"/>
      <charset val="1"/>
    </font>
    <font>
      <b/>
      <sz val="10"/>
      <color rgb="FFFFFFFF"/>
      <name val="Arial"/>
      <charset val="1"/>
    </font>
    <font>
      <i/>
      <sz val="8"/>
      <color rgb="FF7D660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1F4E79"/>
        <bgColor rgb="FF1A5276"/>
      </patternFill>
    </fill>
    <fill>
      <patternFill patternType="solid">
        <fgColor rgb="FFD6E4F0"/>
        <bgColor rgb="FFD9D9D9"/>
      </patternFill>
    </fill>
    <fill>
      <patternFill patternType="solid">
        <fgColor rgb="FFEBF5FB"/>
        <bgColor rgb="FFE8F8F5"/>
      </patternFill>
    </fill>
    <fill>
      <patternFill patternType="solid">
        <fgColor rgb="FFE8F8F5"/>
        <bgColor rgb="FFEBF5FB"/>
      </patternFill>
    </fill>
    <fill>
      <patternFill patternType="solid">
        <fgColor rgb="FFFFF3CD"/>
        <bgColor rgb="FFF2F9FF"/>
      </patternFill>
    </fill>
    <fill>
      <patternFill patternType="solid">
        <fgColor rgb="FF2E6DA4"/>
        <bgColor rgb="FF1A5276"/>
      </patternFill>
    </fill>
    <fill>
      <patternFill patternType="solid">
        <fgColor rgb="FFFFFFFF"/>
        <bgColor rgb="FFF2F9FF"/>
      </patternFill>
    </fill>
    <fill>
      <patternFill patternType="solid">
        <fgColor rgb="FFF2F9FF"/>
        <bgColor rgb="FFEBF5FB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2E6DA4"/>
      </bottom>
      <diagonal/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 indent="1"/>
    </xf>
    <xf numFmtId="164" fontId="4" fillId="4" borderId="2" xfId="0" applyNumberFormat="1" applyFont="1" applyFill="1" applyBorder="1" applyAlignment="1">
      <alignment horizontal="right" vertical="center"/>
    </xf>
    <xf numFmtId="164" fontId="5" fillId="5" borderId="2" xfId="0" applyNumberFormat="1" applyFont="1" applyFill="1" applyBorder="1" applyAlignment="1">
      <alignment horizontal="right" vertical="center"/>
    </xf>
    <xf numFmtId="10" fontId="4" fillId="4" borderId="2" xfId="0" applyNumberFormat="1" applyFont="1" applyFill="1" applyBorder="1" applyAlignment="1">
      <alignment horizontal="right" vertical="center"/>
    </xf>
    <xf numFmtId="164" fontId="6" fillId="5" borderId="2" xfId="0" applyNumberFormat="1" applyFont="1" applyFill="1" applyBorder="1" applyAlignment="1">
      <alignment horizontal="right" vertical="center"/>
    </xf>
    <xf numFmtId="3" fontId="4" fillId="4" borderId="2" xfId="0" applyNumberFormat="1" applyFont="1" applyFill="1" applyBorder="1" applyAlignment="1">
      <alignment horizontal="right" vertical="center"/>
    </xf>
    <xf numFmtId="165" fontId="6" fillId="5" borderId="2" xfId="0" applyNumberFormat="1" applyFont="1" applyFill="1" applyBorder="1" applyAlignment="1">
      <alignment horizontal="right" vertical="center"/>
    </xf>
    <xf numFmtId="10" fontId="6" fillId="5" borderId="2" xfId="0" applyNumberFormat="1" applyFont="1" applyFill="1" applyBorder="1" applyAlignment="1">
      <alignment horizontal="right" vertical="center"/>
    </xf>
    <xf numFmtId="164" fontId="5" fillId="5" borderId="2" xfId="0" applyNumberFormat="1" applyFont="1" applyFill="1" applyBorder="1"/>
    <xf numFmtId="164" fontId="6" fillId="5" borderId="2" xfId="0" applyNumberFormat="1" applyFont="1" applyFill="1" applyBorder="1"/>
    <xf numFmtId="0" fontId="7" fillId="5" borderId="2" xfId="0" applyFont="1" applyFill="1" applyBorder="1"/>
    <xf numFmtId="0" fontId="9" fillId="7" borderId="2" xfId="0" applyFont="1" applyFill="1" applyBorder="1" applyAlignment="1">
      <alignment horizontal="center" vertical="center" wrapText="1"/>
    </xf>
    <xf numFmtId="0" fontId="10" fillId="8" borderId="0" xfId="0" applyFont="1" applyFill="1" applyAlignment="1">
      <alignment horizontal="center" vertical="center"/>
    </xf>
    <xf numFmtId="1" fontId="11" fillId="8" borderId="2" xfId="0" applyNumberFormat="1" applyFont="1" applyFill="1" applyBorder="1" applyAlignment="1">
      <alignment horizontal="center" vertical="center"/>
    </xf>
    <xf numFmtId="164" fontId="12" fillId="8" borderId="2" xfId="0" applyNumberFormat="1" applyFont="1" applyFill="1" applyBorder="1" applyAlignment="1">
      <alignment horizontal="right" vertical="center"/>
    </xf>
    <xf numFmtId="164" fontId="13" fillId="8" borderId="2" xfId="0" applyNumberFormat="1" applyFont="1" applyFill="1" applyBorder="1" applyAlignment="1">
      <alignment horizontal="right" vertical="center"/>
    </xf>
    <xf numFmtId="164" fontId="14" fillId="8" borderId="2" xfId="0" applyNumberFormat="1" applyFont="1" applyFill="1" applyBorder="1" applyAlignment="1">
      <alignment horizontal="right" vertical="center"/>
    </xf>
    <xf numFmtId="164" fontId="15" fillId="4" borderId="2" xfId="0" applyNumberFormat="1" applyFont="1" applyFill="1" applyBorder="1" applyAlignment="1">
      <alignment horizontal="right" vertical="center"/>
    </xf>
    <xf numFmtId="164" fontId="16" fillId="8" borderId="2" xfId="0" applyNumberFormat="1" applyFont="1" applyFill="1" applyBorder="1" applyAlignment="1">
      <alignment horizontal="right" vertical="center"/>
    </xf>
    <xf numFmtId="166" fontId="12" fillId="8" borderId="2" xfId="0" applyNumberFormat="1" applyFont="1" applyFill="1" applyBorder="1" applyAlignment="1">
      <alignment horizontal="right" vertical="center"/>
    </xf>
    <xf numFmtId="0" fontId="10" fillId="9" borderId="0" xfId="0" applyFont="1" applyFill="1" applyAlignment="1">
      <alignment horizontal="center" vertical="center"/>
    </xf>
    <xf numFmtId="1" fontId="11" fillId="9" borderId="2" xfId="0" applyNumberFormat="1" applyFont="1" applyFill="1" applyBorder="1" applyAlignment="1">
      <alignment horizontal="center" vertical="center"/>
    </xf>
    <xf numFmtId="164" fontId="12" fillId="9" borderId="2" xfId="0" applyNumberFormat="1" applyFont="1" applyFill="1" applyBorder="1" applyAlignment="1">
      <alignment horizontal="right" vertical="center"/>
    </xf>
    <xf numFmtId="164" fontId="13" fillId="9" borderId="2" xfId="0" applyNumberFormat="1" applyFont="1" applyFill="1" applyBorder="1" applyAlignment="1">
      <alignment horizontal="right" vertical="center"/>
    </xf>
    <xf numFmtId="164" fontId="14" fillId="9" borderId="2" xfId="0" applyNumberFormat="1" applyFont="1" applyFill="1" applyBorder="1" applyAlignment="1">
      <alignment horizontal="right" vertical="center"/>
    </xf>
    <xf numFmtId="164" fontId="16" fillId="9" borderId="2" xfId="0" applyNumberFormat="1" applyFont="1" applyFill="1" applyBorder="1" applyAlignment="1">
      <alignment horizontal="right" vertical="center"/>
    </xf>
    <xf numFmtId="166" fontId="12" fillId="9" borderId="2" xfId="0" applyNumberFormat="1" applyFont="1" applyFill="1" applyBorder="1" applyAlignment="1">
      <alignment horizontal="right" vertical="center"/>
    </xf>
    <xf numFmtId="0" fontId="0" fillId="2" borderId="0" xfId="0" applyFill="1"/>
    <xf numFmtId="164" fontId="17" fillId="2" borderId="0" xfId="0" applyNumberFormat="1" applyFont="1" applyFill="1" applyAlignment="1">
      <alignment horizontal="right" vertical="center"/>
    </xf>
    <xf numFmtId="0" fontId="18" fillId="6" borderId="0" xfId="0" applyFont="1" applyFill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D6608"/>
      <rgbColor rgb="FF800080"/>
      <rgbColor rgb="FF1A5276"/>
      <rgbColor rgb="FFBDBDBD"/>
      <rgbColor rgb="FF878787"/>
      <rgbColor rgb="FF9999FF"/>
      <rgbColor rgb="FF7D3C98"/>
      <rgbColor rgb="FFFFF3CD"/>
      <rgbColor rgb="FFE8F8F5"/>
      <rgbColor rgb="FF660066"/>
      <rgbColor rgb="FFFF8080"/>
      <rgbColor rgb="FF2E6DA4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5FB"/>
      <rgbColor rgb="FFD6E4F0"/>
      <rgbColor rgb="FFF2F9FF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0D2D50"/>
      <rgbColor rgb="FF339966"/>
      <rgbColor rgb="FF003300"/>
      <rgbColor rgb="FF1A5632"/>
      <rgbColor rgb="FFC0392B"/>
      <rgbColor rgb="FF993366"/>
      <rgbColor rgb="FF1F4E79"/>
      <rgbColor rgb="FF2C3E5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BFFEB"/>
      <color rgb="FFCC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 rot="0"/>
          <a:lstStyle/>
          <a:p>
            <a:pPr>
              <a:defRPr sz="13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de-DE" sz="1300" b="1" strike="noStrike" spc="-1">
                <a:solidFill>
                  <a:srgbClr val="000000"/>
                </a:solidFill>
                <a:latin typeface="Calibri"/>
              </a:rPr>
              <a:t>Restschuld- &amp; Zinsentwicklung über die Laufzeit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Hypothekenrechner!$H$32</c:f>
              <c:strCache>
                <c:ptCount val="1"/>
                <c:pt idx="0">
                  <c:v>Restschuld
Ende (€)</c:v>
                </c:pt>
              </c:strCache>
            </c:strRef>
          </c:tx>
          <c:spPr>
            <a:ln w="28080">
              <a:solidFill>
                <a:srgbClr val="7D3C98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Hypothekenrechner!$B$33:$B$67</c:f>
              <c:numCache>
                <c:formatCode>0</c:formatCode>
                <c:ptCount val="35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  <c:pt idx="21">
                  <c:v>2046</c:v>
                </c:pt>
                <c:pt idx="22">
                  <c:v>2047</c:v>
                </c:pt>
                <c:pt idx="23">
                  <c:v>2048</c:v>
                </c:pt>
                <c:pt idx="24">
                  <c:v>2049</c:v>
                </c:pt>
                <c:pt idx="25">
                  <c:v>2050</c:v>
                </c:pt>
                <c:pt idx="26">
                  <c:v>2051</c:v>
                </c:pt>
                <c:pt idx="27">
                  <c:v>2052</c:v>
                </c:pt>
                <c:pt idx="28">
                  <c:v>2053</c:v>
                </c:pt>
                <c:pt idx="29">
                  <c:v>2054</c:v>
                </c:pt>
                <c:pt idx="30">
                  <c:v>2055</c:v>
                </c:pt>
                <c:pt idx="31">
                  <c:v>2056</c:v>
                </c:pt>
                <c:pt idx="32">
                  <c:v>2057</c:v>
                </c:pt>
                <c:pt idx="33">
                  <c:v>2058</c:v>
                </c:pt>
                <c:pt idx="34">
                  <c:v>2059</c:v>
                </c:pt>
              </c:numCache>
            </c:numRef>
          </c:cat>
          <c:val>
            <c:numRef>
              <c:f>Hypothekenrechner!$H$33:$H$67</c:f>
              <c:numCache>
                <c:formatCode>#,##0.00" €";\(#,##0.00" €)";\-</c:formatCode>
                <c:ptCount val="35"/>
                <c:pt idx="0">
                  <c:v>335000</c:v>
                </c:pt>
                <c:pt idx="1">
                  <c:v>319422.5</c:v>
                </c:pt>
                <c:pt idx="2">
                  <c:v>303245.27</c:v>
                </c:pt>
                <c:pt idx="3">
                  <c:v>286445.21000000002</c:v>
                </c:pt>
                <c:pt idx="4">
                  <c:v>268998.34999999998</c:v>
                </c:pt>
                <c:pt idx="5">
                  <c:v>250879.79</c:v>
                </c:pt>
                <c:pt idx="6">
                  <c:v>232063.66</c:v>
                </c:pt>
                <c:pt idx="7">
                  <c:v>212523.11</c:v>
                </c:pt>
                <c:pt idx="8">
                  <c:v>192230.25</c:v>
                </c:pt>
                <c:pt idx="9">
                  <c:v>171156.11</c:v>
                </c:pt>
                <c:pt idx="10">
                  <c:v>149270.62</c:v>
                </c:pt>
                <c:pt idx="11">
                  <c:v>126542.54</c:v>
                </c:pt>
                <c:pt idx="12">
                  <c:v>102939.43</c:v>
                </c:pt>
                <c:pt idx="13">
                  <c:v>78427.600000000006</c:v>
                </c:pt>
                <c:pt idx="14">
                  <c:v>52972.06</c:v>
                </c:pt>
                <c:pt idx="15">
                  <c:v>26536.48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52D-4275-849F-ABED4EF0E76F}"/>
            </c:ext>
          </c:extLst>
        </c:ser>
        <c:ser>
          <c:idx val="1"/>
          <c:order val="1"/>
          <c:tx>
            <c:strRef>
              <c:f>Hypothekenrechner!$I$32</c:f>
              <c:strCache>
                <c:ptCount val="1"/>
                <c:pt idx="0">
                  <c:v>Kum.
Zinsen (€)</c:v>
                </c:pt>
              </c:strCache>
            </c:strRef>
          </c:tx>
          <c:spPr>
            <a:ln w="21960">
              <a:solidFill>
                <a:srgbClr val="C0392B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Hypothekenrechner!$B$33:$B$67</c:f>
              <c:numCache>
                <c:formatCode>0</c:formatCode>
                <c:ptCount val="35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  <c:pt idx="21">
                  <c:v>2046</c:v>
                </c:pt>
                <c:pt idx="22">
                  <c:v>2047</c:v>
                </c:pt>
                <c:pt idx="23">
                  <c:v>2048</c:v>
                </c:pt>
                <c:pt idx="24">
                  <c:v>2049</c:v>
                </c:pt>
                <c:pt idx="25">
                  <c:v>2050</c:v>
                </c:pt>
                <c:pt idx="26">
                  <c:v>2051</c:v>
                </c:pt>
                <c:pt idx="27">
                  <c:v>2052</c:v>
                </c:pt>
                <c:pt idx="28">
                  <c:v>2053</c:v>
                </c:pt>
                <c:pt idx="29">
                  <c:v>2054</c:v>
                </c:pt>
                <c:pt idx="30">
                  <c:v>2055</c:v>
                </c:pt>
                <c:pt idx="31">
                  <c:v>2056</c:v>
                </c:pt>
                <c:pt idx="32">
                  <c:v>2057</c:v>
                </c:pt>
                <c:pt idx="33">
                  <c:v>2058</c:v>
                </c:pt>
                <c:pt idx="34">
                  <c:v>2059</c:v>
                </c:pt>
              </c:numCache>
            </c:numRef>
          </c:cat>
          <c:val>
            <c:numRef>
              <c:f>Hypothekenrechner!$I$33:$I$67</c:f>
              <c:numCache>
                <c:formatCode>#,##0.00" €";\(#,##0.00" €)";\-</c:formatCode>
                <c:ptCount val="35"/>
                <c:pt idx="0">
                  <c:v>13475</c:v>
                </c:pt>
                <c:pt idx="1">
                  <c:v>26372.5</c:v>
                </c:pt>
                <c:pt idx="2">
                  <c:v>38670.270000000004</c:v>
                </c:pt>
                <c:pt idx="3">
                  <c:v>50345.210000000006</c:v>
                </c:pt>
                <c:pt idx="4">
                  <c:v>61373.350000000006</c:v>
                </c:pt>
                <c:pt idx="5">
                  <c:v>71729.790000000008</c:v>
                </c:pt>
                <c:pt idx="6">
                  <c:v>81388.66</c:v>
                </c:pt>
                <c:pt idx="7">
                  <c:v>90323.11</c:v>
                </c:pt>
                <c:pt idx="8">
                  <c:v>98505.25</c:v>
                </c:pt>
                <c:pt idx="9">
                  <c:v>105906.11</c:v>
                </c:pt>
                <c:pt idx="10">
                  <c:v>112495.62</c:v>
                </c:pt>
                <c:pt idx="11">
                  <c:v>118242.54</c:v>
                </c:pt>
                <c:pt idx="12">
                  <c:v>123114.43</c:v>
                </c:pt>
                <c:pt idx="13">
                  <c:v>127077.59999999999</c:v>
                </c:pt>
                <c:pt idx="14">
                  <c:v>130097.06</c:v>
                </c:pt>
                <c:pt idx="15">
                  <c:v>132136.48000000001</c:v>
                </c:pt>
                <c:pt idx="16">
                  <c:v>133158.13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52D-4275-849F-ABED4EF0E76F}"/>
            </c:ext>
          </c:extLst>
        </c:ser>
        <c:ser>
          <c:idx val="2"/>
          <c:order val="2"/>
          <c:tx>
            <c:strRef>
              <c:f>Hypothekenrechner!$J$32</c:f>
              <c:strCache>
                <c:ptCount val="1"/>
                <c:pt idx="0">
                  <c:v>Kum.
Tilgung (€)</c:v>
                </c:pt>
              </c:strCache>
            </c:strRef>
          </c:tx>
          <c:spPr>
            <a:ln w="21960">
              <a:solidFill>
                <a:srgbClr val="1A563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Hypothekenrechner!$B$33:$B$67</c:f>
              <c:numCache>
                <c:formatCode>0</c:formatCode>
                <c:ptCount val="35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  <c:pt idx="21">
                  <c:v>2046</c:v>
                </c:pt>
                <c:pt idx="22">
                  <c:v>2047</c:v>
                </c:pt>
                <c:pt idx="23">
                  <c:v>2048</c:v>
                </c:pt>
                <c:pt idx="24">
                  <c:v>2049</c:v>
                </c:pt>
                <c:pt idx="25">
                  <c:v>2050</c:v>
                </c:pt>
                <c:pt idx="26">
                  <c:v>2051</c:v>
                </c:pt>
                <c:pt idx="27">
                  <c:v>2052</c:v>
                </c:pt>
                <c:pt idx="28">
                  <c:v>2053</c:v>
                </c:pt>
                <c:pt idx="29">
                  <c:v>2054</c:v>
                </c:pt>
                <c:pt idx="30">
                  <c:v>2055</c:v>
                </c:pt>
                <c:pt idx="31">
                  <c:v>2056</c:v>
                </c:pt>
                <c:pt idx="32">
                  <c:v>2057</c:v>
                </c:pt>
                <c:pt idx="33">
                  <c:v>2058</c:v>
                </c:pt>
                <c:pt idx="34">
                  <c:v>2059</c:v>
                </c:pt>
              </c:numCache>
            </c:numRef>
          </c:cat>
          <c:val>
            <c:numRef>
              <c:f>Hypothekenrechner!$J$33:$J$67</c:f>
              <c:numCache>
                <c:formatCode>#,##0.00" €";\(#,##0.00" €)";\-</c:formatCode>
                <c:ptCount val="35"/>
                <c:pt idx="0">
                  <c:v>15000</c:v>
                </c:pt>
                <c:pt idx="1">
                  <c:v>30577.5</c:v>
                </c:pt>
                <c:pt idx="2">
                  <c:v>46754.729999999996</c:v>
                </c:pt>
                <c:pt idx="3">
                  <c:v>63554.789999999994</c:v>
                </c:pt>
                <c:pt idx="4">
                  <c:v>81001.649999999994</c:v>
                </c:pt>
                <c:pt idx="5">
                  <c:v>99120.209999999992</c:v>
                </c:pt>
                <c:pt idx="6">
                  <c:v>117936.34</c:v>
                </c:pt>
                <c:pt idx="7">
                  <c:v>137476.89000000001</c:v>
                </c:pt>
                <c:pt idx="8">
                  <c:v>157769.75</c:v>
                </c:pt>
                <c:pt idx="9">
                  <c:v>178843.89</c:v>
                </c:pt>
                <c:pt idx="10">
                  <c:v>200729.38</c:v>
                </c:pt>
                <c:pt idx="11">
                  <c:v>223457.46</c:v>
                </c:pt>
                <c:pt idx="12">
                  <c:v>247060.57</c:v>
                </c:pt>
                <c:pt idx="13">
                  <c:v>271572.40000000002</c:v>
                </c:pt>
                <c:pt idx="14">
                  <c:v>297027.94</c:v>
                </c:pt>
                <c:pt idx="15">
                  <c:v>323463.52</c:v>
                </c:pt>
                <c:pt idx="16">
                  <c:v>350916.87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52D-4275-849F-ABED4EF0E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smooth val="0"/>
        <c:axId val="70960530"/>
        <c:axId val="17264697"/>
      </c:lineChart>
      <c:catAx>
        <c:axId val="70960530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de-DE" sz="1000" b="1" strike="noStrike" spc="-1">
                    <a:solidFill>
                      <a:srgbClr val="000000"/>
                    </a:solidFill>
                    <a:latin typeface="Calibri"/>
                  </a:rPr>
                  <a:t>Jahr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 rot="-2700000" vert="horz"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17264697"/>
        <c:crosses val="autoZero"/>
        <c:auto val="1"/>
        <c:lblAlgn val="ctr"/>
        <c:lblOffset val="100"/>
        <c:noMultiLvlLbl val="0"/>
      </c:catAx>
      <c:valAx>
        <c:axId val="1726469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de-DE" sz="1000" b="1" strike="noStrike" spc="-1">
                    <a:solidFill>
                      <a:srgbClr val="000000"/>
                    </a:solidFill>
                    <a:latin typeface="Calibri"/>
                  </a:rPr>
                  <a:t>Betrag (€)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#,##0.00&quot; €&quot;;\(#,##0.00&quot; €)&quot;;\-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70960530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de-DE"/>
        </a:p>
      </c:txPr>
    </c:legend>
    <c:plotVisOnly val="1"/>
    <c:dispBlanksAs val="zero"/>
    <c:showDLblsOverMax val="1"/>
  </c:chart>
  <c:spPr>
    <a:solidFill>
      <a:srgbClr val="EBFFEB"/>
    </a:solidFill>
    <a:ln w="9360">
      <a:solidFill>
        <a:srgbClr val="D9D9D9"/>
      </a:solidFill>
      <a:round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266700</xdr:colOff>
      <xdr:row>15</xdr:row>
      <xdr:rowOff>0</xdr:rowOff>
    </xdr:from>
    <xdr:to>
      <xdr:col>13</xdr:col>
      <xdr:colOff>1</xdr:colOff>
      <xdr:row>29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8"/>
  <sheetViews>
    <sheetView tabSelected="1" zoomScaleNormal="100" workbookViewId="0">
      <selection activeCell="T31" sqref="T31"/>
    </sheetView>
  </sheetViews>
  <sheetFormatPr baseColWidth="10" defaultColWidth="8.7109375" defaultRowHeight="15" x14ac:dyDescent="0.25"/>
  <cols>
    <col min="1" max="1" width="2.7109375" bestFit="1" customWidth="1"/>
    <col min="2" max="2" width="27.28515625" bestFit="1" customWidth="1"/>
    <col min="3" max="4" width="11.7109375" bestFit="1" customWidth="1"/>
    <col min="5" max="5" width="29.5703125" bestFit="1" customWidth="1"/>
    <col min="6" max="7" width="11.7109375" bestFit="1" customWidth="1"/>
    <col min="8" max="10" width="11.28515625" bestFit="1" customWidth="1"/>
    <col min="11" max="11" width="8.42578125" bestFit="1" customWidth="1"/>
    <col min="12" max="13" width="14" customWidth="1"/>
  </cols>
  <sheetData>
    <row r="1" spans="1:13" ht="26.25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7.5" customHeight="1" x14ac:dyDescent="0.25"/>
    <row r="3" spans="1:13" ht="15" customHeight="1" x14ac:dyDescent="0.25">
      <c r="B3" s="3" t="s">
        <v>1</v>
      </c>
      <c r="C3" s="3"/>
      <c r="E3" s="3" t="s">
        <v>2</v>
      </c>
      <c r="F3" s="3"/>
      <c r="H3" s="34" t="s">
        <v>35</v>
      </c>
      <c r="I3" s="34"/>
      <c r="J3" s="34"/>
      <c r="K3" s="34"/>
      <c r="L3" s="34"/>
      <c r="M3" s="34"/>
    </row>
    <row r="4" spans="1:13" x14ac:dyDescent="0.25">
      <c r="B4" s="5" t="s">
        <v>3</v>
      </c>
      <c r="C4" s="6">
        <v>350000</v>
      </c>
      <c r="E4" s="5" t="s">
        <v>4</v>
      </c>
      <c r="F4" s="7">
        <f>IFERROR(ROUND(C4*(C5/12+C6/12),2),"")</f>
        <v>1706.25</v>
      </c>
      <c r="H4" s="34"/>
      <c r="I4" s="34"/>
      <c r="J4" s="34"/>
      <c r="K4" s="34"/>
      <c r="L4" s="34"/>
      <c r="M4" s="34"/>
    </row>
    <row r="5" spans="1:13" x14ac:dyDescent="0.25">
      <c r="B5" s="5" t="s">
        <v>5</v>
      </c>
      <c r="C5" s="8">
        <v>3.85E-2</v>
      </c>
      <c r="E5" s="5" t="s">
        <v>6</v>
      </c>
      <c r="F5" s="9">
        <f>IFERROR(ROUND(C4*C5/12,2),"")</f>
        <v>1122.92</v>
      </c>
      <c r="H5" s="34"/>
      <c r="I5" s="34"/>
      <c r="J5" s="34"/>
      <c r="K5" s="34"/>
      <c r="L5" s="34"/>
      <c r="M5" s="34"/>
    </row>
    <row r="6" spans="1:13" x14ac:dyDescent="0.25">
      <c r="B6" s="5" t="s">
        <v>7</v>
      </c>
      <c r="C6" s="8">
        <v>0.02</v>
      </c>
      <c r="E6" s="5" t="s">
        <v>8</v>
      </c>
      <c r="F6" s="9">
        <f>IFERROR(ROUND(F4-F5,2),"")</f>
        <v>583.33000000000004</v>
      </c>
      <c r="H6" s="34"/>
      <c r="I6" s="34"/>
      <c r="J6" s="34"/>
      <c r="K6" s="34"/>
      <c r="L6" s="34"/>
      <c r="M6" s="34"/>
    </row>
    <row r="7" spans="1:13" x14ac:dyDescent="0.25">
      <c r="B7" s="5" t="s">
        <v>9</v>
      </c>
      <c r="C7" s="10">
        <v>15</v>
      </c>
      <c r="E7" s="5" t="s">
        <v>10</v>
      </c>
      <c r="F7" s="11">
        <f>IFERROR(ROUND(-LOG(1-C4*(C5/12)/F4)/LOG(1+C5/12)/12,1),"")</f>
        <v>27.9</v>
      </c>
      <c r="H7" s="34"/>
      <c r="I7" s="34"/>
      <c r="J7" s="34"/>
      <c r="K7" s="34"/>
      <c r="L7" s="34"/>
      <c r="M7" s="34"/>
    </row>
    <row r="8" spans="1:13" x14ac:dyDescent="0.25">
      <c r="B8" s="5" t="s">
        <v>11</v>
      </c>
      <c r="C8" s="10">
        <v>2025</v>
      </c>
      <c r="E8" s="5" t="s">
        <v>12</v>
      </c>
      <c r="F8" s="9">
        <f>IFERROR(C4*C9,"")</f>
        <v>17500</v>
      </c>
      <c r="H8" s="34"/>
      <c r="I8" s="34"/>
      <c r="J8" s="34"/>
      <c r="K8" s="34"/>
      <c r="L8" s="34"/>
      <c r="M8" s="34"/>
    </row>
    <row r="9" spans="1:13" x14ac:dyDescent="0.25">
      <c r="B9" s="5" t="s">
        <v>13</v>
      </c>
      <c r="C9" s="8">
        <v>0.05</v>
      </c>
      <c r="E9" s="5" t="s">
        <v>14</v>
      </c>
      <c r="F9" s="12">
        <f>C5</f>
        <v>3.85E-2</v>
      </c>
    </row>
    <row r="10" spans="1:13" x14ac:dyDescent="0.25">
      <c r="B10" s="5" t="s">
        <v>15</v>
      </c>
      <c r="C10" s="6">
        <v>8000</v>
      </c>
      <c r="E10" s="5" t="s">
        <v>16</v>
      </c>
      <c r="F10" s="12">
        <f>IFERROR(C14/C24,"")</f>
        <v>0.14938304801171162</v>
      </c>
    </row>
    <row r="11" spans="1:13" x14ac:dyDescent="0.25">
      <c r="E11" s="5" t="s">
        <v>17</v>
      </c>
      <c r="F11" s="12">
        <f>IFERROR(C4/C13,"")</f>
        <v>0.83333333333333337</v>
      </c>
    </row>
    <row r="12" spans="1:13" x14ac:dyDescent="0.25">
      <c r="B12" s="3" t="s">
        <v>18</v>
      </c>
      <c r="C12" s="3"/>
      <c r="E12" s="3" t="s">
        <v>19</v>
      </c>
      <c r="F12" s="3"/>
    </row>
    <row r="13" spans="1:13" x14ac:dyDescent="0.25">
      <c r="B13" s="5" t="s">
        <v>20</v>
      </c>
      <c r="C13" s="6">
        <v>420000</v>
      </c>
      <c r="E13" s="5" t="s">
        <v>21</v>
      </c>
      <c r="F13" s="13">
        <f>IFERROR(F4*12+C10,"")</f>
        <v>28475</v>
      </c>
    </row>
    <row r="14" spans="1:13" x14ac:dyDescent="0.25">
      <c r="B14" s="5" t="s">
        <v>22</v>
      </c>
      <c r="C14" s="6">
        <v>70000</v>
      </c>
      <c r="E14" s="5" t="s">
        <v>23</v>
      </c>
      <c r="F14" s="14">
        <f>IFERROR(C4*C9,"")</f>
        <v>17500</v>
      </c>
    </row>
    <row r="15" spans="1:13" x14ac:dyDescent="0.25">
      <c r="B15" s="5" t="s">
        <v>24</v>
      </c>
      <c r="C15" s="8">
        <v>0.06</v>
      </c>
      <c r="E15" s="5" t="s">
        <v>25</v>
      </c>
      <c r="F15" s="15" t="str">
        <f>IFERROR(IF(C10&lt;=C4*C9,"✅ Ja","⚠️ Prüfen"),"")</f>
        <v>✅ Ja</v>
      </c>
    </row>
    <row r="16" spans="1:13" x14ac:dyDescent="0.25">
      <c r="B16" s="5" t="s">
        <v>26</v>
      </c>
      <c r="C16" s="8">
        <v>0.02</v>
      </c>
    </row>
    <row r="17" spans="1:13" x14ac:dyDescent="0.25">
      <c r="B17" s="5" t="s">
        <v>27</v>
      </c>
      <c r="C17" s="8">
        <v>3.5700000000000003E-2</v>
      </c>
    </row>
    <row r="19" spans="1:13" x14ac:dyDescent="0.25">
      <c r="B19" s="3" t="s">
        <v>28</v>
      </c>
      <c r="C19" s="3"/>
    </row>
    <row r="20" spans="1:13" x14ac:dyDescent="0.25">
      <c r="B20" s="5" t="s">
        <v>29</v>
      </c>
      <c r="C20" s="9">
        <f>C13*C15</f>
        <v>25200</v>
      </c>
    </row>
    <row r="21" spans="1:13" x14ac:dyDescent="0.25">
      <c r="B21" s="5" t="s">
        <v>30</v>
      </c>
      <c r="C21" s="9">
        <f>C13*C16</f>
        <v>8400</v>
      </c>
    </row>
    <row r="22" spans="1:13" x14ac:dyDescent="0.25">
      <c r="B22" s="5" t="s">
        <v>31</v>
      </c>
      <c r="C22" s="9">
        <f>C13*C17</f>
        <v>14994.000000000002</v>
      </c>
    </row>
    <row r="23" spans="1:13" x14ac:dyDescent="0.25">
      <c r="B23" s="5" t="s">
        <v>32</v>
      </c>
      <c r="C23" s="9">
        <f>C20+C21+C22</f>
        <v>48594</v>
      </c>
    </row>
    <row r="24" spans="1:13" x14ac:dyDescent="0.25">
      <c r="B24" s="5" t="s">
        <v>33</v>
      </c>
      <c r="C24" s="9">
        <f>C13+C23</f>
        <v>468594</v>
      </c>
    </row>
    <row r="25" spans="1:13" x14ac:dyDescent="0.25">
      <c r="B25" s="5" t="s">
        <v>34</v>
      </c>
      <c r="C25" s="12">
        <f>IFERROR(C14/C24,"")</f>
        <v>0.14938304801171162</v>
      </c>
    </row>
    <row r="30" spans="1:13" ht="7.5" customHeight="1" x14ac:dyDescent="0.25"/>
    <row r="31" spans="1:13" ht="25.5" customHeight="1" x14ac:dyDescent="0.25">
      <c r="A31" s="2" t="s">
        <v>36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ht="36" customHeight="1" x14ac:dyDescent="0.25">
      <c r="A32" s="16" t="s">
        <v>37</v>
      </c>
      <c r="B32" s="16" t="s">
        <v>38</v>
      </c>
      <c r="C32" s="16" t="s">
        <v>39</v>
      </c>
      <c r="D32" s="16" t="s">
        <v>40</v>
      </c>
      <c r="E32" s="16" t="s">
        <v>41</v>
      </c>
      <c r="F32" s="16" t="s">
        <v>42</v>
      </c>
      <c r="G32" s="16" t="s">
        <v>43</v>
      </c>
      <c r="H32" s="16" t="s">
        <v>44</v>
      </c>
      <c r="I32" s="16" t="s">
        <v>45</v>
      </c>
      <c r="J32" s="16" t="s">
        <v>46</v>
      </c>
      <c r="K32" s="16" t="s">
        <v>47</v>
      </c>
    </row>
    <row r="33" spans="1:11" ht="16.5" customHeight="1" x14ac:dyDescent="0.25">
      <c r="A33" s="17">
        <v>1</v>
      </c>
      <c r="B33" s="18">
        <f>IFERROR(IF(C33&gt;0,$C$8+0,""),"")</f>
        <v>2025</v>
      </c>
      <c r="C33" s="19">
        <f>IF($C$4&gt;0,$C$4,"")</f>
        <v>350000</v>
      </c>
      <c r="D33" s="20">
        <f t="shared" ref="D33:D67" si="0">IFERROR(IF(C33&gt;0,ROUND(C33*$C$5,2),""),"")</f>
        <v>13475</v>
      </c>
      <c r="E33" s="21">
        <f t="shared" ref="E33:E67" si="1">IFERROR(IF(C33&gt;0,ROUND(MAX(0,$F$4*12-D33),2),""),"")</f>
        <v>7000</v>
      </c>
      <c r="F33" s="22">
        <f t="shared" ref="F33:F67" si="2">IFERROR(IF(C33&gt;0,MIN($C$10,MAX(0,C33)),""),"")</f>
        <v>8000</v>
      </c>
      <c r="G33" s="19">
        <f t="shared" ref="G33:G67" si="3">IFERROR(IF(C33&gt;0,D33+E33+F33,""),"")</f>
        <v>28475</v>
      </c>
      <c r="H33" s="23">
        <f t="shared" ref="H33:H67" si="4">IFERROR(IF(C33&gt;0,MAX(0,ROUND(C33-E33-F33,2)),""),"")</f>
        <v>335000</v>
      </c>
      <c r="I33" s="20">
        <f>IFERROR(IF(C33&gt;0,D33,""),"")</f>
        <v>13475</v>
      </c>
      <c r="J33" s="21">
        <f>IFERROR(IF(C33&gt;0,E33+F33,""),"")</f>
        <v>15000</v>
      </c>
      <c r="K33" s="24">
        <f t="shared" ref="K33:K67" si="5">IFERROR(IF(C33&gt;0,J33/$C$4,""),"")</f>
        <v>4.2857142857142858E-2</v>
      </c>
    </row>
    <row r="34" spans="1:11" ht="16.5" customHeight="1" x14ac:dyDescent="0.25">
      <c r="A34" s="25">
        <v>2</v>
      </c>
      <c r="B34" s="26">
        <f>IFERROR(IF(C34&gt;0,$C$8+1,""),"")</f>
        <v>2026</v>
      </c>
      <c r="C34" s="27">
        <f t="shared" ref="C34:C67" si="6">IFERROR(IF(H33&gt;0,H33,""),"")</f>
        <v>335000</v>
      </c>
      <c r="D34" s="28">
        <f t="shared" si="0"/>
        <v>12897.5</v>
      </c>
      <c r="E34" s="29">
        <f t="shared" si="1"/>
        <v>7577.5</v>
      </c>
      <c r="F34" s="22">
        <f t="shared" si="2"/>
        <v>8000</v>
      </c>
      <c r="G34" s="27">
        <f t="shared" si="3"/>
        <v>28475</v>
      </c>
      <c r="H34" s="30">
        <f t="shared" si="4"/>
        <v>319422.5</v>
      </c>
      <c r="I34" s="28">
        <f t="shared" ref="I34:I67" si="7">IFERROR(IF(C34&gt;0,I33+D34,""),"")</f>
        <v>26372.5</v>
      </c>
      <c r="J34" s="29">
        <f t="shared" ref="J34:J67" si="8">IFERROR(IF(C34&gt;0,J33+E34+F34,""),"")</f>
        <v>30577.5</v>
      </c>
      <c r="K34" s="31">
        <f t="shared" si="5"/>
        <v>8.7364285714285714E-2</v>
      </c>
    </row>
    <row r="35" spans="1:11" ht="16.5" customHeight="1" x14ac:dyDescent="0.25">
      <c r="A35" s="17">
        <v>3</v>
      </c>
      <c r="B35" s="18">
        <f>IFERROR(IF(C35&gt;0,$C$8+2,""),"")</f>
        <v>2027</v>
      </c>
      <c r="C35" s="19">
        <f t="shared" si="6"/>
        <v>319422.5</v>
      </c>
      <c r="D35" s="20">
        <f t="shared" si="0"/>
        <v>12297.77</v>
      </c>
      <c r="E35" s="21">
        <f t="shared" si="1"/>
        <v>8177.23</v>
      </c>
      <c r="F35" s="22">
        <f t="shared" si="2"/>
        <v>8000</v>
      </c>
      <c r="G35" s="19">
        <f t="shared" si="3"/>
        <v>28475</v>
      </c>
      <c r="H35" s="23">
        <f t="shared" si="4"/>
        <v>303245.27</v>
      </c>
      <c r="I35" s="20">
        <f t="shared" si="7"/>
        <v>38670.270000000004</v>
      </c>
      <c r="J35" s="21">
        <f t="shared" si="8"/>
        <v>46754.729999999996</v>
      </c>
      <c r="K35" s="24">
        <f t="shared" si="5"/>
        <v>0.13358494285714284</v>
      </c>
    </row>
    <row r="36" spans="1:11" ht="16.5" customHeight="1" x14ac:dyDescent="0.25">
      <c r="A36" s="25">
        <v>4</v>
      </c>
      <c r="B36" s="26">
        <f>IFERROR(IF(C36&gt;0,$C$8+3,""),"")</f>
        <v>2028</v>
      </c>
      <c r="C36" s="27">
        <f t="shared" si="6"/>
        <v>303245.27</v>
      </c>
      <c r="D36" s="28">
        <f t="shared" si="0"/>
        <v>11674.94</v>
      </c>
      <c r="E36" s="29">
        <f t="shared" si="1"/>
        <v>8800.06</v>
      </c>
      <c r="F36" s="22">
        <f t="shared" si="2"/>
        <v>8000</v>
      </c>
      <c r="G36" s="27">
        <f t="shared" si="3"/>
        <v>28475</v>
      </c>
      <c r="H36" s="30">
        <f t="shared" si="4"/>
        <v>286445.21000000002</v>
      </c>
      <c r="I36" s="28">
        <f t="shared" si="7"/>
        <v>50345.210000000006</v>
      </c>
      <c r="J36" s="29">
        <f t="shared" si="8"/>
        <v>63554.789999999994</v>
      </c>
      <c r="K36" s="31">
        <f t="shared" si="5"/>
        <v>0.18158511428571428</v>
      </c>
    </row>
    <row r="37" spans="1:11" ht="16.5" customHeight="1" x14ac:dyDescent="0.25">
      <c r="A37" s="17">
        <v>5</v>
      </c>
      <c r="B37" s="18">
        <f>IFERROR(IF(C37&gt;0,$C$8+4,""),"")</f>
        <v>2029</v>
      </c>
      <c r="C37" s="19">
        <f t="shared" si="6"/>
        <v>286445.21000000002</v>
      </c>
      <c r="D37" s="20">
        <f t="shared" si="0"/>
        <v>11028.14</v>
      </c>
      <c r="E37" s="21">
        <f t="shared" si="1"/>
        <v>9446.86</v>
      </c>
      <c r="F37" s="22">
        <f t="shared" si="2"/>
        <v>8000</v>
      </c>
      <c r="G37" s="19">
        <f t="shared" si="3"/>
        <v>28475</v>
      </c>
      <c r="H37" s="23">
        <f t="shared" si="4"/>
        <v>268998.34999999998</v>
      </c>
      <c r="I37" s="20">
        <f t="shared" si="7"/>
        <v>61373.350000000006</v>
      </c>
      <c r="J37" s="21">
        <f t="shared" si="8"/>
        <v>81001.649999999994</v>
      </c>
      <c r="K37" s="24">
        <f t="shared" si="5"/>
        <v>0.2314332857142857</v>
      </c>
    </row>
    <row r="38" spans="1:11" ht="16.5" customHeight="1" x14ac:dyDescent="0.25">
      <c r="A38" s="25">
        <v>6</v>
      </c>
      <c r="B38" s="26">
        <f>IFERROR(IF(C38&gt;0,$C$8+5,""),"")</f>
        <v>2030</v>
      </c>
      <c r="C38" s="27">
        <f t="shared" si="6"/>
        <v>268998.34999999998</v>
      </c>
      <c r="D38" s="28">
        <f t="shared" si="0"/>
        <v>10356.44</v>
      </c>
      <c r="E38" s="29">
        <f t="shared" si="1"/>
        <v>10118.56</v>
      </c>
      <c r="F38" s="22">
        <f t="shared" si="2"/>
        <v>8000</v>
      </c>
      <c r="G38" s="27">
        <f t="shared" si="3"/>
        <v>28475</v>
      </c>
      <c r="H38" s="30">
        <f t="shared" si="4"/>
        <v>250879.79</v>
      </c>
      <c r="I38" s="28">
        <f t="shared" si="7"/>
        <v>71729.790000000008</v>
      </c>
      <c r="J38" s="29">
        <f t="shared" si="8"/>
        <v>99120.209999999992</v>
      </c>
      <c r="K38" s="31">
        <f t="shared" si="5"/>
        <v>0.28320059999999997</v>
      </c>
    </row>
    <row r="39" spans="1:11" ht="16.5" customHeight="1" x14ac:dyDescent="0.25">
      <c r="A39" s="17">
        <v>7</v>
      </c>
      <c r="B39" s="18">
        <f>IFERROR(IF(C39&gt;0,$C$8+6,""),"")</f>
        <v>2031</v>
      </c>
      <c r="C39" s="19">
        <f t="shared" si="6"/>
        <v>250879.79</v>
      </c>
      <c r="D39" s="20">
        <f t="shared" si="0"/>
        <v>9658.8700000000008</v>
      </c>
      <c r="E39" s="21">
        <f t="shared" si="1"/>
        <v>10816.13</v>
      </c>
      <c r="F39" s="22">
        <f t="shared" si="2"/>
        <v>8000</v>
      </c>
      <c r="G39" s="19">
        <f t="shared" si="3"/>
        <v>28475</v>
      </c>
      <c r="H39" s="23">
        <f t="shared" si="4"/>
        <v>232063.66</v>
      </c>
      <c r="I39" s="20">
        <f t="shared" si="7"/>
        <v>81388.66</v>
      </c>
      <c r="J39" s="21">
        <f t="shared" si="8"/>
        <v>117936.34</v>
      </c>
      <c r="K39" s="24">
        <f t="shared" si="5"/>
        <v>0.3369609714285714</v>
      </c>
    </row>
    <row r="40" spans="1:11" ht="16.5" customHeight="1" x14ac:dyDescent="0.25">
      <c r="A40" s="25">
        <v>8</v>
      </c>
      <c r="B40" s="26">
        <f>IFERROR(IF(C40&gt;0,$C$8+7,""),"")</f>
        <v>2032</v>
      </c>
      <c r="C40" s="27">
        <f t="shared" si="6"/>
        <v>232063.66</v>
      </c>
      <c r="D40" s="28">
        <f t="shared" si="0"/>
        <v>8934.4500000000007</v>
      </c>
      <c r="E40" s="29">
        <f t="shared" si="1"/>
        <v>11540.55</v>
      </c>
      <c r="F40" s="22">
        <f t="shared" si="2"/>
        <v>8000</v>
      </c>
      <c r="G40" s="27">
        <f t="shared" si="3"/>
        <v>28475</v>
      </c>
      <c r="H40" s="30">
        <f t="shared" si="4"/>
        <v>212523.11</v>
      </c>
      <c r="I40" s="28">
        <f t="shared" si="7"/>
        <v>90323.11</v>
      </c>
      <c r="J40" s="29">
        <f t="shared" si="8"/>
        <v>137476.89000000001</v>
      </c>
      <c r="K40" s="31">
        <f t="shared" si="5"/>
        <v>0.39279111428571434</v>
      </c>
    </row>
    <row r="41" spans="1:11" ht="16.5" customHeight="1" x14ac:dyDescent="0.25">
      <c r="A41" s="17">
        <v>9</v>
      </c>
      <c r="B41" s="18">
        <f>IFERROR(IF(C41&gt;0,$C$8+8,""),"")</f>
        <v>2033</v>
      </c>
      <c r="C41" s="19">
        <f t="shared" si="6"/>
        <v>212523.11</v>
      </c>
      <c r="D41" s="20">
        <f t="shared" si="0"/>
        <v>8182.14</v>
      </c>
      <c r="E41" s="21">
        <f t="shared" si="1"/>
        <v>12292.86</v>
      </c>
      <c r="F41" s="22">
        <f t="shared" si="2"/>
        <v>8000</v>
      </c>
      <c r="G41" s="19">
        <f t="shared" si="3"/>
        <v>28475</v>
      </c>
      <c r="H41" s="23">
        <f t="shared" si="4"/>
        <v>192230.25</v>
      </c>
      <c r="I41" s="20">
        <f t="shared" si="7"/>
        <v>98505.25</v>
      </c>
      <c r="J41" s="21">
        <f t="shared" si="8"/>
        <v>157769.75</v>
      </c>
      <c r="K41" s="24">
        <f t="shared" si="5"/>
        <v>0.4507707142857143</v>
      </c>
    </row>
    <row r="42" spans="1:11" ht="16.5" customHeight="1" x14ac:dyDescent="0.25">
      <c r="A42" s="25">
        <v>10</v>
      </c>
      <c r="B42" s="26">
        <f>IFERROR(IF(C42&gt;0,$C$8+9,""),"")</f>
        <v>2034</v>
      </c>
      <c r="C42" s="27">
        <f t="shared" si="6"/>
        <v>192230.25</v>
      </c>
      <c r="D42" s="28">
        <f t="shared" si="0"/>
        <v>7400.86</v>
      </c>
      <c r="E42" s="29">
        <f t="shared" si="1"/>
        <v>13074.14</v>
      </c>
      <c r="F42" s="22">
        <f t="shared" si="2"/>
        <v>8000</v>
      </c>
      <c r="G42" s="27">
        <f t="shared" si="3"/>
        <v>28475</v>
      </c>
      <c r="H42" s="30">
        <f t="shared" si="4"/>
        <v>171156.11</v>
      </c>
      <c r="I42" s="28">
        <f t="shared" si="7"/>
        <v>105906.11</v>
      </c>
      <c r="J42" s="29">
        <f t="shared" si="8"/>
        <v>178843.89</v>
      </c>
      <c r="K42" s="31">
        <f t="shared" si="5"/>
        <v>0.51098254285714295</v>
      </c>
    </row>
    <row r="43" spans="1:11" ht="16.5" customHeight="1" x14ac:dyDescent="0.25">
      <c r="A43" s="17">
        <v>11</v>
      </c>
      <c r="B43" s="18">
        <f>IFERROR(IF(C43&gt;0,$C$8+10,""),"")</f>
        <v>2035</v>
      </c>
      <c r="C43" s="19">
        <f t="shared" si="6"/>
        <v>171156.11</v>
      </c>
      <c r="D43" s="20">
        <f t="shared" si="0"/>
        <v>6589.51</v>
      </c>
      <c r="E43" s="21">
        <f t="shared" si="1"/>
        <v>13885.49</v>
      </c>
      <c r="F43" s="22">
        <f t="shared" si="2"/>
        <v>8000</v>
      </c>
      <c r="G43" s="19">
        <f t="shared" si="3"/>
        <v>28475</v>
      </c>
      <c r="H43" s="23">
        <f t="shared" si="4"/>
        <v>149270.62</v>
      </c>
      <c r="I43" s="20">
        <f t="shared" si="7"/>
        <v>112495.62</v>
      </c>
      <c r="J43" s="21">
        <f t="shared" si="8"/>
        <v>200729.38</v>
      </c>
      <c r="K43" s="24">
        <f t="shared" si="5"/>
        <v>0.57351251428571426</v>
      </c>
    </row>
    <row r="44" spans="1:11" ht="16.5" customHeight="1" x14ac:dyDescent="0.25">
      <c r="A44" s="25">
        <v>12</v>
      </c>
      <c r="B44" s="26">
        <f>IFERROR(IF(C44&gt;0,$C$8+11,""),"")</f>
        <v>2036</v>
      </c>
      <c r="C44" s="27">
        <f t="shared" si="6"/>
        <v>149270.62</v>
      </c>
      <c r="D44" s="28">
        <f t="shared" si="0"/>
        <v>5746.92</v>
      </c>
      <c r="E44" s="29">
        <f t="shared" si="1"/>
        <v>14728.08</v>
      </c>
      <c r="F44" s="22">
        <f t="shared" si="2"/>
        <v>8000</v>
      </c>
      <c r="G44" s="27">
        <f t="shared" si="3"/>
        <v>28475</v>
      </c>
      <c r="H44" s="30">
        <f t="shared" si="4"/>
        <v>126542.54</v>
      </c>
      <c r="I44" s="28">
        <f t="shared" si="7"/>
        <v>118242.54</v>
      </c>
      <c r="J44" s="29">
        <f t="shared" si="8"/>
        <v>223457.46</v>
      </c>
      <c r="K44" s="31">
        <f t="shared" si="5"/>
        <v>0.63844988571428574</v>
      </c>
    </row>
    <row r="45" spans="1:11" ht="16.5" customHeight="1" x14ac:dyDescent="0.25">
      <c r="A45" s="17">
        <v>13</v>
      </c>
      <c r="B45" s="18">
        <f>IFERROR(IF(C45&gt;0,$C$8+12,""),"")</f>
        <v>2037</v>
      </c>
      <c r="C45" s="19">
        <f t="shared" si="6"/>
        <v>126542.54</v>
      </c>
      <c r="D45" s="20">
        <f t="shared" si="0"/>
        <v>4871.8900000000003</v>
      </c>
      <c r="E45" s="21">
        <f t="shared" si="1"/>
        <v>15603.11</v>
      </c>
      <c r="F45" s="22">
        <f t="shared" si="2"/>
        <v>8000</v>
      </c>
      <c r="G45" s="19">
        <f t="shared" si="3"/>
        <v>28475</v>
      </c>
      <c r="H45" s="23">
        <f t="shared" si="4"/>
        <v>102939.43</v>
      </c>
      <c r="I45" s="20">
        <f t="shared" si="7"/>
        <v>123114.43</v>
      </c>
      <c r="J45" s="21">
        <f t="shared" si="8"/>
        <v>247060.57</v>
      </c>
      <c r="K45" s="24">
        <f t="shared" si="5"/>
        <v>0.70588734285714283</v>
      </c>
    </row>
    <row r="46" spans="1:11" ht="16.5" customHeight="1" x14ac:dyDescent="0.25">
      <c r="A46" s="25">
        <v>14</v>
      </c>
      <c r="B46" s="26">
        <f>IFERROR(IF(C46&gt;0,$C$8+13,""),"")</f>
        <v>2038</v>
      </c>
      <c r="C46" s="27">
        <f t="shared" si="6"/>
        <v>102939.43</v>
      </c>
      <c r="D46" s="28">
        <f t="shared" si="0"/>
        <v>3963.17</v>
      </c>
      <c r="E46" s="29">
        <f t="shared" si="1"/>
        <v>16511.830000000002</v>
      </c>
      <c r="F46" s="22">
        <f t="shared" si="2"/>
        <v>8000</v>
      </c>
      <c r="G46" s="27">
        <f t="shared" si="3"/>
        <v>28475</v>
      </c>
      <c r="H46" s="30">
        <f t="shared" si="4"/>
        <v>78427.600000000006</v>
      </c>
      <c r="I46" s="28">
        <f t="shared" si="7"/>
        <v>127077.59999999999</v>
      </c>
      <c r="J46" s="29">
        <f t="shared" si="8"/>
        <v>271572.40000000002</v>
      </c>
      <c r="K46" s="31">
        <f t="shared" si="5"/>
        <v>0.77592114285714298</v>
      </c>
    </row>
    <row r="47" spans="1:11" ht="16.5" customHeight="1" x14ac:dyDescent="0.25">
      <c r="A47" s="17">
        <v>15</v>
      </c>
      <c r="B47" s="18">
        <f>IFERROR(IF(C47&gt;0,$C$8+14,""),"")</f>
        <v>2039</v>
      </c>
      <c r="C47" s="19">
        <f t="shared" si="6"/>
        <v>78427.600000000006</v>
      </c>
      <c r="D47" s="20">
        <f t="shared" si="0"/>
        <v>3019.46</v>
      </c>
      <c r="E47" s="21">
        <f t="shared" si="1"/>
        <v>17455.54</v>
      </c>
      <c r="F47" s="22">
        <f t="shared" si="2"/>
        <v>8000</v>
      </c>
      <c r="G47" s="19">
        <f t="shared" si="3"/>
        <v>28475</v>
      </c>
      <c r="H47" s="23">
        <f t="shared" si="4"/>
        <v>52972.06</v>
      </c>
      <c r="I47" s="20">
        <f t="shared" si="7"/>
        <v>130097.06</v>
      </c>
      <c r="J47" s="21">
        <f t="shared" si="8"/>
        <v>297027.94</v>
      </c>
      <c r="K47" s="24">
        <f t="shared" si="5"/>
        <v>0.84865125714285716</v>
      </c>
    </row>
    <row r="48" spans="1:11" ht="16.5" customHeight="1" x14ac:dyDescent="0.25">
      <c r="A48" s="25">
        <v>16</v>
      </c>
      <c r="B48" s="26">
        <f>IFERROR(IF(C48&gt;0,$C$8+15,""),"")</f>
        <v>2040</v>
      </c>
      <c r="C48" s="27">
        <f t="shared" si="6"/>
        <v>52972.06</v>
      </c>
      <c r="D48" s="28">
        <f t="shared" si="0"/>
        <v>2039.42</v>
      </c>
      <c r="E48" s="29">
        <f t="shared" si="1"/>
        <v>18435.580000000002</v>
      </c>
      <c r="F48" s="22">
        <f t="shared" si="2"/>
        <v>8000</v>
      </c>
      <c r="G48" s="27">
        <f t="shared" si="3"/>
        <v>28475</v>
      </c>
      <c r="H48" s="30">
        <f t="shared" si="4"/>
        <v>26536.48</v>
      </c>
      <c r="I48" s="28">
        <f t="shared" si="7"/>
        <v>132136.48000000001</v>
      </c>
      <c r="J48" s="29">
        <f t="shared" si="8"/>
        <v>323463.52</v>
      </c>
      <c r="K48" s="31">
        <f t="shared" si="5"/>
        <v>0.92418148571428582</v>
      </c>
    </row>
    <row r="49" spans="1:11" ht="16.5" customHeight="1" x14ac:dyDescent="0.25">
      <c r="A49" s="17">
        <v>17</v>
      </c>
      <c r="B49" s="18">
        <f>IFERROR(IF(C49&gt;0,$C$8+16,""),"")</f>
        <v>2041</v>
      </c>
      <c r="C49" s="19">
        <f t="shared" si="6"/>
        <v>26536.48</v>
      </c>
      <c r="D49" s="20">
        <f t="shared" si="0"/>
        <v>1021.65</v>
      </c>
      <c r="E49" s="21">
        <f t="shared" si="1"/>
        <v>19453.349999999999</v>
      </c>
      <c r="F49" s="22">
        <f t="shared" si="2"/>
        <v>8000</v>
      </c>
      <c r="G49" s="19">
        <f t="shared" si="3"/>
        <v>28475</v>
      </c>
      <c r="H49" s="23">
        <f t="shared" si="4"/>
        <v>0</v>
      </c>
      <c r="I49" s="20">
        <f t="shared" si="7"/>
        <v>133158.13</v>
      </c>
      <c r="J49" s="21">
        <f t="shared" si="8"/>
        <v>350916.87</v>
      </c>
      <c r="K49" s="24">
        <f t="shared" si="5"/>
        <v>1.0026196285714286</v>
      </c>
    </row>
    <row r="50" spans="1:11" ht="16.5" customHeight="1" x14ac:dyDescent="0.25">
      <c r="A50" s="25">
        <v>18</v>
      </c>
      <c r="B50" s="26">
        <f>IFERROR(IF(C50&gt;0,$C$8+17,""),"")</f>
        <v>2042</v>
      </c>
      <c r="C50" s="27" t="str">
        <f t="shared" si="6"/>
        <v/>
      </c>
      <c r="D50" s="28" t="str">
        <f t="shared" si="0"/>
        <v/>
      </c>
      <c r="E50" s="29" t="str">
        <f t="shared" si="1"/>
        <v/>
      </c>
      <c r="F50" s="22">
        <f t="shared" si="2"/>
        <v>0</v>
      </c>
      <c r="G50" s="27" t="str">
        <f t="shared" si="3"/>
        <v/>
      </c>
      <c r="H50" s="30" t="str">
        <f t="shared" si="4"/>
        <v/>
      </c>
      <c r="I50" s="28" t="str">
        <f t="shared" si="7"/>
        <v/>
      </c>
      <c r="J50" s="29" t="str">
        <f t="shared" si="8"/>
        <v/>
      </c>
      <c r="K50" s="31" t="str">
        <f t="shared" si="5"/>
        <v/>
      </c>
    </row>
    <row r="51" spans="1:11" ht="16.5" customHeight="1" x14ac:dyDescent="0.25">
      <c r="A51" s="17">
        <v>19</v>
      </c>
      <c r="B51" s="18">
        <f>IFERROR(IF(C51&gt;0,$C$8+18,""),"")</f>
        <v>2043</v>
      </c>
      <c r="C51" s="19" t="str">
        <f t="shared" si="6"/>
        <v/>
      </c>
      <c r="D51" s="20" t="str">
        <f t="shared" si="0"/>
        <v/>
      </c>
      <c r="E51" s="21" t="str">
        <f t="shared" si="1"/>
        <v/>
      </c>
      <c r="F51" s="22">
        <f t="shared" si="2"/>
        <v>0</v>
      </c>
      <c r="G51" s="19" t="str">
        <f t="shared" si="3"/>
        <v/>
      </c>
      <c r="H51" s="23" t="str">
        <f t="shared" si="4"/>
        <v/>
      </c>
      <c r="I51" s="20" t="str">
        <f t="shared" si="7"/>
        <v/>
      </c>
      <c r="J51" s="21" t="str">
        <f t="shared" si="8"/>
        <v/>
      </c>
      <c r="K51" s="24" t="str">
        <f t="shared" si="5"/>
        <v/>
      </c>
    </row>
    <row r="52" spans="1:11" ht="16.5" customHeight="1" x14ac:dyDescent="0.25">
      <c r="A52" s="25">
        <v>20</v>
      </c>
      <c r="B52" s="26">
        <f>IFERROR(IF(C52&gt;0,$C$8+19,""),"")</f>
        <v>2044</v>
      </c>
      <c r="C52" s="27" t="str">
        <f t="shared" si="6"/>
        <v/>
      </c>
      <c r="D52" s="28" t="str">
        <f t="shared" si="0"/>
        <v/>
      </c>
      <c r="E52" s="29" t="str">
        <f t="shared" si="1"/>
        <v/>
      </c>
      <c r="F52" s="22">
        <f t="shared" si="2"/>
        <v>0</v>
      </c>
      <c r="G52" s="27" t="str">
        <f t="shared" si="3"/>
        <v/>
      </c>
      <c r="H52" s="30" t="str">
        <f t="shared" si="4"/>
        <v/>
      </c>
      <c r="I52" s="28" t="str">
        <f t="shared" si="7"/>
        <v/>
      </c>
      <c r="J52" s="29" t="str">
        <f t="shared" si="8"/>
        <v/>
      </c>
      <c r="K52" s="31" t="str">
        <f t="shared" si="5"/>
        <v/>
      </c>
    </row>
    <row r="53" spans="1:11" ht="16.5" customHeight="1" x14ac:dyDescent="0.25">
      <c r="A53" s="17">
        <v>21</v>
      </c>
      <c r="B53" s="18">
        <f>IFERROR(IF(C53&gt;0,$C$8+20,""),"")</f>
        <v>2045</v>
      </c>
      <c r="C53" s="19" t="str">
        <f t="shared" si="6"/>
        <v/>
      </c>
      <c r="D53" s="20" t="str">
        <f t="shared" si="0"/>
        <v/>
      </c>
      <c r="E53" s="21" t="str">
        <f t="shared" si="1"/>
        <v/>
      </c>
      <c r="F53" s="22">
        <f t="shared" si="2"/>
        <v>0</v>
      </c>
      <c r="G53" s="19" t="str">
        <f t="shared" si="3"/>
        <v/>
      </c>
      <c r="H53" s="23" t="str">
        <f t="shared" si="4"/>
        <v/>
      </c>
      <c r="I53" s="20" t="str">
        <f t="shared" si="7"/>
        <v/>
      </c>
      <c r="J53" s="21" t="str">
        <f t="shared" si="8"/>
        <v/>
      </c>
      <c r="K53" s="24" t="str">
        <f t="shared" si="5"/>
        <v/>
      </c>
    </row>
    <row r="54" spans="1:11" ht="16.5" customHeight="1" x14ac:dyDescent="0.25">
      <c r="A54" s="25">
        <v>22</v>
      </c>
      <c r="B54" s="26">
        <f>IFERROR(IF(C54&gt;0,$C$8+21,""),"")</f>
        <v>2046</v>
      </c>
      <c r="C54" s="27" t="str">
        <f t="shared" si="6"/>
        <v/>
      </c>
      <c r="D54" s="28" t="str">
        <f t="shared" si="0"/>
        <v/>
      </c>
      <c r="E54" s="29" t="str">
        <f t="shared" si="1"/>
        <v/>
      </c>
      <c r="F54" s="22">
        <f t="shared" si="2"/>
        <v>0</v>
      </c>
      <c r="G54" s="27" t="str">
        <f t="shared" si="3"/>
        <v/>
      </c>
      <c r="H54" s="30" t="str">
        <f t="shared" si="4"/>
        <v/>
      </c>
      <c r="I54" s="28" t="str">
        <f t="shared" si="7"/>
        <v/>
      </c>
      <c r="J54" s="29" t="str">
        <f t="shared" si="8"/>
        <v/>
      </c>
      <c r="K54" s="31" t="str">
        <f t="shared" si="5"/>
        <v/>
      </c>
    </row>
    <row r="55" spans="1:11" ht="16.5" customHeight="1" x14ac:dyDescent="0.25">
      <c r="A55" s="17">
        <v>23</v>
      </c>
      <c r="B55" s="18">
        <f>IFERROR(IF(C55&gt;0,$C$8+22,""),"")</f>
        <v>2047</v>
      </c>
      <c r="C55" s="19" t="str">
        <f t="shared" si="6"/>
        <v/>
      </c>
      <c r="D55" s="20" t="str">
        <f t="shared" si="0"/>
        <v/>
      </c>
      <c r="E55" s="21" t="str">
        <f t="shared" si="1"/>
        <v/>
      </c>
      <c r="F55" s="22">
        <f t="shared" si="2"/>
        <v>0</v>
      </c>
      <c r="G55" s="19" t="str">
        <f t="shared" si="3"/>
        <v/>
      </c>
      <c r="H55" s="23" t="str">
        <f t="shared" si="4"/>
        <v/>
      </c>
      <c r="I55" s="20" t="str">
        <f t="shared" si="7"/>
        <v/>
      </c>
      <c r="J55" s="21" t="str">
        <f t="shared" si="8"/>
        <v/>
      </c>
      <c r="K55" s="24" t="str">
        <f t="shared" si="5"/>
        <v/>
      </c>
    </row>
    <row r="56" spans="1:11" ht="16.5" customHeight="1" x14ac:dyDescent="0.25">
      <c r="A56" s="25">
        <v>24</v>
      </c>
      <c r="B56" s="26">
        <f>IFERROR(IF(C56&gt;0,$C$8+23,""),"")</f>
        <v>2048</v>
      </c>
      <c r="C56" s="27" t="str">
        <f t="shared" si="6"/>
        <v/>
      </c>
      <c r="D56" s="28" t="str">
        <f t="shared" si="0"/>
        <v/>
      </c>
      <c r="E56" s="29" t="str">
        <f t="shared" si="1"/>
        <v/>
      </c>
      <c r="F56" s="22">
        <f t="shared" si="2"/>
        <v>0</v>
      </c>
      <c r="G56" s="27" t="str">
        <f t="shared" si="3"/>
        <v/>
      </c>
      <c r="H56" s="30" t="str">
        <f t="shared" si="4"/>
        <v/>
      </c>
      <c r="I56" s="28" t="str">
        <f t="shared" si="7"/>
        <v/>
      </c>
      <c r="J56" s="29" t="str">
        <f t="shared" si="8"/>
        <v/>
      </c>
      <c r="K56" s="31" t="str">
        <f t="shared" si="5"/>
        <v/>
      </c>
    </row>
    <row r="57" spans="1:11" ht="16.5" customHeight="1" x14ac:dyDescent="0.25">
      <c r="A57" s="17">
        <v>25</v>
      </c>
      <c r="B57" s="18">
        <f>IFERROR(IF(C57&gt;0,$C$8+24,""),"")</f>
        <v>2049</v>
      </c>
      <c r="C57" s="19" t="str">
        <f t="shared" si="6"/>
        <v/>
      </c>
      <c r="D57" s="20" t="str">
        <f t="shared" si="0"/>
        <v/>
      </c>
      <c r="E57" s="21" t="str">
        <f t="shared" si="1"/>
        <v/>
      </c>
      <c r="F57" s="22">
        <f t="shared" si="2"/>
        <v>0</v>
      </c>
      <c r="G57" s="19" t="str">
        <f t="shared" si="3"/>
        <v/>
      </c>
      <c r="H57" s="23" t="str">
        <f t="shared" si="4"/>
        <v/>
      </c>
      <c r="I57" s="20" t="str">
        <f t="shared" si="7"/>
        <v/>
      </c>
      <c r="J57" s="21" t="str">
        <f t="shared" si="8"/>
        <v/>
      </c>
      <c r="K57" s="24" t="str">
        <f t="shared" si="5"/>
        <v/>
      </c>
    </row>
    <row r="58" spans="1:11" ht="16.5" customHeight="1" x14ac:dyDescent="0.25">
      <c r="A58" s="25">
        <v>26</v>
      </c>
      <c r="B58" s="26">
        <f>IFERROR(IF(C58&gt;0,$C$8+25,""),"")</f>
        <v>2050</v>
      </c>
      <c r="C58" s="27" t="str">
        <f t="shared" si="6"/>
        <v/>
      </c>
      <c r="D58" s="28" t="str">
        <f t="shared" si="0"/>
        <v/>
      </c>
      <c r="E58" s="29" t="str">
        <f t="shared" si="1"/>
        <v/>
      </c>
      <c r="F58" s="22">
        <f t="shared" si="2"/>
        <v>0</v>
      </c>
      <c r="G58" s="27" t="str">
        <f t="shared" si="3"/>
        <v/>
      </c>
      <c r="H58" s="30" t="str">
        <f t="shared" si="4"/>
        <v/>
      </c>
      <c r="I58" s="28" t="str">
        <f t="shared" si="7"/>
        <v/>
      </c>
      <c r="J58" s="29" t="str">
        <f t="shared" si="8"/>
        <v/>
      </c>
      <c r="K58" s="31" t="str">
        <f t="shared" si="5"/>
        <v/>
      </c>
    </row>
    <row r="59" spans="1:11" ht="16.5" customHeight="1" x14ac:dyDescent="0.25">
      <c r="A59" s="17">
        <v>27</v>
      </c>
      <c r="B59" s="18">
        <f>IFERROR(IF(C59&gt;0,$C$8+26,""),"")</f>
        <v>2051</v>
      </c>
      <c r="C59" s="19" t="str">
        <f t="shared" si="6"/>
        <v/>
      </c>
      <c r="D59" s="20" t="str">
        <f t="shared" si="0"/>
        <v/>
      </c>
      <c r="E59" s="21" t="str">
        <f t="shared" si="1"/>
        <v/>
      </c>
      <c r="F59" s="22">
        <f t="shared" si="2"/>
        <v>0</v>
      </c>
      <c r="G59" s="19" t="str">
        <f t="shared" si="3"/>
        <v/>
      </c>
      <c r="H59" s="23" t="str">
        <f t="shared" si="4"/>
        <v/>
      </c>
      <c r="I59" s="20" t="str">
        <f t="shared" si="7"/>
        <v/>
      </c>
      <c r="J59" s="21" t="str">
        <f t="shared" si="8"/>
        <v/>
      </c>
      <c r="K59" s="24" t="str">
        <f t="shared" si="5"/>
        <v/>
      </c>
    </row>
    <row r="60" spans="1:11" ht="16.5" customHeight="1" x14ac:dyDescent="0.25">
      <c r="A60" s="25">
        <v>28</v>
      </c>
      <c r="B60" s="26">
        <f>IFERROR(IF(C60&gt;0,$C$8+27,""),"")</f>
        <v>2052</v>
      </c>
      <c r="C60" s="27" t="str">
        <f t="shared" si="6"/>
        <v/>
      </c>
      <c r="D60" s="28" t="str">
        <f t="shared" si="0"/>
        <v/>
      </c>
      <c r="E60" s="29" t="str">
        <f t="shared" si="1"/>
        <v/>
      </c>
      <c r="F60" s="22">
        <f t="shared" si="2"/>
        <v>0</v>
      </c>
      <c r="G60" s="27" t="str">
        <f t="shared" si="3"/>
        <v/>
      </c>
      <c r="H60" s="30" t="str">
        <f t="shared" si="4"/>
        <v/>
      </c>
      <c r="I60" s="28" t="str">
        <f t="shared" si="7"/>
        <v/>
      </c>
      <c r="J60" s="29" t="str">
        <f t="shared" si="8"/>
        <v/>
      </c>
      <c r="K60" s="31" t="str">
        <f t="shared" si="5"/>
        <v/>
      </c>
    </row>
    <row r="61" spans="1:11" ht="16.5" customHeight="1" x14ac:dyDescent="0.25">
      <c r="A61" s="17">
        <v>29</v>
      </c>
      <c r="B61" s="18">
        <f>IFERROR(IF(C61&gt;0,$C$8+28,""),"")</f>
        <v>2053</v>
      </c>
      <c r="C61" s="19" t="str">
        <f t="shared" si="6"/>
        <v/>
      </c>
      <c r="D61" s="20" t="str">
        <f t="shared" si="0"/>
        <v/>
      </c>
      <c r="E61" s="21" t="str">
        <f t="shared" si="1"/>
        <v/>
      </c>
      <c r="F61" s="22">
        <f t="shared" si="2"/>
        <v>0</v>
      </c>
      <c r="G61" s="19" t="str">
        <f t="shared" si="3"/>
        <v/>
      </c>
      <c r="H61" s="23" t="str">
        <f t="shared" si="4"/>
        <v/>
      </c>
      <c r="I61" s="20" t="str">
        <f t="shared" si="7"/>
        <v/>
      </c>
      <c r="J61" s="21" t="str">
        <f t="shared" si="8"/>
        <v/>
      </c>
      <c r="K61" s="24" t="str">
        <f t="shared" si="5"/>
        <v/>
      </c>
    </row>
    <row r="62" spans="1:11" ht="16.5" customHeight="1" x14ac:dyDescent="0.25">
      <c r="A62" s="25">
        <v>30</v>
      </c>
      <c r="B62" s="26">
        <f>IFERROR(IF(C62&gt;0,$C$8+29,""),"")</f>
        <v>2054</v>
      </c>
      <c r="C62" s="27" t="str">
        <f t="shared" si="6"/>
        <v/>
      </c>
      <c r="D62" s="28" t="str">
        <f t="shared" si="0"/>
        <v/>
      </c>
      <c r="E62" s="29" t="str">
        <f t="shared" si="1"/>
        <v/>
      </c>
      <c r="F62" s="22">
        <f t="shared" si="2"/>
        <v>0</v>
      </c>
      <c r="G62" s="27" t="str">
        <f t="shared" si="3"/>
        <v/>
      </c>
      <c r="H62" s="30" t="str">
        <f t="shared" si="4"/>
        <v/>
      </c>
      <c r="I62" s="28" t="str">
        <f t="shared" si="7"/>
        <v/>
      </c>
      <c r="J62" s="29" t="str">
        <f t="shared" si="8"/>
        <v/>
      </c>
      <c r="K62" s="31" t="str">
        <f t="shared" si="5"/>
        <v/>
      </c>
    </row>
    <row r="63" spans="1:11" ht="16.5" customHeight="1" x14ac:dyDescent="0.25">
      <c r="A63" s="17">
        <v>31</v>
      </c>
      <c r="B63" s="18">
        <f>IFERROR(IF(C63&gt;0,$C$8+30,""),"")</f>
        <v>2055</v>
      </c>
      <c r="C63" s="19" t="str">
        <f t="shared" si="6"/>
        <v/>
      </c>
      <c r="D63" s="20" t="str">
        <f t="shared" si="0"/>
        <v/>
      </c>
      <c r="E63" s="21" t="str">
        <f t="shared" si="1"/>
        <v/>
      </c>
      <c r="F63" s="22">
        <f t="shared" si="2"/>
        <v>0</v>
      </c>
      <c r="G63" s="19" t="str">
        <f t="shared" si="3"/>
        <v/>
      </c>
      <c r="H63" s="23" t="str">
        <f t="shared" si="4"/>
        <v/>
      </c>
      <c r="I63" s="20" t="str">
        <f t="shared" si="7"/>
        <v/>
      </c>
      <c r="J63" s="21" t="str">
        <f t="shared" si="8"/>
        <v/>
      </c>
      <c r="K63" s="24" t="str">
        <f t="shared" si="5"/>
        <v/>
      </c>
    </row>
    <row r="64" spans="1:11" ht="16.5" customHeight="1" x14ac:dyDescent="0.25">
      <c r="A64" s="25">
        <v>32</v>
      </c>
      <c r="B64" s="26">
        <f>IFERROR(IF(C64&gt;0,$C$8+31,""),"")</f>
        <v>2056</v>
      </c>
      <c r="C64" s="27" t="str">
        <f t="shared" si="6"/>
        <v/>
      </c>
      <c r="D64" s="28" t="str">
        <f t="shared" si="0"/>
        <v/>
      </c>
      <c r="E64" s="29" t="str">
        <f t="shared" si="1"/>
        <v/>
      </c>
      <c r="F64" s="22">
        <f t="shared" si="2"/>
        <v>0</v>
      </c>
      <c r="G64" s="27" t="str">
        <f t="shared" si="3"/>
        <v/>
      </c>
      <c r="H64" s="30" t="str">
        <f t="shared" si="4"/>
        <v/>
      </c>
      <c r="I64" s="28" t="str">
        <f t="shared" si="7"/>
        <v/>
      </c>
      <c r="J64" s="29" t="str">
        <f t="shared" si="8"/>
        <v/>
      </c>
      <c r="K64" s="31" t="str">
        <f t="shared" si="5"/>
        <v/>
      </c>
    </row>
    <row r="65" spans="1:11" ht="16.5" customHeight="1" x14ac:dyDescent="0.25">
      <c r="A65" s="17">
        <v>33</v>
      </c>
      <c r="B65" s="18">
        <f>IFERROR(IF(C65&gt;0,$C$8+32,""),"")</f>
        <v>2057</v>
      </c>
      <c r="C65" s="19" t="str">
        <f t="shared" si="6"/>
        <v/>
      </c>
      <c r="D65" s="20" t="str">
        <f t="shared" si="0"/>
        <v/>
      </c>
      <c r="E65" s="21" t="str">
        <f t="shared" si="1"/>
        <v/>
      </c>
      <c r="F65" s="22">
        <f t="shared" si="2"/>
        <v>0</v>
      </c>
      <c r="G65" s="19" t="str">
        <f t="shared" si="3"/>
        <v/>
      </c>
      <c r="H65" s="23" t="str">
        <f t="shared" si="4"/>
        <v/>
      </c>
      <c r="I65" s="20" t="str">
        <f t="shared" si="7"/>
        <v/>
      </c>
      <c r="J65" s="21" t="str">
        <f t="shared" si="8"/>
        <v/>
      </c>
      <c r="K65" s="24" t="str">
        <f t="shared" si="5"/>
        <v/>
      </c>
    </row>
    <row r="66" spans="1:11" ht="16.5" customHeight="1" x14ac:dyDescent="0.25">
      <c r="A66" s="25">
        <v>34</v>
      </c>
      <c r="B66" s="26">
        <f>IFERROR(IF(C66&gt;0,$C$8+33,""),"")</f>
        <v>2058</v>
      </c>
      <c r="C66" s="27" t="str">
        <f t="shared" si="6"/>
        <v/>
      </c>
      <c r="D66" s="28" t="str">
        <f t="shared" si="0"/>
        <v/>
      </c>
      <c r="E66" s="29" t="str">
        <f t="shared" si="1"/>
        <v/>
      </c>
      <c r="F66" s="22">
        <f t="shared" si="2"/>
        <v>0</v>
      </c>
      <c r="G66" s="27" t="str">
        <f t="shared" si="3"/>
        <v/>
      </c>
      <c r="H66" s="30" t="str">
        <f t="shared" si="4"/>
        <v/>
      </c>
      <c r="I66" s="28" t="str">
        <f t="shared" si="7"/>
        <v/>
      </c>
      <c r="J66" s="29" t="str">
        <f t="shared" si="8"/>
        <v/>
      </c>
      <c r="K66" s="31" t="str">
        <f t="shared" si="5"/>
        <v/>
      </c>
    </row>
    <row r="67" spans="1:11" ht="16.5" customHeight="1" x14ac:dyDescent="0.25">
      <c r="A67" s="17">
        <v>35</v>
      </c>
      <c r="B67" s="18">
        <f>IFERROR(IF(C67&gt;0,$C$8+34,""),"")</f>
        <v>2059</v>
      </c>
      <c r="C67" s="19" t="str">
        <f t="shared" si="6"/>
        <v/>
      </c>
      <c r="D67" s="20" t="str">
        <f t="shared" si="0"/>
        <v/>
      </c>
      <c r="E67" s="21" t="str">
        <f t="shared" si="1"/>
        <v/>
      </c>
      <c r="F67" s="22">
        <f t="shared" si="2"/>
        <v>0</v>
      </c>
      <c r="G67" s="19" t="str">
        <f t="shared" si="3"/>
        <v/>
      </c>
      <c r="H67" s="23" t="str">
        <f t="shared" si="4"/>
        <v/>
      </c>
      <c r="I67" s="20" t="str">
        <f t="shared" si="7"/>
        <v/>
      </c>
      <c r="J67" s="21" t="str">
        <f t="shared" si="8"/>
        <v/>
      </c>
      <c r="K67" s="24" t="str">
        <f t="shared" si="5"/>
        <v/>
      </c>
    </row>
    <row r="68" spans="1:11" ht="19.5" customHeight="1" x14ac:dyDescent="0.25">
      <c r="A68" s="1" t="s">
        <v>48</v>
      </c>
      <c r="B68" s="1"/>
      <c r="C68" s="32"/>
      <c r="D68" s="33">
        <f>IFERROR(SUMIF(D33:D67,"&lt;&gt;"""),"")</f>
        <v>133158.13</v>
      </c>
      <c r="E68" s="33">
        <f>IFERROR(SUMIF(E33:E67,"&lt;&gt;"""),"")</f>
        <v>214916.87000000002</v>
      </c>
      <c r="F68" s="33">
        <f>IFERROR(SUMIF(F33:F67,"&lt;&gt;"""),"")</f>
        <v>136000</v>
      </c>
      <c r="G68" s="33">
        <f>IFERROR(SUMIF(G33:G67,"&lt;&gt;"""),"")</f>
        <v>484075</v>
      </c>
      <c r="H68" s="32"/>
      <c r="I68" s="32"/>
      <c r="J68" s="32"/>
      <c r="K68" s="32"/>
    </row>
  </sheetData>
  <mergeCells count="9">
    <mergeCell ref="B19:C19"/>
    <mergeCell ref="A31:M31"/>
    <mergeCell ref="A68:B68"/>
    <mergeCell ref="H3:M8"/>
    <mergeCell ref="A1:M1"/>
    <mergeCell ref="B3:C3"/>
    <mergeCell ref="E3:F3"/>
    <mergeCell ref="B12:C12"/>
    <mergeCell ref="E12:F12"/>
  </mergeCells>
  <pageMargins left="0.75" right="0.75" top="1" bottom="1" header="0.511811023622047" footer="0.511811023622047"/>
  <pageSetup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Hypothekenrechner</vt:lpstr>
      <vt:lpstr>Hypothekenrechner!Druckbereich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Sergio Jiménez Canales</cp:lastModifiedBy>
  <cp:revision>1</cp:revision>
  <dcterms:created xsi:type="dcterms:W3CDTF">2026-05-14T09:00:35Z</dcterms:created>
  <dcterms:modified xsi:type="dcterms:W3CDTF">2026-05-14T09:13:08Z</dcterms:modified>
  <dc:language>en-US</dc:language>
</cp:coreProperties>
</file>