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547B843-A076-4D3F-88EA-04599EDF7B39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Depotübersicht" sheetId="1" r:id="rId1"/>
    <sheet name="Positionen" sheetId="2" r:id="rId2"/>
    <sheet name="Transaktionen" sheetId="3" r:id="rId3"/>
    <sheet name="Rebalancing" sheetId="4" r:id="rId4"/>
    <sheet name="Sparplan-Rechner" sheetId="5" r:id="rId5"/>
  </sheets>
  <definedNames>
    <definedName name="_xlnm.Print_Titles" localSheetId="0">Depotübersicht!$1:$5</definedName>
    <definedName name="_xlnm.Print_Titles" localSheetId="1">Positionen!$1:$5</definedName>
    <definedName name="_xlnm.Print_Titles" localSheetId="3">Rebalancing!$1:$5</definedName>
    <definedName name="_xlnm.Print_Titles" localSheetId="4">'Sparplan-Rechner'!$1:$5</definedName>
    <definedName name="_xlnm.Print_Titles" localSheetId="2">Transaktionen!$1:$5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40" i="5" l="1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D13" i="5"/>
  <c r="D10" i="5"/>
  <c r="E40" i="5" s="1"/>
  <c r="E13" i="4"/>
  <c r="B16" i="4" s="1"/>
  <c r="B12" i="4"/>
  <c r="B11" i="4"/>
  <c r="B25" i="1" s="1"/>
  <c r="B10" i="4"/>
  <c r="B24" i="1" s="1"/>
  <c r="C9" i="4"/>
  <c r="B9" i="4"/>
  <c r="C8" i="4"/>
  <c r="B8" i="4"/>
  <c r="B22" i="1" s="1"/>
  <c r="C7" i="4"/>
  <c r="B7" i="4"/>
  <c r="B21" i="1" s="1"/>
  <c r="H21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C20" i="2"/>
  <c r="I14" i="2"/>
  <c r="N1" i="2" s="1"/>
  <c r="B6" i="1" s="1"/>
  <c r="K12" i="2"/>
  <c r="J12" i="2"/>
  <c r="E22" i="2" s="1"/>
  <c r="I12" i="2"/>
  <c r="F22" i="2" s="1"/>
  <c r="H12" i="2"/>
  <c r="C22" i="2" s="1"/>
  <c r="K11" i="2"/>
  <c r="I11" i="2"/>
  <c r="C11" i="4" s="1"/>
  <c r="H11" i="2"/>
  <c r="C21" i="2" s="1"/>
  <c r="K10" i="2"/>
  <c r="I10" i="2"/>
  <c r="C10" i="4" s="1"/>
  <c r="H10" i="2"/>
  <c r="H17" i="1" s="1"/>
  <c r="K9" i="2"/>
  <c r="I9" i="2"/>
  <c r="J9" i="2" s="1"/>
  <c r="J16" i="1" s="1"/>
  <c r="H9" i="2"/>
  <c r="C19" i="2" s="1"/>
  <c r="K8" i="2"/>
  <c r="I8" i="2"/>
  <c r="F19" i="2" s="1"/>
  <c r="H8" i="2"/>
  <c r="H14" i="2" s="1"/>
  <c r="L1" i="2" s="1"/>
  <c r="D6" i="1" s="1"/>
  <c r="K7" i="2"/>
  <c r="J7" i="2"/>
  <c r="I7" i="2"/>
  <c r="H7" i="2"/>
  <c r="D26" i="1"/>
  <c r="B26" i="1"/>
  <c r="D25" i="1"/>
  <c r="D24" i="1"/>
  <c r="D23" i="1"/>
  <c r="B23" i="1"/>
  <c r="D22" i="1"/>
  <c r="D21" i="1"/>
  <c r="I17" i="1"/>
  <c r="G17" i="1"/>
  <c r="F17" i="1"/>
  <c r="E17" i="1"/>
  <c r="D17" i="1"/>
  <c r="C17" i="1"/>
  <c r="B17" i="1"/>
  <c r="I16" i="1"/>
  <c r="G16" i="1"/>
  <c r="F16" i="1"/>
  <c r="E16" i="1"/>
  <c r="D16" i="1"/>
  <c r="C16" i="1"/>
  <c r="B16" i="1"/>
  <c r="H15" i="1"/>
  <c r="G15" i="1"/>
  <c r="F15" i="1"/>
  <c r="E15" i="1"/>
  <c r="D15" i="1"/>
  <c r="C15" i="1"/>
  <c r="B15" i="1"/>
  <c r="J14" i="1"/>
  <c r="I14" i="1"/>
  <c r="H14" i="1"/>
  <c r="G14" i="1"/>
  <c r="F14" i="1"/>
  <c r="E14" i="1"/>
  <c r="D14" i="1"/>
  <c r="C14" i="1"/>
  <c r="B14" i="1"/>
  <c r="J13" i="1"/>
  <c r="I13" i="1"/>
  <c r="H13" i="1"/>
  <c r="G13" i="1"/>
  <c r="F13" i="1"/>
  <c r="E13" i="1"/>
  <c r="D13" i="1"/>
  <c r="C13" i="1"/>
  <c r="B13" i="1"/>
  <c r="J12" i="1"/>
  <c r="I12" i="1"/>
  <c r="H12" i="1"/>
  <c r="G12" i="1"/>
  <c r="F12" i="1"/>
  <c r="E12" i="1"/>
  <c r="D12" i="1"/>
  <c r="C12" i="1"/>
  <c r="B12" i="1"/>
  <c r="D40" i="5" l="1"/>
  <c r="E19" i="2"/>
  <c r="J8" i="2"/>
  <c r="D20" i="2"/>
  <c r="J10" i="2"/>
  <c r="C12" i="4"/>
  <c r="E21" i="5"/>
  <c r="E26" i="5"/>
  <c r="E31" i="5"/>
  <c r="E36" i="5"/>
  <c r="H16" i="1"/>
  <c r="F20" i="2"/>
  <c r="D21" i="2"/>
  <c r="J11" i="2"/>
  <c r="E21" i="2" s="1"/>
  <c r="E22" i="5"/>
  <c r="E27" i="5"/>
  <c r="E32" i="5"/>
  <c r="E37" i="5"/>
  <c r="F21" i="2"/>
  <c r="D22" i="2"/>
  <c r="E23" i="5"/>
  <c r="E28" i="5"/>
  <c r="E33" i="5"/>
  <c r="E38" i="5"/>
  <c r="E24" i="5"/>
  <c r="E29" i="5"/>
  <c r="E34" i="5"/>
  <c r="E39" i="5"/>
  <c r="I15" i="1"/>
  <c r="D19" i="2"/>
  <c r="D14" i="5"/>
  <c r="E25" i="5"/>
  <c r="E30" i="5"/>
  <c r="E35" i="5"/>
  <c r="F26" i="5" l="1"/>
  <c r="D26" i="5"/>
  <c r="D16" i="5"/>
  <c r="D15" i="5"/>
  <c r="F24" i="5"/>
  <c r="D24" i="5"/>
  <c r="F25" i="5"/>
  <c r="D25" i="5"/>
  <c r="F39" i="5"/>
  <c r="D39" i="5"/>
  <c r="F38" i="5"/>
  <c r="D38" i="5"/>
  <c r="E20" i="2"/>
  <c r="J17" i="1"/>
  <c r="F30" i="5"/>
  <c r="D30" i="5"/>
  <c r="F31" i="5"/>
  <c r="D31" i="5"/>
  <c r="F21" i="5"/>
  <c r="D21" i="5"/>
  <c r="F23" i="5"/>
  <c r="D23" i="5"/>
  <c r="F37" i="5"/>
  <c r="D37" i="5"/>
  <c r="F40" i="5"/>
  <c r="F36" i="5"/>
  <c r="D36" i="5"/>
  <c r="F29" i="5"/>
  <c r="D29" i="5"/>
  <c r="D12" i="4"/>
  <c r="F12" i="4" s="1"/>
  <c r="F28" i="5"/>
  <c r="D28" i="5"/>
  <c r="F32" i="5"/>
  <c r="D32" i="5"/>
  <c r="F34" i="5"/>
  <c r="D34" i="5"/>
  <c r="F27" i="5"/>
  <c r="D27" i="5"/>
  <c r="F33" i="5"/>
  <c r="D33" i="5"/>
  <c r="J15" i="1"/>
  <c r="J14" i="2"/>
  <c r="F35" i="5"/>
  <c r="D35" i="5"/>
  <c r="F22" i="5"/>
  <c r="D22" i="5"/>
  <c r="C13" i="4"/>
  <c r="G12" i="4" l="1"/>
  <c r="C26" i="1"/>
  <c r="H11" i="4"/>
  <c r="I11" i="4" s="1"/>
  <c r="H8" i="4"/>
  <c r="I8" i="4" s="1"/>
  <c r="H10" i="4"/>
  <c r="I10" i="4" s="1"/>
  <c r="H7" i="4"/>
  <c r="H12" i="4"/>
  <c r="I12" i="4" s="1"/>
  <c r="H9" i="4"/>
  <c r="I9" i="4" s="1"/>
  <c r="D9" i="4"/>
  <c r="F9" i="4" s="1"/>
  <c r="D11" i="4"/>
  <c r="F11" i="4" s="1"/>
  <c r="D10" i="4"/>
  <c r="F10" i="4" s="1"/>
  <c r="D8" i="4"/>
  <c r="F8" i="4" s="1"/>
  <c r="D7" i="4"/>
  <c r="K14" i="2"/>
  <c r="M1" i="2"/>
  <c r="G11" i="4" l="1"/>
  <c r="C25" i="1"/>
  <c r="C23" i="1"/>
  <c r="G9" i="4"/>
  <c r="F6" i="1"/>
  <c r="H6" i="1"/>
  <c r="G8" i="4"/>
  <c r="C22" i="1"/>
  <c r="D13" i="4"/>
  <c r="F7" i="4"/>
  <c r="G10" i="4"/>
  <c r="C24" i="1"/>
  <c r="H13" i="4"/>
  <c r="I7" i="4"/>
  <c r="F26" i="1"/>
  <c r="E26" i="1"/>
  <c r="F24" i="1" l="1"/>
  <c r="E24" i="1"/>
  <c r="C21" i="1"/>
  <c r="F13" i="4"/>
  <c r="G7" i="4"/>
  <c r="F22" i="1"/>
  <c r="E22" i="1"/>
  <c r="F23" i="1"/>
  <c r="E23" i="1"/>
  <c r="F25" i="1"/>
  <c r="E25" i="1"/>
  <c r="F21" i="1" l="1"/>
  <c r="E21" i="1"/>
  <c r="G13" i="4"/>
</calcChain>
</file>

<file path=xl/sharedStrings.xml><?xml version="1.0" encoding="utf-8"?>
<sst xmlns="http://schemas.openxmlformats.org/spreadsheetml/2006/main" count="215" uniqueCount="131">
  <si>
    <t>ETF-PORTFOLIO ÜBERSICHT</t>
  </si>
  <si>
    <t>Persönliches Depot-Cockpit  |  Stand: aktuell</t>
  </si>
  <si>
    <t>Gesamtdepotwert</t>
  </si>
  <si>
    <t>Einstandswert</t>
  </si>
  <si>
    <t>Gewinn / Verlust</t>
  </si>
  <si>
    <t>Performance</t>
  </si>
  <si>
    <t>Aktueller Gesamtwert</t>
  </si>
  <si>
    <t>Eingezahltes Kapital</t>
  </si>
  <si>
    <t>Absoluter Ertrag</t>
  </si>
  <si>
    <t>Relativer Ertrag</t>
  </si>
  <si>
    <t>▶  Aktuelle Positionen</t>
  </si>
  <si>
    <t>ETF / Wertpapier</t>
  </si>
  <si>
    <t>ISIN</t>
  </si>
  <si>
    <t>Anteile</t>
  </si>
  <si>
    <t>Einstand (€)</t>
  </si>
  <si>
    <t>Akt. Kurs (€)</t>
  </si>
  <si>
    <t>Akt. Wert (€)</t>
  </si>
  <si>
    <t>G/V (€)</t>
  </si>
  <si>
    <t>G/V (%)</t>
  </si>
  <si>
    <t>Gewichtung (%)</t>
  </si>
  <si>
    <t>▶  Rebalancing-Status  |  Soll-Gewichtung aus Rebalancing-Tab</t>
  </si>
  <si>
    <t>Ist-Gewichtung (%)</t>
  </si>
  <si>
    <t>Soll-Gewichtung (%)</t>
  </si>
  <si>
    <t>Abweichung (%)</t>
  </si>
  <si>
    <t>Handlungsbedarf</t>
  </si>
  <si>
    <t>ℹ  Hinweise zur Bedienung</t>
  </si>
  <si>
    <t>• Kurse &amp; Anteile bitte im Tab »Positionen« aktualisieren – alle Berechnungen erfolgen automatisch.</t>
  </si>
  <si>
    <t>• Soll-Gewichtungen im Tab »Rebalancing« festlegen – Abweichung &gt; 5% = Handlungsbedarf.</t>
  </si>
  <si>
    <t>• Käufe &amp; Verkäufe im Tab »Transaktionen« erfassen – Einstandskurs wird dort berechnet.</t>
  </si>
  <si>
    <t>• Hellblau hinterlegte Felder sind Eingabefelder  |  Schwarze Felder = Formeln – bitte nicht überschreiben.</t>
  </si>
  <si>
    <t>POSITIONEN  –  Depotbestand &amp; Performance</t>
  </si>
  <si>
    <t>← Bitte nur hellblau hinterlegte Felder bearbeiten</t>
  </si>
  <si>
    <t>Kategorie</t>
  </si>
  <si>
    <t>Einst.-Kurs (€)</t>
  </si>
  <si>
    <t>Einst.-Wert (€)</t>
  </si>
  <si>
    <t>Lfd. Dividende (€)</t>
  </si>
  <si>
    <t>TER (%)</t>
  </si>
  <si>
    <t>Währung</t>
  </si>
  <si>
    <t>Region</t>
  </si>
  <si>
    <t>Globaler Aktien-ETF A</t>
  </si>
  <si>
    <t>LU0000000001</t>
  </si>
  <si>
    <t>Aktien</t>
  </si>
  <si>
    <t>EUR</t>
  </si>
  <si>
    <t>Industrieländer</t>
  </si>
  <si>
    <t>Schwellenländer-ETF B</t>
  </si>
  <si>
    <t>IE0000000002</t>
  </si>
  <si>
    <t>Schwellenländer</t>
  </si>
  <si>
    <t>Europa Dividenden-ETF C</t>
  </si>
  <si>
    <t>IE0000000003</t>
  </si>
  <si>
    <t>Europa</t>
  </si>
  <si>
    <t>Anleihen Kern-ETF D</t>
  </si>
  <si>
    <t>LU0000000004</t>
  </si>
  <si>
    <t>Anleihen</t>
  </si>
  <si>
    <t>Global</t>
  </si>
  <si>
    <t>Rohstoffe Breit-ETF E</t>
  </si>
  <si>
    <t>IE0000000005</t>
  </si>
  <si>
    <t>Rohstoffe</t>
  </si>
  <si>
    <t>Immobilien (REIT) ETF F</t>
  </si>
  <si>
    <t>LU0000000006</t>
  </si>
  <si>
    <t>Immobilien</t>
  </si>
  <si>
    <t>GESAMT</t>
  </si>
  <si>
    <t>▶  Kategorie-Zusammenfassung</t>
  </si>
  <si>
    <t>Einstandswert (€)</t>
  </si>
  <si>
    <t>TRANSAKTIONEN  –  Kauf- &amp; Verkaufshistorie</t>
  </si>
  <si>
    <t>Alle Käufe, Verkäufe und Dividenden chronologisch erfassen</t>
  </si>
  <si>
    <t>Datum</t>
  </si>
  <si>
    <t>Typ</t>
  </si>
  <si>
    <t>Kurs (€)</t>
  </si>
  <si>
    <t>Gebühren (€)</t>
  </si>
  <si>
    <t>Gesamt (€)</t>
  </si>
  <si>
    <t>Sparplan</t>
  </si>
  <si>
    <t>Kommentar</t>
  </si>
  <si>
    <t>15.01.2024</t>
  </si>
  <si>
    <t>Kauf</t>
  </si>
  <si>
    <t>Ja</t>
  </si>
  <si>
    <t>Monatlicher Sparplan</t>
  </si>
  <si>
    <t>01.02.2024</t>
  </si>
  <si>
    <t>Einmalige Einzahlung</t>
  </si>
  <si>
    <t>15.02.2024</t>
  </si>
  <si>
    <t>01.03.2024</t>
  </si>
  <si>
    <t>Nein</t>
  </si>
  <si>
    <t>Strategische Aufstockung</t>
  </si>
  <si>
    <t>15.03.2024</t>
  </si>
  <si>
    <t>01.04.2024</t>
  </si>
  <si>
    <t>Diversifikation</t>
  </si>
  <si>
    <t>15.04.2024</t>
  </si>
  <si>
    <t>01.05.2024</t>
  </si>
  <si>
    <t>Neue Position</t>
  </si>
  <si>
    <t>15.05.2024</t>
  </si>
  <si>
    <t>01.06.2024</t>
  </si>
  <si>
    <t>Dividende</t>
  </si>
  <si>
    <t>Quartalsausschüttung</t>
  </si>
  <si>
    <t>15.06.2024</t>
  </si>
  <si>
    <t>01.07.2024</t>
  </si>
  <si>
    <t>Sparplan ausgesetzt</t>
  </si>
  <si>
    <t>15.07.2024</t>
  </si>
  <si>
    <t>Halbjahresausschüttung</t>
  </si>
  <si>
    <t>SUMME INVESTIERT (Käufe)</t>
  </si>
  <si>
    <t>REBALANCING  –  Soll/Ist-Abgleich &amp; Handlungsempfehlung</t>
  </si>
  <si>
    <t>Verfügbares Kapital für Nachkauf (€):</t>
  </si>
  <si>
    <t>← Hier den Betrag eintragen, der investiert werden soll</t>
  </si>
  <si>
    <t>Ist-Wert (€)</t>
  </si>
  <si>
    <t>Ist-Gew. (%)</t>
  </si>
  <si>
    <t>Soll-Gew. (%)</t>
  </si>
  <si>
    <t>Abw. (%)</t>
  </si>
  <si>
    <t>Empf. Kauf (€)</t>
  </si>
  <si>
    <t>Empf. Anteile</t>
  </si>
  <si>
    <t>⚠  Soll-Gewichtung in Spalte E muss in Summe 100% ergeben. Bitte prüfen!</t>
  </si>
  <si>
    <t>▶  Erläuterung</t>
  </si>
  <si>
    <t>• Soll-Gewichtung (Spalte E) = Ihre Zielverteilung – bitte individuell festlegen.</t>
  </si>
  <si>
    <t>• Abweichung (Spalte G) = Ist-Gewichtung minus Soll-Gewichtung.</t>
  </si>
  <si>
    <t>• Empf. Kauf (Spalte H) = Betrag, der laut Soll-Gewichtung nachgekauft werden sollte.</t>
  </si>
  <si>
    <t>• Faustregel: Abweichung &gt; 5% signalisiert Rebalancing-Bedarf.</t>
  </si>
  <si>
    <t>SPARPLAN-RECHNER  –  Zinseszins &amp; Vermögensaufbau</t>
  </si>
  <si>
    <t>Monatliche Sparrate (€):</t>
  </si>
  <si>
    <t>Anfangskapital (€):</t>
  </si>
  <si>
    <t>Erwartete jährl. Rendite (%):</t>
  </si>
  <si>
    <t>Anlagehorizont (Jahre):</t>
  </si>
  <si>
    <t>Jährl. Kosten / TER (%):</t>
  </si>
  <si>
    <t>Netto-Rendite p.a. (nach TER):</t>
  </si>
  <si>
    <t>▶  Ergebnis nach Anlagehorizont</t>
  </si>
  <si>
    <t>Eingezahltes Kapital gesamt (€):</t>
  </si>
  <si>
    <t>Endwert mit Zinseszins (€):</t>
  </si>
  <si>
    <t>Davon Zinsgewinn (€):</t>
  </si>
  <si>
    <t>Faktor Vermögenswachstum:</t>
  </si>
  <si>
    <t>▶  Jahresverlauf (Prognose)</t>
  </si>
  <si>
    <t>Jahr</t>
  </si>
  <si>
    <t>Eingezahlt (€)</t>
  </si>
  <si>
    <t>Zinsgewinn (€)</t>
  </si>
  <si>
    <t>Gesamtwert (€)</t>
  </si>
  <si>
    <t>Jahresrendite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</si>
</sst>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€&quot;"/>
    <numFmt numFmtId="165" formatCode="0.0%"/>
    <numFmt numFmtId="166" formatCode="dd\.mm\.yyyy"/>
    <numFmt numFmtId="167" formatCode="0.00\x"/>
  </numFmts>
  <fonts count="24" x14ac:knownFonts="1">
    <font>
      <sz val="11"/>
      <color theme="1"/>
      <name val="Calibri"/>
      <family val="2"/>
      <charset val="1"/>
    </font>
    <font>
      <b/>
      <sz val="18"/>
      <color rgb="FFFFFFFF"/>
      <name val="Arial"/>
      <charset val="1"/>
    </font>
    <font>
      <i/>
      <sz val="10"/>
      <color rgb="FFFFFFFF"/>
      <name val="Arial"/>
      <charset val="1"/>
    </font>
    <font>
      <sz val="8"/>
      <color rgb="FFAABBCC"/>
      <name val="Arial"/>
      <charset val="1"/>
    </font>
    <font>
      <b/>
      <sz val="20"/>
      <color rgb="FFFFFFFF"/>
      <name val="Arial"/>
      <charset val="1"/>
    </font>
    <font>
      <i/>
      <sz val="8"/>
      <color rgb="FFD0D8E8"/>
      <name val="Arial"/>
      <charset val="1"/>
    </font>
    <font>
      <b/>
      <sz val="11"/>
      <color rgb="FFFFFFFF"/>
      <name val="Arial"/>
      <charset val="1"/>
    </font>
    <font>
      <b/>
      <sz val="9"/>
      <color rgb="FFFFFFFF"/>
      <name val="Arial"/>
      <charset val="1"/>
    </font>
    <font>
      <sz val="9"/>
      <color rgb="FF000000"/>
      <name val="Arial"/>
      <charset val="1"/>
    </font>
    <font>
      <b/>
      <sz val="10"/>
      <color rgb="FF1A2B4A"/>
      <name val="Arial"/>
      <charset val="1"/>
    </font>
    <font>
      <sz val="9"/>
      <color rgb="FF555555"/>
      <name val="Arial"/>
      <charset val="1"/>
    </font>
    <font>
      <b/>
      <sz val="14"/>
      <color rgb="FFFFFFFF"/>
      <name val="Arial"/>
      <charset val="1"/>
    </font>
    <font>
      <i/>
      <sz val="9"/>
      <color rgb="FF1B4F72"/>
      <name val="Arial"/>
      <charset val="1"/>
    </font>
    <font>
      <sz val="9"/>
      <color rgb="FF1B4F72"/>
      <name val="Arial"/>
      <charset val="1"/>
    </font>
    <font>
      <b/>
      <sz val="10"/>
      <color rgb="FFFFFFFF"/>
      <name val="Arial"/>
      <charset val="1"/>
    </font>
    <font>
      <b/>
      <sz val="12"/>
      <color rgb="FFF0A500"/>
      <name val="Arial"/>
      <charset val="1"/>
    </font>
    <font>
      <b/>
      <sz val="10"/>
      <color rgb="FF000000"/>
      <name val="Arial"/>
      <charset val="1"/>
    </font>
    <font>
      <b/>
      <sz val="13"/>
      <color rgb="FF1B4F72"/>
      <name val="Arial"/>
      <charset val="1"/>
    </font>
    <font>
      <i/>
      <sz val="9"/>
      <color rgb="FF888888"/>
      <name val="Arial"/>
      <charset val="1"/>
    </font>
    <font>
      <sz val="9"/>
      <color rgb="FF856404"/>
      <name val="Arial"/>
      <charset val="1"/>
    </font>
    <font>
      <sz val="10"/>
      <color rgb="FF000000"/>
      <name val="Arial"/>
      <charset val="1"/>
    </font>
    <font>
      <b/>
      <sz val="12"/>
      <color rgb="FF1B4F72"/>
      <name val="Arial"/>
      <charset val="1"/>
    </font>
    <font>
      <b/>
      <sz val="12"/>
      <color rgb="FF000000"/>
      <name val="Arial"/>
      <charset val="1"/>
    </font>
    <font>
      <b/>
      <sz val="11"/>
      <color rgb="FF1A2B4A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rgb="FF1A2B4A"/>
        <bgColor rgb="FF333300"/>
      </patternFill>
    </fill>
    <fill>
      <patternFill patternType="solid">
        <fgColor rgb="FF2E4D8A"/>
        <bgColor rgb="FF1B4F72"/>
      </patternFill>
    </fill>
    <fill>
      <patternFill patternType="solid">
        <fgColor rgb="FF3A7EBF"/>
        <bgColor rgb="FF0066CC"/>
      </patternFill>
    </fill>
    <fill>
      <patternFill patternType="solid">
        <fgColor rgb="FFFFFFFF"/>
        <bgColor rgb="FFF2F4F7"/>
      </patternFill>
    </fill>
    <fill>
      <patternFill patternType="solid">
        <fgColor rgb="FFD6E4F0"/>
        <bgColor rgb="FFD0D8E8"/>
      </patternFill>
    </fill>
    <fill>
      <patternFill patternType="solid">
        <fgColor rgb="FFF2F4F7"/>
        <bgColor rgb="FFEBF5FB"/>
      </patternFill>
    </fill>
    <fill>
      <patternFill patternType="solid">
        <fgColor rgb="FFEBF5FB"/>
        <bgColor rgb="FFF2F4F7"/>
      </patternFill>
    </fill>
    <fill>
      <patternFill patternType="solid">
        <fgColor rgb="FFFFF3CD"/>
        <bgColor rgb="FFF2F4F7"/>
      </patternFill>
    </fill>
  </fills>
  <borders count="3">
    <border>
      <left/>
      <right/>
      <top/>
      <bottom/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thin">
        <color rgb="FFBDC3C7"/>
      </left>
      <right/>
      <top style="thin">
        <color rgb="FFBDC3C7"/>
      </top>
      <bottom style="thin">
        <color rgb="FFBDC3C7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7" fillId="4" borderId="1" xfId="0" applyFont="1" applyFill="1" applyBorder="1" applyAlignment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10" fontId="8" fillId="5" borderId="1" xfId="0" applyNumberFormat="1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49" fontId="8" fillId="6" borderId="1" xfId="0" applyNumberFormat="1" applyFont="1" applyFill="1" applyBorder="1" applyAlignment="1">
      <alignment horizontal="center" vertical="center"/>
    </xf>
    <xf numFmtId="4" fontId="8" fillId="6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0" fontId="8" fillId="6" borderId="1" xfId="0" applyNumberFormat="1" applyFont="1" applyFill="1" applyBorder="1" applyAlignment="1">
      <alignment horizontal="center" vertical="center"/>
    </xf>
    <xf numFmtId="165" fontId="8" fillId="6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64" fontId="0" fillId="0" borderId="0" xfId="0" applyNumberFormat="1"/>
    <xf numFmtId="0" fontId="7" fillId="2" borderId="1" xfId="0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/>
    </xf>
    <xf numFmtId="164" fontId="13" fillId="8" borderId="1" xfId="0" applyNumberFormat="1" applyFont="1" applyFill="1" applyBorder="1" applyAlignment="1">
      <alignment horizontal="center" vertical="center"/>
    </xf>
    <xf numFmtId="10" fontId="13" fillId="8" borderId="1" xfId="0" applyNumberFormat="1" applyFont="1" applyFill="1" applyBorder="1" applyAlignment="1">
      <alignment horizontal="center" vertical="center"/>
    </xf>
    <xf numFmtId="164" fontId="14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/>
    </xf>
    <xf numFmtId="166" fontId="13" fillId="8" borderId="1" xfId="0" applyNumberFormat="1" applyFont="1" applyFill="1" applyBorder="1" applyAlignment="1">
      <alignment horizontal="center" vertical="center"/>
    </xf>
    <xf numFmtId="49" fontId="13" fillId="8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164" fontId="17" fillId="8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165" fontId="13" fillId="8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165" fontId="14" fillId="2" borderId="1" xfId="0" applyNumberFormat="1" applyFont="1" applyFill="1" applyBorder="1" applyAlignment="1">
      <alignment horizontal="center" vertical="center"/>
    </xf>
    <xf numFmtId="164" fontId="21" fillId="8" borderId="1" xfId="0" applyNumberFormat="1" applyFont="1" applyFill="1" applyBorder="1" applyAlignment="1">
      <alignment horizontal="center" vertical="center"/>
    </xf>
    <xf numFmtId="10" fontId="21" fillId="8" borderId="1" xfId="0" applyNumberFormat="1" applyFont="1" applyFill="1" applyBorder="1" applyAlignment="1">
      <alignment horizontal="center" vertical="center"/>
    </xf>
    <xf numFmtId="3" fontId="21" fillId="8" borderId="1" xfId="0" applyNumberFormat="1" applyFont="1" applyFill="1" applyBorder="1" applyAlignment="1">
      <alignment horizontal="center" vertical="center"/>
    </xf>
    <xf numFmtId="10" fontId="22" fillId="6" borderId="1" xfId="0" applyNumberFormat="1" applyFont="1" applyFill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167" fontId="23" fillId="6" borderId="1" xfId="0" applyNumberFormat="1" applyFont="1" applyFill="1" applyBorder="1" applyAlignment="1">
      <alignment horizontal="center" vertical="center"/>
    </xf>
    <xf numFmtId="3" fontId="8" fillId="6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6" fillId="7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top"/>
    </xf>
    <xf numFmtId="0" fontId="10" fillId="7" borderId="0" xfId="0" applyFont="1" applyFill="1" applyAlignment="1">
      <alignment horizontal="left" vertical="center"/>
    </xf>
    <xf numFmtId="0" fontId="9" fillId="7" borderId="0" xfId="0" applyFont="1" applyFill="1" applyAlignment="1">
      <alignment horizontal="left" vertical="center"/>
    </xf>
    <xf numFmtId="0" fontId="12" fillId="8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left" vertical="center"/>
    </xf>
    <xf numFmtId="0" fontId="19" fillId="9" borderId="0" xfId="0" applyFont="1" applyFill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6404"/>
      <rgbColor rgb="FF7B1FA2"/>
      <rgbColor rgb="FF008080"/>
      <rgbColor rgb="FFBDC3C7"/>
      <rgbColor rgb="FF888888"/>
      <rgbColor rgb="FF9999FF"/>
      <rgbColor rgb="FF993366"/>
      <rgbColor rgb="FFFFF3CD"/>
      <rgbColor rgb="FFEBF5FB"/>
      <rgbColor rgb="FF660066"/>
      <rgbColor rgb="FFFF8080"/>
      <rgbColor rgb="FF0066CC"/>
      <rgbColor rgb="FFD0D8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F2F4F7"/>
      <rgbColor rgb="FFFFFF99"/>
      <rgbColor rgb="FFAABBCC"/>
      <rgbColor rgb="FFFF99CC"/>
      <rgbColor rgb="FFCC99FF"/>
      <rgbColor rgb="FFFFCC99"/>
      <rgbColor rgb="FF3A7EBF"/>
      <rgbColor rgb="FF33CCCC"/>
      <rgbColor rgb="FF99CC00"/>
      <rgbColor rgb="FFFFCC00"/>
      <rgbColor rgb="FFF0A500"/>
      <rgbColor rgb="FFFF6600"/>
      <rgbColor rgb="FF555555"/>
      <rgbColor rgb="FF969696"/>
      <rgbColor rgb="FF1B4F72"/>
      <rgbColor rgb="FF2E7D32"/>
      <rgbColor rgb="FF003300"/>
      <rgbColor rgb="FF333300"/>
      <rgbColor rgb="FF993300"/>
      <rgbColor rgb="FF993366"/>
      <rgbColor rgb="FF2E4D8A"/>
      <rgbColor rgb="FF1A2B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A2B4A"/>
    <pageSetUpPr fitToPage="1"/>
  </sheetPr>
  <dimension ref="B1:J32"/>
  <sheetViews>
    <sheetView showGridLines="0" tabSelected="1" zoomScaleNormal="100" workbookViewId="0">
      <selection activeCell="B5" sqref="B5:C5"/>
    </sheetView>
  </sheetViews>
  <sheetFormatPr baseColWidth="10" defaultColWidth="8.7109375" defaultRowHeight="15" x14ac:dyDescent="0.25"/>
  <cols>
    <col min="1" max="1" width="2" customWidth="1"/>
    <col min="2" max="2" width="22" customWidth="1"/>
    <col min="3" max="3" width="14" customWidth="1"/>
    <col min="4" max="4" width="10" customWidth="1"/>
    <col min="5" max="5" width="12" customWidth="1"/>
    <col min="6" max="8" width="13" customWidth="1"/>
    <col min="9" max="9" width="11" bestFit="1" customWidth="1"/>
    <col min="10" max="10" width="14" customWidth="1"/>
    <col min="11" max="11" width="2" customWidth="1"/>
  </cols>
  <sheetData>
    <row r="1" spans="2:10" ht="7.5" customHeight="1" x14ac:dyDescent="0.25"/>
    <row r="2" spans="2:10" ht="37.5" customHeight="1" x14ac:dyDescent="0.25">
      <c r="B2" s="43" t="s">
        <v>0</v>
      </c>
      <c r="C2" s="43"/>
      <c r="D2" s="43"/>
      <c r="E2" s="43"/>
      <c r="F2" s="43"/>
      <c r="G2" s="43"/>
      <c r="H2" s="43"/>
      <c r="I2" s="43"/>
      <c r="J2" s="43"/>
    </row>
    <row r="3" spans="2:10" ht="21.75" customHeight="1" x14ac:dyDescent="0.25">
      <c r="B3" s="44" t="s">
        <v>1</v>
      </c>
      <c r="C3" s="44"/>
      <c r="D3" s="44"/>
      <c r="E3" s="44"/>
      <c r="F3" s="44"/>
      <c r="G3" s="44"/>
      <c r="H3" s="44"/>
      <c r="I3" s="44"/>
      <c r="J3" s="44"/>
    </row>
    <row r="5" spans="2:10" ht="19.5" customHeight="1" x14ac:dyDescent="0.25">
      <c r="B5" s="45" t="s">
        <v>2</v>
      </c>
      <c r="C5" s="45"/>
      <c r="D5" s="45" t="s">
        <v>3</v>
      </c>
      <c r="E5" s="45"/>
      <c r="F5" s="45" t="s">
        <v>4</v>
      </c>
      <c r="G5" s="45"/>
      <c r="H5" s="45" t="s">
        <v>5</v>
      </c>
      <c r="I5" s="45"/>
    </row>
    <row r="6" spans="2:10" ht="36" customHeight="1" x14ac:dyDescent="0.25">
      <c r="B6" s="46">
        <f>Positionen!N1</f>
        <v>12232.449999999999</v>
      </c>
      <c r="C6" s="46"/>
      <c r="D6" s="46">
        <f>Positionen!L1</f>
        <v>11334.6</v>
      </c>
      <c r="E6" s="46"/>
      <c r="F6" s="46">
        <f>Positionen!M1</f>
        <v>897.85000000000036</v>
      </c>
      <c r="G6" s="46"/>
      <c r="H6" s="47">
        <f>IFERROR(Positionen!M1/Positionen!L1,0)</f>
        <v>7.9213205582905469E-2</v>
      </c>
      <c r="I6" s="47"/>
    </row>
    <row r="7" spans="2:10" ht="21.75" customHeight="1" x14ac:dyDescent="0.25">
      <c r="B7" s="48" t="s">
        <v>6</v>
      </c>
      <c r="C7" s="48"/>
      <c r="D7" s="48" t="s">
        <v>7</v>
      </c>
      <c r="E7" s="48"/>
      <c r="F7" s="48" t="s">
        <v>8</v>
      </c>
      <c r="G7" s="48"/>
      <c r="H7" s="48" t="s">
        <v>9</v>
      </c>
      <c r="I7" s="48"/>
    </row>
    <row r="8" spans="2:10" ht="7.5" customHeight="1" x14ac:dyDescent="0.25"/>
    <row r="9" spans="2:10" ht="6" customHeight="1" x14ac:dyDescent="0.25"/>
    <row r="10" spans="2:10" ht="24" customHeight="1" x14ac:dyDescent="0.25">
      <c r="B10" s="42" t="s">
        <v>10</v>
      </c>
      <c r="C10" s="42"/>
      <c r="D10" s="42"/>
      <c r="E10" s="42"/>
      <c r="F10" s="42"/>
      <c r="G10" s="42"/>
      <c r="H10" s="42"/>
      <c r="I10" s="42"/>
      <c r="J10" s="42"/>
    </row>
    <row r="11" spans="2:10" ht="19.5" customHeight="1" x14ac:dyDescent="0.25">
      <c r="B11" s="1" t="s">
        <v>11</v>
      </c>
      <c r="C11" s="1" t="s">
        <v>12</v>
      </c>
      <c r="D11" s="1" t="s">
        <v>13</v>
      </c>
      <c r="E11" s="1" t="s">
        <v>14</v>
      </c>
      <c r="F11" s="1" t="s">
        <v>15</v>
      </c>
      <c r="G11" s="1" t="s">
        <v>16</v>
      </c>
      <c r="H11" s="1" t="s">
        <v>17</v>
      </c>
      <c r="I11" s="1" t="s">
        <v>18</v>
      </c>
      <c r="J11" s="1" t="s">
        <v>19</v>
      </c>
    </row>
    <row r="12" spans="2:10" ht="18.75" customHeight="1" x14ac:dyDescent="0.25">
      <c r="B12" s="2">
        <f>Positionen!B5</f>
        <v>0</v>
      </c>
      <c r="C12" s="2">
        <f>Positionen!C5</f>
        <v>0</v>
      </c>
      <c r="D12" s="3">
        <f>Positionen!D5</f>
        <v>0</v>
      </c>
      <c r="E12" s="4">
        <f>Positionen!E5</f>
        <v>0</v>
      </c>
      <c r="F12" s="4">
        <f>Positionen!F5</f>
        <v>0</v>
      </c>
      <c r="G12" s="4">
        <f>Positionen!G5</f>
        <v>0</v>
      </c>
      <c r="H12" s="4">
        <f>Positionen!H5</f>
        <v>0</v>
      </c>
      <c r="I12" s="5">
        <f>Positionen!I5</f>
        <v>0</v>
      </c>
      <c r="J12" s="6">
        <f>Positionen!J5</f>
        <v>0</v>
      </c>
    </row>
    <row r="13" spans="2:10" ht="18.75" customHeight="1" x14ac:dyDescent="0.25">
      <c r="B13" s="7" t="str">
        <f>Positionen!B6</f>
        <v>ETF / Wertpapier</v>
      </c>
      <c r="C13" s="7" t="str">
        <f>Positionen!C6</f>
        <v>ISIN</v>
      </c>
      <c r="D13" s="8" t="str">
        <f>Positionen!D6</f>
        <v>Kategorie</v>
      </c>
      <c r="E13" s="9" t="str">
        <f>Positionen!E6</f>
        <v>Anteile</v>
      </c>
      <c r="F13" s="9" t="str">
        <f>Positionen!F6</f>
        <v>Einst.-Kurs (€)</v>
      </c>
      <c r="G13" s="9" t="str">
        <f>Positionen!G6</f>
        <v>Akt. Kurs (€)</v>
      </c>
      <c r="H13" s="9" t="str">
        <f>Positionen!H6</f>
        <v>Einst.-Wert (€)</v>
      </c>
      <c r="I13" s="10" t="str">
        <f>Positionen!I6</f>
        <v>Akt. Wert (€)</v>
      </c>
      <c r="J13" s="11" t="str">
        <f>Positionen!J6</f>
        <v>G/V (€)</v>
      </c>
    </row>
    <row r="14" spans="2:10" ht="18.75" customHeight="1" x14ac:dyDescent="0.25">
      <c r="B14" s="2" t="str">
        <f>Positionen!B7</f>
        <v>Globaler Aktien-ETF A</v>
      </c>
      <c r="C14" s="2" t="str">
        <f>Positionen!C7</f>
        <v>LU0000000001</v>
      </c>
      <c r="D14" s="3" t="str">
        <f>Positionen!D7</f>
        <v>Aktien</v>
      </c>
      <c r="E14" s="4">
        <f>Positionen!E7</f>
        <v>47</v>
      </c>
      <c r="F14" s="4">
        <f>Positionen!F7</f>
        <v>82.5</v>
      </c>
      <c r="G14" s="4">
        <f>Positionen!G7</f>
        <v>95.4</v>
      </c>
      <c r="H14" s="4">
        <f>Positionen!H7</f>
        <v>3877.5</v>
      </c>
      <c r="I14" s="5">
        <f>Positionen!I7</f>
        <v>4483.8</v>
      </c>
      <c r="J14" s="6">
        <f>Positionen!J7</f>
        <v>606.30000000000018</v>
      </c>
    </row>
    <row r="15" spans="2:10" ht="18.75" customHeight="1" x14ac:dyDescent="0.25">
      <c r="B15" s="7" t="str">
        <f>Positionen!B8</f>
        <v>Schwellenländer-ETF B</v>
      </c>
      <c r="C15" s="7" t="str">
        <f>Positionen!C8</f>
        <v>IE0000000002</v>
      </c>
      <c r="D15" s="8" t="str">
        <f>Positionen!D8</f>
        <v>Aktien</v>
      </c>
      <c r="E15" s="9">
        <f>Positionen!E8</f>
        <v>31</v>
      </c>
      <c r="F15" s="9">
        <f>Positionen!F8</f>
        <v>38.200000000000003</v>
      </c>
      <c r="G15" s="9">
        <f>Positionen!G8</f>
        <v>41.75</v>
      </c>
      <c r="H15" s="9">
        <f>Positionen!H8</f>
        <v>1184.2</v>
      </c>
      <c r="I15" s="10">
        <f>Positionen!I8</f>
        <v>1294.25</v>
      </c>
      <c r="J15" s="11">
        <f>Positionen!J8</f>
        <v>110.04999999999995</v>
      </c>
    </row>
    <row r="16" spans="2:10" ht="18.75" customHeight="1" x14ac:dyDescent="0.25">
      <c r="B16" s="2" t="str">
        <f>Positionen!B9</f>
        <v>Europa Dividenden-ETF C</v>
      </c>
      <c r="C16" s="2" t="str">
        <f>Positionen!C9</f>
        <v>IE0000000003</v>
      </c>
      <c r="D16" s="3" t="str">
        <f>Positionen!D9</f>
        <v>Aktien</v>
      </c>
      <c r="E16" s="4">
        <f>Positionen!E9</f>
        <v>25</v>
      </c>
      <c r="F16" s="4">
        <f>Positionen!F9</f>
        <v>55.1</v>
      </c>
      <c r="G16" s="4">
        <f>Positionen!G9</f>
        <v>59.8</v>
      </c>
      <c r="H16" s="4">
        <f>Positionen!H9</f>
        <v>1377.5</v>
      </c>
      <c r="I16" s="5">
        <f>Positionen!I9</f>
        <v>1495</v>
      </c>
      <c r="J16" s="6">
        <f>Positionen!J9</f>
        <v>117.5</v>
      </c>
    </row>
    <row r="17" spans="2:10" ht="18.75" customHeight="1" x14ac:dyDescent="0.25">
      <c r="B17" s="7" t="str">
        <f>Positionen!B10</f>
        <v>Anleihen Kern-ETF D</v>
      </c>
      <c r="C17" s="7" t="str">
        <f>Positionen!C10</f>
        <v>LU0000000004</v>
      </c>
      <c r="D17" s="8" t="str">
        <f>Positionen!D10</f>
        <v>Anleihen</v>
      </c>
      <c r="E17" s="9">
        <f>Positionen!E10</f>
        <v>60</v>
      </c>
      <c r="F17" s="9">
        <f>Positionen!F10</f>
        <v>47.8</v>
      </c>
      <c r="G17" s="9">
        <f>Positionen!G10</f>
        <v>48.9</v>
      </c>
      <c r="H17" s="9">
        <f>Positionen!H10</f>
        <v>2868</v>
      </c>
      <c r="I17" s="10">
        <f>Positionen!I10</f>
        <v>2934</v>
      </c>
      <c r="J17" s="11">
        <f>Positionen!J10</f>
        <v>66</v>
      </c>
    </row>
    <row r="18" spans="2:10" ht="7.5" customHeight="1" x14ac:dyDescent="0.25"/>
    <row r="19" spans="2:10" ht="24" customHeight="1" x14ac:dyDescent="0.25">
      <c r="B19" s="42" t="s">
        <v>20</v>
      </c>
      <c r="C19" s="42"/>
      <c r="D19" s="42"/>
      <c r="E19" s="42"/>
      <c r="F19" s="42"/>
      <c r="G19" s="42"/>
      <c r="H19" s="42"/>
      <c r="I19" s="42"/>
      <c r="J19" s="42"/>
    </row>
    <row r="20" spans="2:10" ht="19.5" customHeight="1" x14ac:dyDescent="0.25">
      <c r="B20" s="1" t="s">
        <v>11</v>
      </c>
      <c r="C20" s="1" t="s">
        <v>21</v>
      </c>
      <c r="D20" s="1" t="s">
        <v>22</v>
      </c>
      <c r="E20" s="1" t="s">
        <v>23</v>
      </c>
      <c r="F20" s="1" t="s">
        <v>24</v>
      </c>
    </row>
    <row r="21" spans="2:10" ht="18.75" customHeight="1" x14ac:dyDescent="0.25">
      <c r="B21" s="12" t="str">
        <f>Rebalancing!B7</f>
        <v>Globaler Aktien-ETF A</v>
      </c>
      <c r="C21" s="6">
        <f>Rebalancing!F7</f>
        <v>0.36654962824291132</v>
      </c>
      <c r="D21" s="6">
        <f>Rebalancing!E7</f>
        <v>0.4</v>
      </c>
      <c r="E21" s="6">
        <f>Rebalancing!G7</f>
        <v>-3.3450371757088704E-2</v>
      </c>
      <c r="F21" s="12" t="str">
        <f>IF(ABS(Rebalancing!G7)&gt;0.05,"Anpassen","OK")</f>
        <v>OK</v>
      </c>
    </row>
    <row r="22" spans="2:10" ht="18.75" customHeight="1" x14ac:dyDescent="0.25">
      <c r="B22" s="13" t="str">
        <f>Rebalancing!B8</f>
        <v>Schwellenländer-ETF B</v>
      </c>
      <c r="C22" s="11">
        <f>Rebalancing!F8</f>
        <v>0.10580464256955885</v>
      </c>
      <c r="D22" s="11">
        <f>Rebalancing!E8</f>
        <v>0.2</v>
      </c>
      <c r="E22" s="11">
        <f>Rebalancing!G8</f>
        <v>-9.4195357430441162E-2</v>
      </c>
      <c r="F22" s="13" t="str">
        <f>IF(ABS(Rebalancing!G8)&gt;0.05,"Anpassen","OK")</f>
        <v>Anpassen</v>
      </c>
    </row>
    <row r="23" spans="2:10" ht="18.75" customHeight="1" x14ac:dyDescent="0.25">
      <c r="B23" s="12" t="str">
        <f>Rebalancing!B9</f>
        <v>Europa Dividenden-ETF C</v>
      </c>
      <c r="C23" s="6">
        <f>Rebalancing!F9</f>
        <v>0.12221590932315277</v>
      </c>
      <c r="D23" s="6">
        <f>Rebalancing!E9</f>
        <v>0.15</v>
      </c>
      <c r="E23" s="6">
        <f>Rebalancing!G9</f>
        <v>-2.7784090676847228E-2</v>
      </c>
      <c r="F23" s="12" t="str">
        <f>IF(ABS(Rebalancing!G9)&gt;0.05,"Anpassen","OK")</f>
        <v>OK</v>
      </c>
    </row>
    <row r="24" spans="2:10" ht="18.75" customHeight="1" x14ac:dyDescent="0.25">
      <c r="B24" s="13" t="str">
        <f>Rebalancing!B10</f>
        <v>Anleihen Kern-ETF D</v>
      </c>
      <c r="C24" s="11">
        <f>Rebalancing!F10</f>
        <v>0.23985383140744498</v>
      </c>
      <c r="D24" s="11">
        <f>Rebalancing!E10</f>
        <v>0.1</v>
      </c>
      <c r="E24" s="11">
        <f>Rebalancing!G10</f>
        <v>0.13985383140744498</v>
      </c>
      <c r="F24" s="13" t="str">
        <f>IF(ABS(Rebalancing!G10)&gt;0.05,"Anpassen","OK")</f>
        <v>Anpassen</v>
      </c>
    </row>
    <row r="25" spans="2:10" ht="18.75" customHeight="1" x14ac:dyDescent="0.25">
      <c r="B25" s="12" t="str">
        <f>Rebalancing!B11</f>
        <v>Rohstoffe Breit-ETF E</v>
      </c>
      <c r="C25" s="6">
        <f>Rebalancing!F11</f>
        <v>8.6082510045003252E-2</v>
      </c>
      <c r="D25" s="6">
        <f>Rebalancing!E11</f>
        <v>0.1</v>
      </c>
      <c r="E25" s="6">
        <f>Rebalancing!G11</f>
        <v>-1.3917489954996753E-2</v>
      </c>
      <c r="F25" s="12" t="str">
        <f>IF(ABS(Rebalancing!G11)&gt;0.05,"Anpassen","OK")</f>
        <v>OK</v>
      </c>
    </row>
    <row r="26" spans="2:10" ht="18.75" customHeight="1" x14ac:dyDescent="0.25">
      <c r="B26" s="13" t="str">
        <f>Rebalancing!B12</f>
        <v>Immobilien (REIT) ETF F</v>
      </c>
      <c r="C26" s="11">
        <f>Rebalancing!F12</f>
        <v>7.9493478411928942E-2</v>
      </c>
      <c r="D26" s="11">
        <f>Rebalancing!E12</f>
        <v>0.05</v>
      </c>
      <c r="E26" s="11">
        <f>Rebalancing!G12</f>
        <v>2.9493478411928939E-2</v>
      </c>
      <c r="F26" s="13" t="str">
        <f>IF(ABS(Rebalancing!G12)&gt;0.05,"Anpassen","OK")</f>
        <v>OK</v>
      </c>
    </row>
    <row r="27" spans="2:10" ht="7.5" customHeight="1" x14ac:dyDescent="0.25"/>
    <row r="28" spans="2:10" ht="21.75" customHeight="1" x14ac:dyDescent="0.25">
      <c r="B28" s="50" t="s">
        <v>25</v>
      </c>
      <c r="C28" s="50"/>
      <c r="D28" s="50"/>
      <c r="E28" s="50"/>
      <c r="F28" s="50"/>
      <c r="G28" s="50"/>
      <c r="H28" s="50"/>
      <c r="I28" s="50"/>
      <c r="J28" s="50"/>
    </row>
    <row r="29" spans="2:10" ht="16.5" customHeight="1" x14ac:dyDescent="0.25">
      <c r="B29" s="49" t="s">
        <v>26</v>
      </c>
      <c r="C29" s="49"/>
      <c r="D29" s="49"/>
      <c r="E29" s="49"/>
      <c r="F29" s="49"/>
      <c r="G29" s="49"/>
      <c r="H29" s="49"/>
      <c r="I29" s="49"/>
      <c r="J29" s="49"/>
    </row>
    <row r="30" spans="2:10" ht="16.5" customHeight="1" x14ac:dyDescent="0.25">
      <c r="B30" s="49" t="s">
        <v>27</v>
      </c>
      <c r="C30" s="49"/>
      <c r="D30" s="49"/>
      <c r="E30" s="49"/>
      <c r="F30" s="49"/>
      <c r="G30" s="49"/>
      <c r="H30" s="49"/>
      <c r="I30" s="49"/>
      <c r="J30" s="49"/>
    </row>
    <row r="31" spans="2:10" ht="16.5" customHeight="1" x14ac:dyDescent="0.25">
      <c r="B31" s="49" t="s">
        <v>28</v>
      </c>
      <c r="C31" s="49"/>
      <c r="D31" s="49"/>
      <c r="E31" s="49"/>
      <c r="F31" s="49"/>
      <c r="G31" s="49"/>
      <c r="H31" s="49"/>
      <c r="I31" s="49"/>
      <c r="J31" s="49"/>
    </row>
    <row r="32" spans="2:10" ht="16.5" customHeight="1" x14ac:dyDescent="0.25">
      <c r="B32" s="49" t="s">
        <v>29</v>
      </c>
      <c r="C32" s="49"/>
      <c r="D32" s="49"/>
      <c r="E32" s="49"/>
      <c r="F32" s="49"/>
      <c r="G32" s="49"/>
      <c r="H32" s="49"/>
      <c r="I32" s="49"/>
      <c r="J32" s="49"/>
    </row>
  </sheetData>
  <mergeCells count="21">
    <mergeCell ref="B31:J31"/>
    <mergeCell ref="B32:J32"/>
    <mergeCell ref="B10:J10"/>
    <mergeCell ref="B19:J19"/>
    <mergeCell ref="B28:J28"/>
    <mergeCell ref="B29:J29"/>
    <mergeCell ref="B30:J30"/>
    <mergeCell ref="B6:C6"/>
    <mergeCell ref="D6:E6"/>
    <mergeCell ref="F6:G6"/>
    <mergeCell ref="H6:I6"/>
    <mergeCell ref="B7:C7"/>
    <mergeCell ref="D7:E7"/>
    <mergeCell ref="F7:G7"/>
    <mergeCell ref="H7:I7"/>
    <mergeCell ref="B2:J2"/>
    <mergeCell ref="B3:J3"/>
    <mergeCell ref="B5:C5"/>
    <mergeCell ref="D5:E5"/>
    <mergeCell ref="F5:G5"/>
    <mergeCell ref="H5:I5"/>
  </mergeCells>
  <pageMargins left="0.75" right="0.75" top="1" bottom="1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A7EBF"/>
    <pageSetUpPr fitToPage="1"/>
  </sheetPr>
  <dimension ref="B1:O2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3" width="16" customWidth="1"/>
    <col min="4" max="4" width="10" customWidth="1"/>
    <col min="5" max="8" width="13" customWidth="1"/>
    <col min="9" max="10" width="10" customWidth="1"/>
    <col min="11" max="11" width="16" customWidth="1"/>
    <col min="12" max="14" width="13" customWidth="1"/>
    <col min="15" max="15" width="2" customWidth="1"/>
  </cols>
  <sheetData>
    <row r="1" spans="2:15" ht="0.75" customHeight="1" x14ac:dyDescent="0.25">
      <c r="L1" s="14">
        <f>H14</f>
        <v>11334.6</v>
      </c>
      <c r="M1" s="14">
        <f>J14</f>
        <v>897.85000000000036</v>
      </c>
      <c r="N1" s="14">
        <f>I14</f>
        <v>12232.449999999999</v>
      </c>
    </row>
    <row r="2" spans="2:15" ht="33.75" customHeight="1" x14ac:dyDescent="0.25">
      <c r="B2" s="40" t="s">
        <v>30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2:15" ht="18" customHeight="1" x14ac:dyDescent="0.25">
      <c r="B3" s="51" t="s">
        <v>31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pans="2:15" ht="7.5" customHeight="1" x14ac:dyDescent="0.25"/>
    <row r="5" spans="2:15" ht="7.5" customHeight="1" x14ac:dyDescent="0.25"/>
    <row r="6" spans="2:15" ht="21.75" customHeight="1" x14ac:dyDescent="0.25">
      <c r="B6" s="15" t="s">
        <v>11</v>
      </c>
      <c r="C6" s="15" t="s">
        <v>12</v>
      </c>
      <c r="D6" s="15" t="s">
        <v>32</v>
      </c>
      <c r="E6" s="15" t="s">
        <v>13</v>
      </c>
      <c r="F6" s="15" t="s">
        <v>33</v>
      </c>
      <c r="G6" s="15" t="s">
        <v>15</v>
      </c>
      <c r="H6" s="15" t="s">
        <v>34</v>
      </c>
      <c r="I6" s="15" t="s">
        <v>16</v>
      </c>
      <c r="J6" s="15" t="s">
        <v>17</v>
      </c>
      <c r="K6" s="15" t="s">
        <v>18</v>
      </c>
      <c r="L6" s="15" t="s">
        <v>35</v>
      </c>
      <c r="M6" s="15" t="s">
        <v>36</v>
      </c>
      <c r="N6" s="15" t="s">
        <v>37</v>
      </c>
      <c r="O6" s="15" t="s">
        <v>38</v>
      </c>
    </row>
    <row r="7" spans="2:15" ht="19.5" customHeight="1" x14ac:dyDescent="0.25">
      <c r="B7" s="16" t="s">
        <v>39</v>
      </c>
      <c r="C7" s="16" t="s">
        <v>40</v>
      </c>
      <c r="D7" s="16" t="s">
        <v>41</v>
      </c>
      <c r="E7" s="17">
        <v>47</v>
      </c>
      <c r="F7" s="18">
        <v>82.5</v>
      </c>
      <c r="G7" s="18">
        <v>95.4</v>
      </c>
      <c r="H7" s="4">
        <f t="shared" ref="H7:H12" si="0">E7*F7</f>
        <v>3877.5</v>
      </c>
      <c r="I7" s="4">
        <f t="shared" ref="I7:I12" si="1">E7*G7</f>
        <v>4483.8</v>
      </c>
      <c r="J7" s="4">
        <f t="shared" ref="J7:J12" si="2">I7-H7</f>
        <v>606.30000000000018</v>
      </c>
      <c r="K7" s="5">
        <f t="shared" ref="K7:K12" si="3">IFERROR((G7-F7)/F7,0)</f>
        <v>0.15636363636363643</v>
      </c>
      <c r="L7" s="18">
        <v>0</v>
      </c>
      <c r="M7" s="19">
        <v>0.2</v>
      </c>
      <c r="N7" s="16" t="s">
        <v>42</v>
      </c>
      <c r="O7" s="16" t="s">
        <v>43</v>
      </c>
    </row>
    <row r="8" spans="2:15" ht="19.5" customHeight="1" x14ac:dyDescent="0.25">
      <c r="B8" s="16" t="s">
        <v>44</v>
      </c>
      <c r="C8" s="16" t="s">
        <v>45</v>
      </c>
      <c r="D8" s="16" t="s">
        <v>41</v>
      </c>
      <c r="E8" s="17">
        <v>31</v>
      </c>
      <c r="F8" s="18">
        <v>38.200000000000003</v>
      </c>
      <c r="G8" s="18">
        <v>41.75</v>
      </c>
      <c r="H8" s="9">
        <f t="shared" si="0"/>
        <v>1184.2</v>
      </c>
      <c r="I8" s="9">
        <f t="shared" si="1"/>
        <v>1294.25</v>
      </c>
      <c r="J8" s="9">
        <f t="shared" si="2"/>
        <v>110.04999999999995</v>
      </c>
      <c r="K8" s="10">
        <f t="shared" si="3"/>
        <v>9.2931937172774787E-2</v>
      </c>
      <c r="L8" s="18">
        <v>0</v>
      </c>
      <c r="M8" s="19">
        <v>0.25</v>
      </c>
      <c r="N8" s="16" t="s">
        <v>42</v>
      </c>
      <c r="O8" s="16" t="s">
        <v>46</v>
      </c>
    </row>
    <row r="9" spans="2:15" ht="19.5" customHeight="1" x14ac:dyDescent="0.25">
      <c r="B9" s="16" t="s">
        <v>47</v>
      </c>
      <c r="C9" s="16" t="s">
        <v>48</v>
      </c>
      <c r="D9" s="16" t="s">
        <v>41</v>
      </c>
      <c r="E9" s="17">
        <v>25</v>
      </c>
      <c r="F9" s="18">
        <v>55.1</v>
      </c>
      <c r="G9" s="18">
        <v>59.8</v>
      </c>
      <c r="H9" s="4">
        <f t="shared" si="0"/>
        <v>1377.5</v>
      </c>
      <c r="I9" s="4">
        <f t="shared" si="1"/>
        <v>1495</v>
      </c>
      <c r="J9" s="4">
        <f t="shared" si="2"/>
        <v>117.5</v>
      </c>
      <c r="K9" s="5">
        <f t="shared" si="3"/>
        <v>8.5299455535390117E-2</v>
      </c>
      <c r="L9" s="18">
        <v>1.85</v>
      </c>
      <c r="M9" s="19">
        <v>0.3</v>
      </c>
      <c r="N9" s="16" t="s">
        <v>42</v>
      </c>
      <c r="O9" s="16" t="s">
        <v>49</v>
      </c>
    </row>
    <row r="10" spans="2:15" ht="19.5" customHeight="1" x14ac:dyDescent="0.25">
      <c r="B10" s="16" t="s">
        <v>50</v>
      </c>
      <c r="C10" s="16" t="s">
        <v>51</v>
      </c>
      <c r="D10" s="16" t="s">
        <v>52</v>
      </c>
      <c r="E10" s="17">
        <v>60</v>
      </c>
      <c r="F10" s="18">
        <v>47.8</v>
      </c>
      <c r="G10" s="18">
        <v>48.9</v>
      </c>
      <c r="H10" s="9">
        <f t="shared" si="0"/>
        <v>2868</v>
      </c>
      <c r="I10" s="9">
        <f t="shared" si="1"/>
        <v>2934</v>
      </c>
      <c r="J10" s="9">
        <f t="shared" si="2"/>
        <v>66</v>
      </c>
      <c r="K10" s="10">
        <f t="shared" si="3"/>
        <v>2.3012552301255262E-2</v>
      </c>
      <c r="L10" s="18">
        <v>2.1</v>
      </c>
      <c r="M10" s="19">
        <v>0.15</v>
      </c>
      <c r="N10" s="16" t="s">
        <v>42</v>
      </c>
      <c r="O10" s="16" t="s">
        <v>53</v>
      </c>
    </row>
    <row r="11" spans="2:15" ht="19.5" customHeight="1" x14ac:dyDescent="0.25">
      <c r="B11" s="16" t="s">
        <v>54</v>
      </c>
      <c r="C11" s="16" t="s">
        <v>55</v>
      </c>
      <c r="D11" s="16" t="s">
        <v>56</v>
      </c>
      <c r="E11" s="17">
        <v>18</v>
      </c>
      <c r="F11" s="18">
        <v>61.3</v>
      </c>
      <c r="G11" s="18">
        <v>58.5</v>
      </c>
      <c r="H11" s="4">
        <f t="shared" si="0"/>
        <v>1103.3999999999999</v>
      </c>
      <c r="I11" s="4">
        <f t="shared" si="1"/>
        <v>1053</v>
      </c>
      <c r="J11" s="4">
        <f t="shared" si="2"/>
        <v>-50.399999999999864</v>
      </c>
      <c r="K11" s="5">
        <f t="shared" si="3"/>
        <v>-4.5676998368678584E-2</v>
      </c>
      <c r="L11" s="18">
        <v>0</v>
      </c>
      <c r="M11" s="19">
        <v>0.35</v>
      </c>
      <c r="N11" s="16" t="s">
        <v>42</v>
      </c>
      <c r="O11" s="16" t="s">
        <v>53</v>
      </c>
    </row>
    <row r="12" spans="2:15" ht="19.5" customHeight="1" x14ac:dyDescent="0.25">
      <c r="B12" s="16" t="s">
        <v>57</v>
      </c>
      <c r="C12" s="16" t="s">
        <v>58</v>
      </c>
      <c r="D12" s="16" t="s">
        <v>59</v>
      </c>
      <c r="E12" s="17">
        <v>22</v>
      </c>
      <c r="F12" s="18">
        <v>42</v>
      </c>
      <c r="G12" s="18">
        <v>44.2</v>
      </c>
      <c r="H12" s="9">
        <f t="shared" si="0"/>
        <v>924</v>
      </c>
      <c r="I12" s="9">
        <f t="shared" si="1"/>
        <v>972.40000000000009</v>
      </c>
      <c r="J12" s="9">
        <f t="shared" si="2"/>
        <v>48.400000000000091</v>
      </c>
      <c r="K12" s="10">
        <f t="shared" si="3"/>
        <v>5.2380952380952452E-2</v>
      </c>
      <c r="L12" s="18">
        <v>2.4</v>
      </c>
      <c r="M12" s="19">
        <v>0.4</v>
      </c>
      <c r="N12" s="16" t="s">
        <v>42</v>
      </c>
      <c r="O12" s="16" t="s">
        <v>53</v>
      </c>
    </row>
    <row r="13" spans="2:15" ht="7.5" customHeight="1" x14ac:dyDescent="0.25"/>
    <row r="14" spans="2:15" x14ac:dyDescent="0.25">
      <c r="B14" s="52" t="s">
        <v>60</v>
      </c>
      <c r="C14" s="52"/>
      <c r="D14" s="52"/>
      <c r="E14" s="52"/>
      <c r="F14" s="52"/>
      <c r="G14" s="52"/>
      <c r="H14" s="20">
        <f>SUM(H7:H12)</f>
        <v>11334.6</v>
      </c>
      <c r="I14" s="20">
        <f>SUM(I7:I12)</f>
        <v>12232.449999999999</v>
      </c>
      <c r="J14" s="20">
        <f>SUM(J7:J12)</f>
        <v>897.85000000000036</v>
      </c>
      <c r="K14" s="21">
        <f>IFERROR(J14/H14,0)</f>
        <v>7.9213205582905469E-2</v>
      </c>
    </row>
    <row r="16" spans="2:15" ht="7.5" customHeight="1" x14ac:dyDescent="0.25"/>
    <row r="17" spans="2:6" ht="24" customHeight="1" x14ac:dyDescent="0.25">
      <c r="B17" s="42" t="s">
        <v>61</v>
      </c>
      <c r="C17" s="42"/>
      <c r="D17" s="42"/>
      <c r="E17" s="42"/>
      <c r="F17" s="42"/>
    </row>
    <row r="18" spans="2:6" ht="19.5" customHeight="1" x14ac:dyDescent="0.25">
      <c r="B18" s="1" t="s">
        <v>32</v>
      </c>
      <c r="C18" s="1" t="s">
        <v>62</v>
      </c>
      <c r="D18" s="1" t="s">
        <v>16</v>
      </c>
      <c r="E18" s="1" t="s">
        <v>17</v>
      </c>
      <c r="F18" s="1" t="s">
        <v>19</v>
      </c>
    </row>
    <row r="19" spans="2:6" ht="18.75" customHeight="1" x14ac:dyDescent="0.25">
      <c r="B19" s="12" t="s">
        <v>41</v>
      </c>
      <c r="C19" s="4">
        <f>H7+H8+H9</f>
        <v>6439.2</v>
      </c>
      <c r="D19" s="4">
        <f>I7+I8+I9</f>
        <v>7273.05</v>
      </c>
      <c r="E19" s="4">
        <f>J7+J8+J9</f>
        <v>833.85000000000014</v>
      </c>
      <c r="F19" s="6">
        <f>IFERROR((I7+I8+I9)/$I$14,0)</f>
        <v>0.59457018013562291</v>
      </c>
    </row>
    <row r="20" spans="2:6" ht="18.75" customHeight="1" x14ac:dyDescent="0.25">
      <c r="B20" s="13" t="s">
        <v>52</v>
      </c>
      <c r="C20" s="9">
        <f t="shared" ref="C20:E22" si="4">H10</f>
        <v>2868</v>
      </c>
      <c r="D20" s="9">
        <f t="shared" si="4"/>
        <v>2934</v>
      </c>
      <c r="E20" s="9">
        <f t="shared" si="4"/>
        <v>66</v>
      </c>
      <c r="F20" s="11">
        <f>IFERROR((I10)/$I$14,0)</f>
        <v>0.23985383140744498</v>
      </c>
    </row>
    <row r="21" spans="2:6" ht="18.75" customHeight="1" x14ac:dyDescent="0.25">
      <c r="B21" s="12" t="s">
        <v>56</v>
      </c>
      <c r="C21" s="4">
        <f t="shared" si="4"/>
        <v>1103.3999999999999</v>
      </c>
      <c r="D21" s="4">
        <f t="shared" si="4"/>
        <v>1053</v>
      </c>
      <c r="E21" s="4">
        <f t="shared" si="4"/>
        <v>-50.399999999999864</v>
      </c>
      <c r="F21" s="6">
        <f>IFERROR((I11)/$I$14,0)</f>
        <v>8.6082510045003252E-2</v>
      </c>
    </row>
    <row r="22" spans="2:6" ht="18.75" customHeight="1" x14ac:dyDescent="0.25">
      <c r="B22" s="13" t="s">
        <v>59</v>
      </c>
      <c r="C22" s="9">
        <f t="shared" si="4"/>
        <v>924</v>
      </c>
      <c r="D22" s="9">
        <f t="shared" si="4"/>
        <v>972.40000000000009</v>
      </c>
      <c r="E22" s="9">
        <f t="shared" si="4"/>
        <v>48.400000000000091</v>
      </c>
      <c r="F22" s="11">
        <f>IFERROR((I12)/$I$14,0)</f>
        <v>7.9493478411928942E-2</v>
      </c>
    </row>
  </sheetData>
  <mergeCells count="4">
    <mergeCell ref="B2:N2"/>
    <mergeCell ref="B3:N3"/>
    <mergeCell ref="B14:G14"/>
    <mergeCell ref="B17:F17"/>
  </mergeCells>
  <pageMargins left="0.75" right="0.75" top="1" bottom="1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E7D32"/>
    <pageSetUpPr fitToPage="1"/>
  </sheetPr>
  <dimension ref="B1:K2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baseColWidth="10" defaultColWidth="8.7109375" defaultRowHeight="15" x14ac:dyDescent="0.25"/>
  <cols>
    <col min="1" max="1" width="2" customWidth="1"/>
    <col min="2" max="2" width="13" customWidth="1"/>
    <col min="3" max="3" width="26" customWidth="1"/>
    <col min="4" max="4" width="16" customWidth="1"/>
    <col min="5" max="6" width="12" customWidth="1"/>
    <col min="7" max="8" width="13" customWidth="1"/>
    <col min="9" max="9" width="14" customWidth="1"/>
    <col min="10" max="11" width="16" customWidth="1"/>
    <col min="12" max="12" width="2" customWidth="1"/>
  </cols>
  <sheetData>
    <row r="1" spans="2:11" ht="7.5" customHeight="1" x14ac:dyDescent="0.25"/>
    <row r="2" spans="2:11" ht="33.75" customHeight="1" x14ac:dyDescent="0.25">
      <c r="B2" s="40" t="s">
        <v>63</v>
      </c>
      <c r="C2" s="40"/>
      <c r="D2" s="40"/>
      <c r="E2" s="40"/>
      <c r="F2" s="40"/>
      <c r="G2" s="40"/>
      <c r="H2" s="40"/>
      <c r="I2" s="40"/>
      <c r="J2" s="40"/>
      <c r="K2" s="40"/>
    </row>
    <row r="3" spans="2:11" ht="18" customHeight="1" x14ac:dyDescent="0.25">
      <c r="B3" s="51" t="s">
        <v>64</v>
      </c>
      <c r="C3" s="51"/>
      <c r="D3" s="51"/>
      <c r="E3" s="51"/>
      <c r="F3" s="51"/>
      <c r="G3" s="51"/>
      <c r="H3" s="51"/>
      <c r="I3" s="51"/>
      <c r="J3" s="51"/>
      <c r="K3" s="51"/>
    </row>
    <row r="5" spans="2:11" ht="21.75" customHeight="1" x14ac:dyDescent="0.25">
      <c r="B5" s="15" t="s">
        <v>65</v>
      </c>
      <c r="C5" s="15" t="s">
        <v>11</v>
      </c>
      <c r="D5" s="15" t="s">
        <v>12</v>
      </c>
      <c r="E5" s="15" t="s">
        <v>66</v>
      </c>
      <c r="F5" s="15" t="s">
        <v>13</v>
      </c>
      <c r="G5" s="15" t="s">
        <v>67</v>
      </c>
      <c r="H5" s="15" t="s">
        <v>68</v>
      </c>
      <c r="I5" s="15" t="s">
        <v>69</v>
      </c>
      <c r="J5" s="15" t="s">
        <v>70</v>
      </c>
      <c r="K5" s="15" t="s">
        <v>71</v>
      </c>
    </row>
    <row r="6" spans="2:11" ht="18.75" customHeight="1" x14ac:dyDescent="0.25">
      <c r="B6" s="22" t="s">
        <v>72</v>
      </c>
      <c r="C6" s="23" t="s">
        <v>39</v>
      </c>
      <c r="D6" s="23" t="s">
        <v>40</v>
      </c>
      <c r="E6" s="23" t="s">
        <v>73</v>
      </c>
      <c r="F6" s="17">
        <v>20</v>
      </c>
      <c r="G6" s="18">
        <v>80.5</v>
      </c>
      <c r="H6" s="18">
        <v>1.5</v>
      </c>
      <c r="I6" s="4">
        <f t="shared" ref="I6:I18" si="0">IF(F6=0,H6,F6*G6+H6)</f>
        <v>1611.5</v>
      </c>
      <c r="J6" s="23" t="s">
        <v>74</v>
      </c>
      <c r="K6" s="23" t="s">
        <v>75</v>
      </c>
    </row>
    <row r="7" spans="2:11" ht="18.75" customHeight="1" x14ac:dyDescent="0.25">
      <c r="B7" s="22" t="s">
        <v>76</v>
      </c>
      <c r="C7" s="23" t="s">
        <v>50</v>
      </c>
      <c r="D7" s="23" t="s">
        <v>51</v>
      </c>
      <c r="E7" s="23" t="s">
        <v>73</v>
      </c>
      <c r="F7" s="17">
        <v>30</v>
      </c>
      <c r="G7" s="18">
        <v>47.2</v>
      </c>
      <c r="H7" s="18">
        <v>1.5</v>
      </c>
      <c r="I7" s="9">
        <f t="shared" si="0"/>
        <v>1417.5</v>
      </c>
      <c r="J7" s="23" t="s">
        <v>74</v>
      </c>
      <c r="K7" s="23" t="s">
        <v>77</v>
      </c>
    </row>
    <row r="8" spans="2:11" ht="18.75" customHeight="1" x14ac:dyDescent="0.25">
      <c r="B8" s="22" t="s">
        <v>78</v>
      </c>
      <c r="C8" s="23" t="s">
        <v>39</v>
      </c>
      <c r="D8" s="23" t="s">
        <v>40</v>
      </c>
      <c r="E8" s="23" t="s">
        <v>73</v>
      </c>
      <c r="F8" s="17">
        <v>15</v>
      </c>
      <c r="G8" s="18">
        <v>83.1</v>
      </c>
      <c r="H8" s="18">
        <v>1.5</v>
      </c>
      <c r="I8" s="4">
        <f t="shared" si="0"/>
        <v>1248</v>
      </c>
      <c r="J8" s="23" t="s">
        <v>74</v>
      </c>
      <c r="K8" s="23" t="s">
        <v>75</v>
      </c>
    </row>
    <row r="9" spans="2:11" ht="18.75" customHeight="1" x14ac:dyDescent="0.25">
      <c r="B9" s="22" t="s">
        <v>79</v>
      </c>
      <c r="C9" s="23" t="s">
        <v>44</v>
      </c>
      <c r="D9" s="23" t="s">
        <v>45</v>
      </c>
      <c r="E9" s="23" t="s">
        <v>73</v>
      </c>
      <c r="F9" s="17">
        <v>20</v>
      </c>
      <c r="G9" s="18">
        <v>37.799999999999997</v>
      </c>
      <c r="H9" s="18">
        <v>1.5</v>
      </c>
      <c r="I9" s="9">
        <f t="shared" si="0"/>
        <v>757.5</v>
      </c>
      <c r="J9" s="23" t="s">
        <v>80</v>
      </c>
      <c r="K9" s="23" t="s">
        <v>81</v>
      </c>
    </row>
    <row r="10" spans="2:11" ht="18.75" customHeight="1" x14ac:dyDescent="0.25">
      <c r="B10" s="22" t="s">
        <v>82</v>
      </c>
      <c r="C10" s="23" t="s">
        <v>47</v>
      </c>
      <c r="D10" s="23" t="s">
        <v>48</v>
      </c>
      <c r="E10" s="23" t="s">
        <v>73</v>
      </c>
      <c r="F10" s="17">
        <v>15</v>
      </c>
      <c r="G10" s="18">
        <v>54.2</v>
      </c>
      <c r="H10" s="18">
        <v>1.5</v>
      </c>
      <c r="I10" s="4">
        <f t="shared" si="0"/>
        <v>814.5</v>
      </c>
      <c r="J10" s="23" t="s">
        <v>74</v>
      </c>
      <c r="K10" s="23" t="s">
        <v>75</v>
      </c>
    </row>
    <row r="11" spans="2:11" ht="18.75" customHeight="1" x14ac:dyDescent="0.25">
      <c r="B11" s="22" t="s">
        <v>83</v>
      </c>
      <c r="C11" s="23" t="s">
        <v>54</v>
      </c>
      <c r="D11" s="23" t="s">
        <v>55</v>
      </c>
      <c r="E11" s="23" t="s">
        <v>73</v>
      </c>
      <c r="F11" s="17">
        <v>10</v>
      </c>
      <c r="G11" s="18">
        <v>62</v>
      </c>
      <c r="H11" s="18">
        <v>2</v>
      </c>
      <c r="I11" s="9">
        <f t="shared" si="0"/>
        <v>622</v>
      </c>
      <c r="J11" s="23" t="s">
        <v>80</v>
      </c>
      <c r="K11" s="23" t="s">
        <v>84</v>
      </c>
    </row>
    <row r="12" spans="2:11" ht="18.75" customHeight="1" x14ac:dyDescent="0.25">
      <c r="B12" s="22" t="s">
        <v>85</v>
      </c>
      <c r="C12" s="23" t="s">
        <v>39</v>
      </c>
      <c r="D12" s="23" t="s">
        <v>40</v>
      </c>
      <c r="E12" s="23" t="s">
        <v>73</v>
      </c>
      <c r="F12" s="17">
        <v>12</v>
      </c>
      <c r="G12" s="18">
        <v>84.5</v>
      </c>
      <c r="H12" s="18">
        <v>1.5</v>
      </c>
      <c r="I12" s="4">
        <f t="shared" si="0"/>
        <v>1015.5</v>
      </c>
      <c r="J12" s="23" t="s">
        <v>74</v>
      </c>
      <c r="K12" s="23" t="s">
        <v>75</v>
      </c>
    </row>
    <row r="13" spans="2:11" ht="18.75" customHeight="1" x14ac:dyDescent="0.25">
      <c r="B13" s="22" t="s">
        <v>86</v>
      </c>
      <c r="C13" s="23" t="s">
        <v>57</v>
      </c>
      <c r="D13" s="23" t="s">
        <v>58</v>
      </c>
      <c r="E13" s="23" t="s">
        <v>73</v>
      </c>
      <c r="F13" s="17">
        <v>22</v>
      </c>
      <c r="G13" s="18">
        <v>42</v>
      </c>
      <c r="H13" s="18">
        <v>1.5</v>
      </c>
      <c r="I13" s="9">
        <f t="shared" si="0"/>
        <v>925.5</v>
      </c>
      <c r="J13" s="23" t="s">
        <v>80</v>
      </c>
      <c r="K13" s="23" t="s">
        <v>87</v>
      </c>
    </row>
    <row r="14" spans="2:11" ht="18.75" customHeight="1" x14ac:dyDescent="0.25">
      <c r="B14" s="22" t="s">
        <v>88</v>
      </c>
      <c r="C14" s="23" t="s">
        <v>44</v>
      </c>
      <c r="D14" s="23" t="s">
        <v>45</v>
      </c>
      <c r="E14" s="23" t="s">
        <v>73</v>
      </c>
      <c r="F14" s="17">
        <v>11</v>
      </c>
      <c r="G14" s="18">
        <v>38.700000000000003</v>
      </c>
      <c r="H14" s="18">
        <v>1.5</v>
      </c>
      <c r="I14" s="4">
        <f t="shared" si="0"/>
        <v>427.20000000000005</v>
      </c>
      <c r="J14" s="23" t="s">
        <v>74</v>
      </c>
      <c r="K14" s="23" t="s">
        <v>75</v>
      </c>
    </row>
    <row r="15" spans="2:11" ht="18.75" customHeight="1" x14ac:dyDescent="0.25">
      <c r="B15" s="22" t="s">
        <v>89</v>
      </c>
      <c r="C15" s="23" t="s">
        <v>47</v>
      </c>
      <c r="D15" s="23" t="s">
        <v>48</v>
      </c>
      <c r="E15" s="23" t="s">
        <v>90</v>
      </c>
      <c r="F15" s="17">
        <v>0</v>
      </c>
      <c r="G15" s="18">
        <v>46.25</v>
      </c>
      <c r="H15" s="18">
        <v>0</v>
      </c>
      <c r="I15" s="9">
        <f t="shared" si="0"/>
        <v>0</v>
      </c>
      <c r="J15" s="23" t="s">
        <v>80</v>
      </c>
      <c r="K15" s="23" t="s">
        <v>91</v>
      </c>
    </row>
    <row r="16" spans="2:11" ht="18.75" customHeight="1" x14ac:dyDescent="0.25">
      <c r="B16" s="22" t="s">
        <v>92</v>
      </c>
      <c r="C16" s="23" t="s">
        <v>50</v>
      </c>
      <c r="D16" s="23" t="s">
        <v>51</v>
      </c>
      <c r="E16" s="23" t="s">
        <v>73</v>
      </c>
      <c r="F16" s="17">
        <v>30</v>
      </c>
      <c r="G16" s="18">
        <v>47.9</v>
      </c>
      <c r="H16" s="18">
        <v>1.5</v>
      </c>
      <c r="I16" s="4">
        <f t="shared" si="0"/>
        <v>1438.5</v>
      </c>
      <c r="J16" s="23" t="s">
        <v>74</v>
      </c>
      <c r="K16" s="23" t="s">
        <v>75</v>
      </c>
    </row>
    <row r="17" spans="2:11" ht="18.75" customHeight="1" x14ac:dyDescent="0.25">
      <c r="B17" s="22" t="s">
        <v>93</v>
      </c>
      <c r="C17" s="23" t="s">
        <v>39</v>
      </c>
      <c r="D17" s="23" t="s">
        <v>40</v>
      </c>
      <c r="E17" s="23" t="s">
        <v>73</v>
      </c>
      <c r="F17" s="17">
        <v>0</v>
      </c>
      <c r="G17" s="18">
        <v>0</v>
      </c>
      <c r="H17" s="18">
        <v>0</v>
      </c>
      <c r="I17" s="9">
        <f t="shared" si="0"/>
        <v>0</v>
      </c>
      <c r="J17" s="23" t="s">
        <v>74</v>
      </c>
      <c r="K17" s="23" t="s">
        <v>94</v>
      </c>
    </row>
    <row r="18" spans="2:11" ht="18.75" customHeight="1" x14ac:dyDescent="0.25">
      <c r="B18" s="22" t="s">
        <v>95</v>
      </c>
      <c r="C18" s="23" t="s">
        <v>57</v>
      </c>
      <c r="D18" s="23" t="s">
        <v>58</v>
      </c>
      <c r="E18" s="23" t="s">
        <v>90</v>
      </c>
      <c r="F18" s="17">
        <v>0</v>
      </c>
      <c r="G18" s="18">
        <v>52.8</v>
      </c>
      <c r="H18" s="18">
        <v>0</v>
      </c>
      <c r="I18" s="4">
        <f t="shared" si="0"/>
        <v>0</v>
      </c>
      <c r="J18" s="23" t="s">
        <v>80</v>
      </c>
      <c r="K18" s="23" t="s">
        <v>96</v>
      </c>
    </row>
    <row r="20" spans="2:11" ht="7.5" customHeight="1" x14ac:dyDescent="0.25"/>
    <row r="21" spans="2:11" ht="21.75" customHeight="1" x14ac:dyDescent="0.25">
      <c r="B21" s="52" t="s">
        <v>97</v>
      </c>
      <c r="C21" s="52"/>
      <c r="D21" s="52"/>
      <c r="E21" s="52"/>
      <c r="F21" s="52"/>
      <c r="G21" s="52"/>
      <c r="H21" s="24">
        <f>SUMIF(E6:E19,"Kauf",I6:I19)</f>
        <v>10277.700000000001</v>
      </c>
    </row>
  </sheetData>
  <mergeCells count="3">
    <mergeCell ref="B2:K2"/>
    <mergeCell ref="B3:K3"/>
    <mergeCell ref="B21:G21"/>
  </mergeCells>
  <pageMargins left="0.75" right="0.75" top="1" bottom="1" header="0.511811023622047" footer="0.511811023622047"/>
  <pageSetup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0A500"/>
    <pageSetUpPr fitToPage="1"/>
  </sheetPr>
  <dimension ref="B1:I22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24" customWidth="1"/>
    <col min="3" max="7" width="13" customWidth="1"/>
    <col min="8" max="8" width="16" customWidth="1"/>
    <col min="9" max="9" width="14" customWidth="1"/>
    <col min="10" max="10" width="2" customWidth="1"/>
  </cols>
  <sheetData>
    <row r="1" spans="2:9" ht="7.5" customHeight="1" x14ac:dyDescent="0.25"/>
    <row r="2" spans="2:9" ht="33.75" customHeight="1" x14ac:dyDescent="0.25">
      <c r="B2" s="40" t="s">
        <v>98</v>
      </c>
      <c r="C2" s="40"/>
      <c r="D2" s="40"/>
      <c r="E2" s="40"/>
      <c r="F2" s="40"/>
      <c r="G2" s="40"/>
      <c r="H2" s="40"/>
      <c r="I2" s="40"/>
    </row>
    <row r="3" spans="2:9" ht="7.5" customHeight="1" x14ac:dyDescent="0.25"/>
    <row r="4" spans="2:9" ht="25.5" customHeight="1" x14ac:dyDescent="0.25">
      <c r="B4" s="41" t="s">
        <v>99</v>
      </c>
      <c r="C4" s="41"/>
      <c r="D4" s="41"/>
      <c r="E4" s="25">
        <v>1500</v>
      </c>
      <c r="F4" s="53" t="s">
        <v>100</v>
      </c>
      <c r="G4" s="53"/>
      <c r="H4" s="53"/>
      <c r="I4" s="53"/>
    </row>
    <row r="5" spans="2:9" ht="7.5" customHeight="1" x14ac:dyDescent="0.25"/>
    <row r="6" spans="2:9" ht="21.75" customHeight="1" x14ac:dyDescent="0.25">
      <c r="B6" s="15" t="s">
        <v>11</v>
      </c>
      <c r="C6" s="15" t="s">
        <v>101</v>
      </c>
      <c r="D6" s="15" t="s">
        <v>102</v>
      </c>
      <c r="E6" s="15" t="s">
        <v>103</v>
      </c>
      <c r="F6" s="15" t="s">
        <v>102</v>
      </c>
      <c r="G6" s="15" t="s">
        <v>104</v>
      </c>
      <c r="H6" s="15" t="s">
        <v>105</v>
      </c>
      <c r="I6" s="15" t="s">
        <v>106</v>
      </c>
    </row>
    <row r="7" spans="2:9" ht="19.5" customHeight="1" x14ac:dyDescent="0.25">
      <c r="B7" s="26" t="str">
        <f>Positionen!B7</f>
        <v>Globaler Aktien-ETF A</v>
      </c>
      <c r="C7" s="4">
        <f>Positionen!I7</f>
        <v>4483.8</v>
      </c>
      <c r="D7" s="6">
        <f>IFERROR(C7/C13,0)</f>
        <v>0.36654962824291132</v>
      </c>
      <c r="E7" s="27">
        <v>0.4</v>
      </c>
      <c r="F7" s="6">
        <f t="shared" ref="F7:F12" si="0">D7</f>
        <v>0.36654962824291132</v>
      </c>
      <c r="G7" s="6">
        <f t="shared" ref="G7:G12" si="1">F7-E7</f>
        <v>-3.3450371757088704E-2</v>
      </c>
      <c r="H7" s="4">
        <f>MAX(0,(E7*(C13+$E$4))-C7)</f>
        <v>1009.1799999999994</v>
      </c>
      <c r="I7" s="3">
        <f>IFERROR(H7/Positionen!G7,0)</f>
        <v>10.578406708595381</v>
      </c>
    </row>
    <row r="8" spans="2:9" ht="19.5" customHeight="1" x14ac:dyDescent="0.25">
      <c r="B8" s="28" t="str">
        <f>Positionen!B8</f>
        <v>Schwellenländer-ETF B</v>
      </c>
      <c r="C8" s="9">
        <f>Positionen!I8</f>
        <v>1294.25</v>
      </c>
      <c r="D8" s="11">
        <f>IFERROR(C8/C13,0)</f>
        <v>0.10580464256955885</v>
      </c>
      <c r="E8" s="27">
        <v>0.2</v>
      </c>
      <c r="F8" s="11">
        <f t="shared" si="0"/>
        <v>0.10580464256955885</v>
      </c>
      <c r="G8" s="11">
        <f t="shared" si="1"/>
        <v>-9.4195357430441162E-2</v>
      </c>
      <c r="H8" s="9">
        <f>MAX(0,(E8*(C13+$E$4))-C8)</f>
        <v>1452.2399999999998</v>
      </c>
      <c r="I8" s="8">
        <f>IFERROR(H8/Positionen!G8,0)</f>
        <v>34.784191616766464</v>
      </c>
    </row>
    <row r="9" spans="2:9" ht="19.5" customHeight="1" x14ac:dyDescent="0.25">
      <c r="B9" s="26" t="str">
        <f>Positionen!B9</f>
        <v>Europa Dividenden-ETF C</v>
      </c>
      <c r="C9" s="4">
        <f>Positionen!I9</f>
        <v>1495</v>
      </c>
      <c r="D9" s="6">
        <f>IFERROR(C9/C13,0)</f>
        <v>0.12221590932315277</v>
      </c>
      <c r="E9" s="27">
        <v>0.15</v>
      </c>
      <c r="F9" s="6">
        <f t="shared" si="0"/>
        <v>0.12221590932315277</v>
      </c>
      <c r="G9" s="6">
        <f t="shared" si="1"/>
        <v>-2.7784090676847228E-2</v>
      </c>
      <c r="H9" s="4">
        <f>MAX(0,(E9*(C13+$E$4))-C9)</f>
        <v>564.86749999999984</v>
      </c>
      <c r="I9" s="3">
        <f>IFERROR(H9/Positionen!G9,0)</f>
        <v>9.44594481605351</v>
      </c>
    </row>
    <row r="10" spans="2:9" ht="19.5" customHeight="1" x14ac:dyDescent="0.25">
      <c r="B10" s="28" t="str">
        <f>Positionen!B10</f>
        <v>Anleihen Kern-ETF D</v>
      </c>
      <c r="C10" s="9">
        <f>Positionen!I10</f>
        <v>2934</v>
      </c>
      <c r="D10" s="11">
        <f>IFERROR(C10/C13,0)</f>
        <v>0.23985383140744498</v>
      </c>
      <c r="E10" s="27">
        <v>0.1</v>
      </c>
      <c r="F10" s="11">
        <f t="shared" si="0"/>
        <v>0.23985383140744498</v>
      </c>
      <c r="G10" s="11">
        <f t="shared" si="1"/>
        <v>0.13985383140744498</v>
      </c>
      <c r="H10" s="9">
        <f>MAX(0,(E10*(C13+$E$4))-C10)</f>
        <v>0</v>
      </c>
      <c r="I10" s="8">
        <f>IFERROR(H10/Positionen!G10,0)</f>
        <v>0</v>
      </c>
    </row>
    <row r="11" spans="2:9" ht="19.5" customHeight="1" x14ac:dyDescent="0.25">
      <c r="B11" s="26" t="str">
        <f>Positionen!B11</f>
        <v>Rohstoffe Breit-ETF E</v>
      </c>
      <c r="C11" s="4">
        <f>Positionen!I11</f>
        <v>1053</v>
      </c>
      <c r="D11" s="6">
        <f>IFERROR(C11/C13,0)</f>
        <v>8.6082510045003252E-2</v>
      </c>
      <c r="E11" s="27">
        <v>0.1</v>
      </c>
      <c r="F11" s="6">
        <f t="shared" si="0"/>
        <v>8.6082510045003252E-2</v>
      </c>
      <c r="G11" s="6">
        <f t="shared" si="1"/>
        <v>-1.3917489954996753E-2</v>
      </c>
      <c r="H11" s="4">
        <f>MAX(0,(E11*(C13+$E$4))-C11)</f>
        <v>320.24499999999989</v>
      </c>
      <c r="I11" s="3">
        <f>IFERROR(H11/Positionen!G11,0)</f>
        <v>5.4742735042735022</v>
      </c>
    </row>
    <row r="12" spans="2:9" ht="19.5" customHeight="1" x14ac:dyDescent="0.25">
      <c r="B12" s="28" t="str">
        <f>Positionen!B12</f>
        <v>Immobilien (REIT) ETF F</v>
      </c>
      <c r="C12" s="9">
        <f>Positionen!I12</f>
        <v>972.40000000000009</v>
      </c>
      <c r="D12" s="11">
        <f>IFERROR(C12/C13,0)</f>
        <v>7.9493478411928942E-2</v>
      </c>
      <c r="E12" s="27">
        <v>0.05</v>
      </c>
      <c r="F12" s="11">
        <f t="shared" si="0"/>
        <v>7.9493478411928942E-2</v>
      </c>
      <c r="G12" s="11">
        <f t="shared" si="1"/>
        <v>2.9493478411928939E-2</v>
      </c>
      <c r="H12" s="9">
        <f>MAX(0,(E12*(C13+$E$4))-C12)</f>
        <v>0</v>
      </c>
      <c r="I12" s="8">
        <f>IFERROR(H12/Positionen!G12,0)</f>
        <v>0</v>
      </c>
    </row>
    <row r="13" spans="2:9" ht="21.75" customHeight="1" x14ac:dyDescent="0.25">
      <c r="B13" s="29" t="s">
        <v>60</v>
      </c>
      <c r="C13" s="20">
        <f t="shared" ref="C13:H13" si="2">SUM(C7:C12)</f>
        <v>12232.449999999999</v>
      </c>
      <c r="D13" s="30">
        <f t="shared" si="2"/>
        <v>1</v>
      </c>
      <c r="E13" s="30">
        <f t="shared" si="2"/>
        <v>1</v>
      </c>
      <c r="F13" s="30">
        <f t="shared" si="2"/>
        <v>1</v>
      </c>
      <c r="G13" s="30">
        <f t="shared" si="2"/>
        <v>6.9388939039072284E-17</v>
      </c>
      <c r="H13" s="20">
        <f t="shared" si="2"/>
        <v>3346.5324999999989</v>
      </c>
    </row>
    <row r="14" spans="2:9" ht="7.5" customHeight="1" x14ac:dyDescent="0.25"/>
    <row r="15" spans="2:9" ht="21.75" customHeight="1" x14ac:dyDescent="0.25">
      <c r="B15" s="54" t="s">
        <v>107</v>
      </c>
      <c r="C15" s="54"/>
      <c r="D15" s="54"/>
      <c r="E15" s="54"/>
      <c r="F15" s="54"/>
      <c r="G15" s="54"/>
      <c r="H15" s="54"/>
      <c r="I15" s="54"/>
    </row>
    <row r="16" spans="2:9" ht="21.75" customHeight="1" x14ac:dyDescent="0.25">
      <c r="B16" s="55" t="str">
        <f>IF(ABS(E13-1)&lt;0.001,"✓ Soll-Gewichtung korrekt (100%)","⚠ Fehler: Summe = "&amp;TEXT(E13,"0.0%")&amp;" – bitte korrigieren!")</f>
        <v>✓ Soll-Gewichtung korrekt (100%)</v>
      </c>
      <c r="C16" s="55"/>
      <c r="D16" s="55"/>
      <c r="E16" s="55"/>
      <c r="F16" s="55"/>
      <c r="G16" s="55"/>
      <c r="H16" s="55"/>
      <c r="I16" s="55"/>
    </row>
    <row r="17" spans="2:9" ht="7.5" customHeight="1" x14ac:dyDescent="0.25"/>
    <row r="18" spans="2:9" ht="24" customHeight="1" x14ac:dyDescent="0.25">
      <c r="B18" s="42" t="s">
        <v>108</v>
      </c>
      <c r="C18" s="42"/>
      <c r="D18" s="42"/>
      <c r="E18" s="42"/>
      <c r="F18" s="42"/>
      <c r="G18" s="42"/>
      <c r="H18" s="42"/>
      <c r="I18" s="42"/>
    </row>
    <row r="19" spans="2:9" ht="16.5" customHeight="1" x14ac:dyDescent="0.25">
      <c r="B19" s="49" t="s">
        <v>109</v>
      </c>
      <c r="C19" s="49"/>
      <c r="D19" s="49"/>
      <c r="E19" s="49"/>
      <c r="F19" s="49"/>
      <c r="G19" s="49"/>
      <c r="H19" s="49"/>
      <c r="I19" s="49"/>
    </row>
    <row r="20" spans="2:9" ht="16.5" customHeight="1" x14ac:dyDescent="0.25">
      <c r="B20" s="49" t="s">
        <v>110</v>
      </c>
      <c r="C20" s="49"/>
      <c r="D20" s="49"/>
      <c r="E20" s="49"/>
      <c r="F20" s="49"/>
      <c r="G20" s="49"/>
      <c r="H20" s="49"/>
      <c r="I20" s="49"/>
    </row>
    <row r="21" spans="2:9" ht="16.5" customHeight="1" x14ac:dyDescent="0.25">
      <c r="B21" s="49" t="s">
        <v>111</v>
      </c>
      <c r="C21" s="49"/>
      <c r="D21" s="49"/>
      <c r="E21" s="49"/>
      <c r="F21" s="49"/>
      <c r="G21" s="49"/>
      <c r="H21" s="49"/>
      <c r="I21" s="49"/>
    </row>
    <row r="22" spans="2:9" ht="16.5" customHeight="1" x14ac:dyDescent="0.25">
      <c r="B22" s="49" t="s">
        <v>112</v>
      </c>
      <c r="C22" s="49"/>
      <c r="D22" s="49"/>
      <c r="E22" s="49"/>
      <c r="F22" s="49"/>
      <c r="G22" s="49"/>
      <c r="H22" s="49"/>
      <c r="I22" s="49"/>
    </row>
  </sheetData>
  <mergeCells count="10">
    <mergeCell ref="B18:I18"/>
    <mergeCell ref="B19:I19"/>
    <mergeCell ref="B20:I20"/>
    <mergeCell ref="B21:I21"/>
    <mergeCell ref="B22:I22"/>
    <mergeCell ref="B2:I2"/>
    <mergeCell ref="B4:D4"/>
    <mergeCell ref="F4:I4"/>
    <mergeCell ref="B15:I15"/>
    <mergeCell ref="B16:I16"/>
  </mergeCells>
  <pageMargins left="0.75" right="0.75" top="1" bottom="1" header="0.511811023622047" footer="0.511811023622047"/>
  <pageSetup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B1FA2"/>
    <pageSetUpPr fitToPage="1"/>
  </sheetPr>
  <dimension ref="B1:F40"/>
  <sheetViews>
    <sheetView showGridLines="0" zoomScaleNormal="100" workbookViewId="0">
      <pane xSplit="1" ySplit="20" topLeftCell="B21" activePane="bottomRight" state="frozen"/>
      <selection pane="topRight" activeCell="B1" sqref="B1"/>
      <selection pane="bottomLeft" activeCell="A21" sqref="A21"/>
      <selection pane="bottomRight" activeCell="M8" sqref="M8"/>
    </sheetView>
  </sheetViews>
  <sheetFormatPr baseColWidth="10" defaultColWidth="8.7109375" defaultRowHeight="15" x14ac:dyDescent="0.25"/>
  <cols>
    <col min="1" max="1" width="2" customWidth="1"/>
    <col min="2" max="2" width="26" customWidth="1"/>
    <col min="3" max="3" width="18" customWidth="1"/>
    <col min="4" max="4" width="20" bestFit="1" customWidth="1"/>
    <col min="5" max="6" width="18" customWidth="1"/>
    <col min="7" max="7" width="2" customWidth="1"/>
  </cols>
  <sheetData>
    <row r="1" spans="2:6" ht="7.5" customHeight="1" x14ac:dyDescent="0.25"/>
    <row r="2" spans="2:6" ht="33.75" customHeight="1" x14ac:dyDescent="0.25">
      <c r="B2" s="40" t="s">
        <v>113</v>
      </c>
      <c r="C2" s="40"/>
      <c r="D2" s="40"/>
      <c r="E2" s="40"/>
      <c r="F2" s="40"/>
    </row>
    <row r="3" spans="2:6" ht="7.5" customHeight="1" x14ac:dyDescent="0.25"/>
    <row r="4" spans="2:6" ht="25.5" customHeight="1" x14ac:dyDescent="0.25">
      <c r="B4" s="41" t="s">
        <v>114</v>
      </c>
      <c r="C4" s="41"/>
      <c r="D4" s="31">
        <v>300</v>
      </c>
    </row>
    <row r="5" spans="2:6" ht="25.5" customHeight="1" x14ac:dyDescent="0.25">
      <c r="B5" s="41" t="s">
        <v>115</v>
      </c>
      <c r="C5" s="41"/>
      <c r="D5" s="31">
        <v>5000</v>
      </c>
    </row>
    <row r="6" spans="2:6" ht="25.5" customHeight="1" x14ac:dyDescent="0.25">
      <c r="B6" s="41" t="s">
        <v>116</v>
      </c>
      <c r="C6" s="41"/>
      <c r="D6" s="32">
        <v>7.0000000000000007E-2</v>
      </c>
    </row>
    <row r="7" spans="2:6" ht="25.5" customHeight="1" x14ac:dyDescent="0.25">
      <c r="B7" s="41" t="s">
        <v>117</v>
      </c>
      <c r="C7" s="41"/>
      <c r="D7" s="33">
        <v>20</v>
      </c>
    </row>
    <row r="8" spans="2:6" ht="25.5" customHeight="1" x14ac:dyDescent="0.25">
      <c r="B8" s="41" t="s">
        <v>118</v>
      </c>
      <c r="C8" s="41"/>
      <c r="D8" s="32">
        <v>2.5000000000000001E-3</v>
      </c>
    </row>
    <row r="9" spans="2:6" ht="7.5" customHeight="1" x14ac:dyDescent="0.25"/>
    <row r="10" spans="2:6" ht="24" customHeight="1" x14ac:dyDescent="0.25">
      <c r="B10" s="41" t="s">
        <v>119</v>
      </c>
      <c r="C10" s="41"/>
      <c r="D10" s="34">
        <f>D6-D8</f>
        <v>6.7500000000000004E-2</v>
      </c>
    </row>
    <row r="11" spans="2:6" ht="7.5" customHeight="1" x14ac:dyDescent="0.25"/>
    <row r="12" spans="2:6" ht="24" customHeight="1" x14ac:dyDescent="0.25">
      <c r="B12" s="42" t="s">
        <v>120</v>
      </c>
      <c r="C12" s="42"/>
      <c r="D12" s="42"/>
      <c r="E12" s="42"/>
      <c r="F12" s="42"/>
    </row>
    <row r="13" spans="2:6" ht="25.5" customHeight="1" x14ac:dyDescent="0.25">
      <c r="B13" s="41" t="s">
        <v>121</v>
      </c>
      <c r="C13" s="41"/>
      <c r="D13" s="35">
        <f>D5+D4*12*D7</f>
        <v>77000</v>
      </c>
    </row>
    <row r="14" spans="2:6" ht="25.5" customHeight="1" x14ac:dyDescent="0.25">
      <c r="B14" s="41" t="s">
        <v>122</v>
      </c>
      <c r="C14" s="41"/>
      <c r="D14" s="36">
        <f>D5*(1+D10)^D7 + D4*12*((1+D10/12)^(D7*12)-1)/(D10/12)</f>
        <v>1837895.5191693935</v>
      </c>
    </row>
    <row r="15" spans="2:6" ht="25.5" customHeight="1" x14ac:dyDescent="0.25">
      <c r="B15" s="41" t="s">
        <v>123</v>
      </c>
      <c r="C15" s="41"/>
      <c r="D15" s="35">
        <f>D14-D13</f>
        <v>1760895.5191693935</v>
      </c>
    </row>
    <row r="16" spans="2:6" ht="25.5" customHeight="1" x14ac:dyDescent="0.25">
      <c r="B16" s="41" t="s">
        <v>124</v>
      </c>
      <c r="C16" s="41"/>
      <c r="D16" s="37">
        <f>IFERROR(D14/D13,0)</f>
        <v>23.868772976225888</v>
      </c>
    </row>
    <row r="17" spans="2:6" ht="11.25" customHeight="1" x14ac:dyDescent="0.25"/>
    <row r="18" spans="2:6" ht="7.5" customHeight="1" x14ac:dyDescent="0.25"/>
    <row r="19" spans="2:6" ht="24" customHeight="1" x14ac:dyDescent="0.25">
      <c r="B19" s="42" t="s">
        <v>125</v>
      </c>
      <c r="C19" s="42"/>
      <c r="D19" s="42"/>
      <c r="E19" s="42"/>
      <c r="F19" s="42"/>
    </row>
    <row r="20" spans="2:6" x14ac:dyDescent="0.25">
      <c r="B20" s="1" t="s">
        <v>126</v>
      </c>
      <c r="C20" s="1" t="s">
        <v>127</v>
      </c>
      <c r="D20" s="1" t="s">
        <v>128</v>
      </c>
      <c r="E20" s="1" t="s">
        <v>129</v>
      </c>
      <c r="F20" s="1" t="s">
        <v>130</v>
      </c>
    </row>
    <row r="21" spans="2:6" x14ac:dyDescent="0.25">
      <c r="B21" s="38">
        <v>1</v>
      </c>
      <c r="C21" s="9">
        <f>$D$5+$D$4*12*1</f>
        <v>8600</v>
      </c>
      <c r="D21" s="9">
        <f t="shared" ref="D21:D40" si="0">E21-C21</f>
        <v>41299.379405957392</v>
      </c>
      <c r="E21" s="9">
        <f>$D$5*(1+$D$10)^1 + $D$4*12*((1+$D$10/12)^(1*12)-1)/($D$10/12)</f>
        <v>49899.379405957392</v>
      </c>
      <c r="F21" s="9">
        <f>E21-$D$5</f>
        <v>44899.379405957392</v>
      </c>
    </row>
    <row r="22" spans="2:6" x14ac:dyDescent="0.25">
      <c r="B22" s="39">
        <v>2</v>
      </c>
      <c r="C22" s="4">
        <f>$D$5+$D$4*12*2</f>
        <v>12200</v>
      </c>
      <c r="D22" s="4">
        <f t="shared" si="0"/>
        <v>85724.291774713347</v>
      </c>
      <c r="E22" s="4">
        <f>$D$5*(1+$D$10)^2 + $D$4*12*((1+$D$10/12)^(2*12)-1)/($D$10/12)</f>
        <v>97924.291774713347</v>
      </c>
      <c r="F22" s="4">
        <f t="shared" ref="F22:F40" si="1">E22-E21</f>
        <v>48024.912368755955</v>
      </c>
    </row>
    <row r="23" spans="2:6" x14ac:dyDescent="0.25">
      <c r="B23" s="38">
        <v>3</v>
      </c>
      <c r="C23" s="9">
        <f>$D$5+$D$4*12*3</f>
        <v>15800</v>
      </c>
      <c r="D23" s="9">
        <f t="shared" si="0"/>
        <v>133492.31304009963</v>
      </c>
      <c r="E23" s="9">
        <f>$D$5*(1+$D$10)^3 + $D$4*12*((1+$D$10/12)^(3*12)-1)/($D$10/12)</f>
        <v>149292.31304009963</v>
      </c>
      <c r="F23" s="9">
        <f t="shared" si="1"/>
        <v>51368.021265386284</v>
      </c>
    </row>
    <row r="24" spans="2:6" x14ac:dyDescent="0.25">
      <c r="B24" s="39">
        <v>4</v>
      </c>
      <c r="C24" s="4">
        <f>$D$5+$D$4*12*4</f>
        <v>19400</v>
      </c>
      <c r="D24" s="4">
        <f t="shared" si="0"/>
        <v>184836.16522706716</v>
      </c>
      <c r="E24" s="4">
        <f>$D$5*(1+$D$10)^4 + $D$4*12*((1+$D$10/12)^(4*12)-1)/($D$10/12)</f>
        <v>204236.16522706716</v>
      </c>
      <c r="F24" s="4">
        <f t="shared" si="1"/>
        <v>54943.852186967531</v>
      </c>
    </row>
    <row r="25" spans="2:6" x14ac:dyDescent="0.25">
      <c r="B25" s="38">
        <v>5</v>
      </c>
      <c r="C25" s="9">
        <f>$D$5+$D$4*12*5</f>
        <v>23000</v>
      </c>
      <c r="D25" s="9">
        <f t="shared" si="0"/>
        <v>240004.7708218848</v>
      </c>
      <c r="E25" s="9">
        <f>$D$5*(1+$D$10)^5 + $D$4*12*((1+$D$10/12)^(5*12)-1)/($D$10/12)</f>
        <v>263004.7708218848</v>
      </c>
      <c r="F25" s="9">
        <f t="shared" si="1"/>
        <v>58768.605594817636</v>
      </c>
    </row>
    <row r="26" spans="2:6" x14ac:dyDescent="0.25">
      <c r="B26" s="39">
        <v>6</v>
      </c>
      <c r="C26" s="4">
        <f>$D$5+$D$4*12*6</f>
        <v>26600</v>
      </c>
      <c r="D26" s="4">
        <f t="shared" si="0"/>
        <v>299264.38054104784</v>
      </c>
      <c r="E26" s="4">
        <f>$D$5*(1+$D$10)^6 + $D$4*12*((1+$D$10/12)^(6*12)-1)/($D$10/12)</f>
        <v>325864.38054104784</v>
      </c>
      <c r="F26" s="4">
        <f t="shared" si="1"/>
        <v>62859.60971916304</v>
      </c>
    </row>
    <row r="27" spans="2:6" x14ac:dyDescent="0.25">
      <c r="B27" s="38">
        <v>7</v>
      </c>
      <c r="C27" s="9">
        <f>$D$5+$D$4*12*7</f>
        <v>30200</v>
      </c>
      <c r="D27" s="9">
        <f t="shared" si="0"/>
        <v>362899.77960849833</v>
      </c>
      <c r="E27" s="9">
        <f>$D$5*(1+$D$10)^7 + $D$4*12*((1+$D$10/12)^(7*12)-1)/($D$10/12)</f>
        <v>393099.77960849833</v>
      </c>
      <c r="F27" s="9">
        <f t="shared" si="1"/>
        <v>67235.399067450489</v>
      </c>
    </row>
    <row r="28" spans="2:6" x14ac:dyDescent="0.25">
      <c r="B28" s="39">
        <v>8</v>
      </c>
      <c r="C28" s="4">
        <f>$D$5+$D$4*12*8</f>
        <v>33800</v>
      </c>
      <c r="D28" s="4">
        <f t="shared" si="0"/>
        <v>431215.57800644409</v>
      </c>
      <c r="E28" s="4">
        <f>$D$5*(1+$D$10)^8 + $D$4*12*((1+$D$10/12)^(8*12)-1)/($D$10/12)</f>
        <v>465015.57800644409</v>
      </c>
      <c r="F28" s="4">
        <f t="shared" si="1"/>
        <v>71915.798397945764</v>
      </c>
    </row>
    <row r="29" spans="2:6" x14ac:dyDescent="0.25">
      <c r="B29" s="38">
        <v>9</v>
      </c>
      <c r="C29" s="9">
        <f>$D$5+$D$4*12*9</f>
        <v>37400</v>
      </c>
      <c r="D29" s="9">
        <f t="shared" si="0"/>
        <v>504537.59054554661</v>
      </c>
      <c r="E29" s="9">
        <f>$D$5*(1+$D$10)^9 + $D$4*12*((1+$D$10/12)^(9*12)-1)/($D$10/12)</f>
        <v>541937.59054554661</v>
      </c>
      <c r="F29" s="9">
        <f t="shared" si="1"/>
        <v>76922.012539102521</v>
      </c>
    </row>
    <row r="30" spans="2:6" x14ac:dyDescent="0.25">
      <c r="B30" s="39">
        <v>10</v>
      </c>
      <c r="C30" s="4">
        <f>$D$5+$D$4*12*10</f>
        <v>41000</v>
      </c>
      <c r="D30" s="4">
        <f t="shared" si="0"/>
        <v>583214.31300718687</v>
      </c>
      <c r="E30" s="4">
        <f>$D$5*(1+$D$10)^10 + $D$4*12*((1+$D$10/12)^(10*12)-1)/($D$10/12)</f>
        <v>624214.31300718687</v>
      </c>
      <c r="F30" s="4">
        <f t="shared" si="1"/>
        <v>82276.722461640253</v>
      </c>
    </row>
    <row r="31" spans="2:6" x14ac:dyDescent="0.25">
      <c r="B31" s="38">
        <v>11</v>
      </c>
      <c r="C31" s="9">
        <f>$D$5+$D$4*12*11</f>
        <v>44600</v>
      </c>
      <c r="D31" s="9">
        <f t="shared" si="0"/>
        <v>667618.50104580517</v>
      </c>
      <c r="E31" s="9">
        <f>$D$5*(1+$D$10)^11 + $D$4*12*((1+$D$10/12)^(11*12)-1)/($D$10/12)</f>
        <v>712218.50104580517</v>
      </c>
      <c r="F31" s="9">
        <f t="shared" si="1"/>
        <v>88004.188038618304</v>
      </c>
    </row>
    <row r="32" spans="2:6" x14ac:dyDescent="0.25">
      <c r="B32" s="39">
        <v>12</v>
      </c>
      <c r="C32" s="4">
        <f>$D$5+$D$4*12*12</f>
        <v>48200</v>
      </c>
      <c r="D32" s="4">
        <f t="shared" si="0"/>
        <v>758148.85900488845</v>
      </c>
      <c r="E32" s="4">
        <f>$D$5*(1+$D$10)^12 + $D$4*12*((1+$D$10/12)^(12*12)-1)/($D$10/12)</f>
        <v>806348.85900488845</v>
      </c>
      <c r="F32" s="4">
        <f t="shared" si="1"/>
        <v>94130.357959083281</v>
      </c>
    </row>
    <row r="33" spans="2:6" x14ac:dyDescent="0.25">
      <c r="B33" s="38">
        <v>13</v>
      </c>
      <c r="C33" s="9">
        <f>$D$5+$D$4*12*13</f>
        <v>51800</v>
      </c>
      <c r="D33" s="9">
        <f t="shared" si="0"/>
        <v>855231.84629817866</v>
      </c>
      <c r="E33" s="9">
        <f>$D$5*(1+$D$10)^13 + $D$4*12*((1+$D$10/12)^(13*12)-1)/($D$10/12)</f>
        <v>907031.84629817866</v>
      </c>
      <c r="F33" s="9">
        <f t="shared" si="1"/>
        <v>100682.98729329021</v>
      </c>
    </row>
    <row r="34" spans="2:6" x14ac:dyDescent="0.25">
      <c r="B34" s="39">
        <v>14</v>
      </c>
      <c r="C34" s="4">
        <f>$D$5+$D$4*12*14</f>
        <v>55400</v>
      </c>
      <c r="D34" s="4">
        <f t="shared" si="0"/>
        <v>959323.60954033688</v>
      </c>
      <c r="E34" s="4">
        <f>$D$5*(1+$D$10)^14 + $D$4*12*((1+$D$10/12)^(14*12)-1)/($D$10/12)</f>
        <v>1014723.6095403369</v>
      </c>
      <c r="F34" s="4">
        <f t="shared" si="1"/>
        <v>107691.76324215822</v>
      </c>
    </row>
    <row r="35" spans="2:6" x14ac:dyDescent="0.25">
      <c r="B35" s="38">
        <v>15</v>
      </c>
      <c r="C35" s="9">
        <f>$D$5+$D$4*12*15</f>
        <v>59000</v>
      </c>
      <c r="D35" s="9">
        <f t="shared" si="0"/>
        <v>1070912.0491810404</v>
      </c>
      <c r="E35" s="9">
        <f>$D$5*(1+$D$10)^15 + $D$4*12*((1+$D$10/12)^(15*12)-1)/($D$10/12)</f>
        <v>1129912.0491810404</v>
      </c>
      <c r="F35" s="9">
        <f t="shared" si="1"/>
        <v>115188.43964070349</v>
      </c>
    </row>
    <row r="36" spans="2:6" x14ac:dyDescent="0.25">
      <c r="B36" s="39">
        <v>16</v>
      </c>
      <c r="C36" s="4">
        <f>$D$5+$D$4*12*16</f>
        <v>62600</v>
      </c>
      <c r="D36" s="4">
        <f t="shared" si="0"/>
        <v>1190519.0300058958</v>
      </c>
      <c r="E36" s="4">
        <f>$D$5*(1+$D$10)^16 + $D$4*12*((1+$D$10/12)^(16*12)-1)/($D$10/12)</f>
        <v>1253119.0300058958</v>
      </c>
      <c r="F36" s="4">
        <f t="shared" si="1"/>
        <v>123206.98082485539</v>
      </c>
    </row>
    <row r="37" spans="2:6" x14ac:dyDescent="0.25">
      <c r="B37" s="38">
        <v>17</v>
      </c>
      <c r="C37" s="9">
        <f>$D$5+$D$4*12*17</f>
        <v>66200</v>
      </c>
      <c r="D37" s="9">
        <f t="shared" si="0"/>
        <v>1318702.7455193875</v>
      </c>
      <c r="E37" s="9">
        <f>$D$5*(1+$D$10)^17 + $D$4*12*((1+$D$10/12)^(17*12)-1)/($D$10/12)</f>
        <v>1384902.7455193875</v>
      </c>
      <c r="F37" s="9">
        <f t="shared" si="1"/>
        <v>131783.71551349177</v>
      </c>
    </row>
    <row r="38" spans="2:6" x14ac:dyDescent="0.25">
      <c r="B38" s="39">
        <v>18</v>
      </c>
      <c r="C38" s="4">
        <f>$D$5+$D$4*12*18</f>
        <v>69800</v>
      </c>
      <c r="D38" s="4">
        <f t="shared" si="0"/>
        <v>1456060.2469222811</v>
      </c>
      <c r="E38" s="4">
        <f>$D$5*(1+$D$10)^18 + $D$4*12*((1+$D$10/12)^(18*12)-1)/($D$10/12)</f>
        <v>1525860.2469222811</v>
      </c>
      <c r="F38" s="4">
        <f t="shared" si="1"/>
        <v>140957.50140289357</v>
      </c>
    </row>
    <row r="39" spans="2:6" x14ac:dyDescent="0.25">
      <c r="B39" s="38">
        <v>19</v>
      </c>
      <c r="C39" s="9">
        <f>$D$5+$D$4*12*19</f>
        <v>73400</v>
      </c>
      <c r="D39" s="9">
        <f t="shared" si="0"/>
        <v>1603230.148141657</v>
      </c>
      <c r="E39" s="9">
        <f>$D$5*(1+$D$10)^19 + $D$4*12*((1+$D$10/12)^(19*12)-1)/($D$10/12)</f>
        <v>1676630.148141657</v>
      </c>
      <c r="F39" s="9">
        <f t="shared" si="1"/>
        <v>150769.9012193759</v>
      </c>
    </row>
    <row r="40" spans="2:6" x14ac:dyDescent="0.25">
      <c r="B40" s="39">
        <v>20</v>
      </c>
      <c r="C40" s="4">
        <f>$D$5+$D$4*12*20</f>
        <v>77000</v>
      </c>
      <c r="D40" s="4">
        <f t="shared" si="0"/>
        <v>1760895.5191693935</v>
      </c>
      <c r="E40" s="4">
        <f>$D$5*(1+$D$10)^20 + $D$4*12*((1+$D$10/12)^(20*12)-1)/($D$10/12)</f>
        <v>1837895.5191693935</v>
      </c>
      <c r="F40" s="4">
        <f t="shared" si="1"/>
        <v>161265.37102773646</v>
      </c>
    </row>
  </sheetData>
  <mergeCells count="13">
    <mergeCell ref="B15:C15"/>
    <mergeCell ref="B16:C16"/>
    <mergeCell ref="B19:F19"/>
    <mergeCell ref="B8:C8"/>
    <mergeCell ref="B10:C10"/>
    <mergeCell ref="B12:F12"/>
    <mergeCell ref="B13:C13"/>
    <mergeCell ref="B14:C14"/>
    <mergeCell ref="B2:F2"/>
    <mergeCell ref="B4:C4"/>
    <mergeCell ref="B5:C5"/>
    <mergeCell ref="B6:C6"/>
    <mergeCell ref="B7:C7"/>
  </mergeCells>
  <pageMargins left="0.75" right="0.75" top="1" bottom="1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Depotübersicht</vt:lpstr>
      <vt:lpstr>Positionen</vt:lpstr>
      <vt:lpstr>Transaktionen</vt:lpstr>
      <vt:lpstr>Rebalancing</vt:lpstr>
      <vt:lpstr>Sparplan-Rechner</vt:lpstr>
      <vt:lpstr>Depotübersicht!Drucktitel</vt:lpstr>
      <vt:lpstr>Positionen!Drucktitel</vt:lpstr>
      <vt:lpstr>Rebalancing!Drucktitel</vt:lpstr>
      <vt:lpstr>'Sparplan-Rechner'!Drucktitel</vt:lpstr>
      <vt:lpstr>Transaktionen!Drucktitel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2026-05-26T05:12:11Z</dcterms:created>
  <dcterms:modified xsi:type="dcterms:W3CDTF">2026-05-26T07:05:03Z</dcterms:modified>
  <dc:language>en-US</dc:language>
</cp:coreProperties>
</file>