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E535095-15D5-4DE5-B220-0E9C1EFD5346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📊 Dashboard" sheetId="2" r:id="rId1"/>
    <sheet name="📋 Depot" sheetId="1" r:id="rId2"/>
    <sheet name="🔄 Transaktionen" sheetId="3" r:id="rId3"/>
    <sheet name="⚖️ Rebalancing" sheetId="4" r:id="rId4"/>
    <sheet name="📈 Sparplan &amp; Prognose" sheetId="5" r:id="rId5"/>
    <sheet name="💰 Dividenden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" i="2" l="1"/>
  <c r="G11" i="6"/>
  <c r="F11" i="6"/>
  <c r="E11" i="6"/>
  <c r="D11" i="6"/>
  <c r="H10" i="6"/>
  <c r="I10" i="6" s="1"/>
  <c r="H9" i="6"/>
  <c r="I9" i="6" s="1"/>
  <c r="H8" i="6"/>
  <c r="I8" i="6" s="1"/>
  <c r="H7" i="6"/>
  <c r="I7" i="6" s="1"/>
  <c r="H6" i="6"/>
  <c r="H5" i="6"/>
  <c r="I5" i="6" s="1"/>
  <c r="I4" i="6"/>
  <c r="H4" i="6"/>
  <c r="H3" i="6"/>
  <c r="H11" i="6" s="1"/>
  <c r="D13" i="6" s="1"/>
  <c r="F5" i="5"/>
  <c r="E14" i="4"/>
  <c r="C13" i="4"/>
  <c r="C12" i="4"/>
  <c r="C11" i="4"/>
  <c r="C10" i="4"/>
  <c r="C9" i="4"/>
  <c r="C8" i="4"/>
  <c r="C7" i="4"/>
  <c r="C14" i="4" s="1"/>
  <c r="G18" i="3"/>
  <c r="F17" i="3"/>
  <c r="H17" i="3" s="1"/>
  <c r="H16" i="3"/>
  <c r="F16" i="3"/>
  <c r="F15" i="3"/>
  <c r="H15" i="3" s="1"/>
  <c r="H14" i="3"/>
  <c r="F13" i="3"/>
  <c r="H13" i="3" s="1"/>
  <c r="F12" i="3"/>
  <c r="H12" i="3" s="1"/>
  <c r="F11" i="3"/>
  <c r="H11" i="3" s="1"/>
  <c r="F10" i="3"/>
  <c r="H10" i="3" s="1"/>
  <c r="F9" i="3"/>
  <c r="H9" i="3" s="1"/>
  <c r="H8" i="3"/>
  <c r="F8" i="3"/>
  <c r="H7" i="3"/>
  <c r="F6" i="3"/>
  <c r="H6" i="3" s="1"/>
  <c r="H5" i="3"/>
  <c r="F5" i="3"/>
  <c r="F4" i="3"/>
  <c r="H4" i="3" s="1"/>
  <c r="F3" i="3"/>
  <c r="F18" i="3" s="1"/>
  <c r="J19" i="2"/>
  <c r="I19" i="2"/>
  <c r="H19" i="2"/>
  <c r="I18" i="2"/>
  <c r="H18" i="2"/>
  <c r="I17" i="2"/>
  <c r="H17" i="2"/>
  <c r="N16" i="2"/>
  <c r="L16" i="2"/>
  <c r="K16" i="2"/>
  <c r="J16" i="2"/>
  <c r="I16" i="2"/>
  <c r="H16" i="2"/>
  <c r="N15" i="2"/>
  <c r="I15" i="2"/>
  <c r="H15" i="2"/>
  <c r="C15" i="2"/>
  <c r="J14" i="2"/>
  <c r="I14" i="2"/>
  <c r="H14" i="2"/>
  <c r="I13" i="2"/>
  <c r="H13" i="2"/>
  <c r="J12" i="2"/>
  <c r="I12" i="2"/>
  <c r="H12" i="2"/>
  <c r="F6" i="2"/>
  <c r="C6" i="2"/>
  <c r="E12" i="1"/>
  <c r="G11" i="1"/>
  <c r="G10" i="1"/>
  <c r="G9" i="1"/>
  <c r="I8" i="1"/>
  <c r="H8" i="1"/>
  <c r="G8" i="1"/>
  <c r="I7" i="1"/>
  <c r="L15" i="2" s="1"/>
  <c r="H7" i="1"/>
  <c r="K15" i="2" s="1"/>
  <c r="G7" i="1"/>
  <c r="G6" i="1"/>
  <c r="I6" i="1" s="1"/>
  <c r="G5" i="1"/>
  <c r="C13" i="2" s="1"/>
  <c r="G4" i="1"/>
  <c r="C12" i="2" s="1"/>
  <c r="C16" i="2" l="1"/>
  <c r="I3" i="6"/>
  <c r="J17" i="2"/>
  <c r="I6" i="6"/>
  <c r="H9" i="1"/>
  <c r="K17" i="2" s="1"/>
  <c r="D4" i="4"/>
  <c r="I9" i="1"/>
  <c r="C14" i="2"/>
  <c r="D14" i="2" s="1"/>
  <c r="F14" i="2" s="1"/>
  <c r="J18" i="2"/>
  <c r="I10" i="1"/>
  <c r="H10" i="1"/>
  <c r="K18" i="2" s="1"/>
  <c r="M19" i="2"/>
  <c r="D8" i="4"/>
  <c r="D13" i="2"/>
  <c r="F13" i="2" s="1"/>
  <c r="L14" i="2"/>
  <c r="N14" i="2"/>
  <c r="I11" i="1"/>
  <c r="H5" i="1"/>
  <c r="K13" i="2" s="1"/>
  <c r="G12" i="1"/>
  <c r="B4" i="5"/>
  <c r="H3" i="3"/>
  <c r="H18" i="3" s="1"/>
  <c r="H6" i="1"/>
  <c r="K14" i="2" s="1"/>
  <c r="B6" i="2"/>
  <c r="M17" i="2" s="1"/>
  <c r="J13" i="2"/>
  <c r="J15" i="2"/>
  <c r="H4" i="1"/>
  <c r="H11" i="1"/>
  <c r="K19" i="2" s="1"/>
  <c r="M12" i="2"/>
  <c r="I5" i="1"/>
  <c r="M13" i="2"/>
  <c r="I4" i="1"/>
  <c r="D15" i="2" l="1"/>
  <c r="F15" i="2" s="1"/>
  <c r="F11" i="4"/>
  <c r="G11" i="4" s="1"/>
  <c r="F9" i="4"/>
  <c r="G9" i="4" s="1"/>
  <c r="D9" i="4"/>
  <c r="F12" i="4"/>
  <c r="G12" i="4" s="1"/>
  <c r="F8" i="4"/>
  <c r="G8" i="4" s="1"/>
  <c r="F7" i="4"/>
  <c r="F10" i="4"/>
  <c r="G10" i="4" s="1"/>
  <c r="F13" i="4"/>
  <c r="G13" i="4" s="1"/>
  <c r="E6" i="2"/>
  <c r="D6" i="2"/>
  <c r="I12" i="1"/>
  <c r="H12" i="1"/>
  <c r="K12" i="2"/>
  <c r="D12" i="4"/>
  <c r="C18" i="5"/>
  <c r="C33" i="5"/>
  <c r="C28" i="5"/>
  <c r="C23" i="5"/>
  <c r="C13" i="5"/>
  <c r="B21" i="5"/>
  <c r="C35" i="5"/>
  <c r="B35" i="5"/>
  <c r="B33" i="5"/>
  <c r="B28" i="5"/>
  <c r="B23" i="5"/>
  <c r="B18" i="5"/>
  <c r="B13" i="5"/>
  <c r="B31" i="5"/>
  <c r="C25" i="5"/>
  <c r="C15" i="5"/>
  <c r="B30" i="5"/>
  <c r="B36" i="5"/>
  <c r="C20" i="5"/>
  <c r="B25" i="5"/>
  <c r="B15" i="5"/>
  <c r="C37" i="5"/>
  <c r="C32" i="5"/>
  <c r="C27" i="5"/>
  <c r="C22" i="5"/>
  <c r="C17" i="5"/>
  <c r="F7" i="5"/>
  <c r="B37" i="5"/>
  <c r="B32" i="5"/>
  <c r="B27" i="5"/>
  <c r="B22" i="5"/>
  <c r="B17" i="5"/>
  <c r="F4" i="5"/>
  <c r="F6" i="5" s="1"/>
  <c r="C36" i="5"/>
  <c r="C31" i="5"/>
  <c r="C26" i="5"/>
  <c r="C21" i="5"/>
  <c r="C16" i="5"/>
  <c r="B26" i="5"/>
  <c r="B16" i="5"/>
  <c r="C30" i="5"/>
  <c r="B20" i="5"/>
  <c r="B29" i="5"/>
  <c r="C24" i="5"/>
  <c r="B19" i="5"/>
  <c r="B34" i="5"/>
  <c r="C29" i="5"/>
  <c r="B24" i="5"/>
  <c r="C14" i="5"/>
  <c r="B14" i="5"/>
  <c r="C19" i="5"/>
  <c r="C34" i="5"/>
  <c r="N19" i="2"/>
  <c r="L19" i="2"/>
  <c r="I11" i="6"/>
  <c r="M14" i="2"/>
  <c r="M16" i="2"/>
  <c r="D12" i="2"/>
  <c r="F12" i="2" s="1"/>
  <c r="M18" i="2"/>
  <c r="D11" i="4"/>
  <c r="D16" i="2"/>
  <c r="F16" i="2" s="1"/>
  <c r="N12" i="2"/>
  <c r="L12" i="2"/>
  <c r="N13" i="2"/>
  <c r="L13" i="2"/>
  <c r="D7" i="4"/>
  <c r="D14" i="4" s="1"/>
  <c r="L18" i="2"/>
  <c r="N18" i="2"/>
  <c r="N17" i="2"/>
  <c r="L17" i="2"/>
  <c r="D13" i="4"/>
  <c r="M15" i="2"/>
  <c r="D10" i="4"/>
  <c r="E24" i="5" l="1"/>
  <c r="D24" i="5"/>
  <c r="E31" i="5"/>
  <c r="D31" i="5"/>
  <c r="H13" i="4"/>
  <c r="I13" i="4"/>
  <c r="I10" i="4"/>
  <c r="H10" i="4"/>
  <c r="E34" i="5"/>
  <c r="D34" i="5"/>
  <c r="G7" i="4"/>
  <c r="F14" i="4"/>
  <c r="E37" i="5"/>
  <c r="D37" i="5"/>
  <c r="D20" i="5"/>
  <c r="E20" i="5"/>
  <c r="E19" i="5"/>
  <c r="D19" i="5"/>
  <c r="D13" i="5"/>
  <c r="E13" i="5"/>
  <c r="E27" i="5"/>
  <c r="D27" i="5"/>
  <c r="D28" i="5"/>
  <c r="E28" i="5"/>
  <c r="E21" i="5"/>
  <c r="D21" i="5"/>
  <c r="E15" i="5"/>
  <c r="D15" i="5"/>
  <c r="E25" i="5"/>
  <c r="D25" i="5"/>
  <c r="E36" i="5"/>
  <c r="D36" i="5"/>
  <c r="F9" i="5"/>
  <c r="F8" i="5"/>
  <c r="I8" i="4"/>
  <c r="H8" i="4"/>
  <c r="E14" i="5"/>
  <c r="D14" i="5"/>
  <c r="E22" i="5"/>
  <c r="D22" i="5"/>
  <c r="D23" i="5"/>
  <c r="E23" i="5"/>
  <c r="E32" i="5"/>
  <c r="D32" i="5"/>
  <c r="D30" i="5"/>
  <c r="E30" i="5"/>
  <c r="E16" i="5"/>
  <c r="D16" i="5"/>
  <c r="E26" i="5"/>
  <c r="D26" i="5"/>
  <c r="I12" i="4"/>
  <c r="H12" i="4"/>
  <c r="I9" i="4"/>
  <c r="H9" i="4"/>
  <c r="E17" i="5"/>
  <c r="D17" i="5"/>
  <c r="D33" i="5"/>
  <c r="E33" i="5"/>
  <c r="D18" i="5"/>
  <c r="E18" i="5"/>
  <c r="E29" i="5"/>
  <c r="D29" i="5"/>
  <c r="E35" i="5"/>
  <c r="D35" i="5"/>
  <c r="H11" i="4"/>
  <c r="I11" i="4"/>
  <c r="I7" i="4" l="1"/>
  <c r="I14" i="4" s="1"/>
  <c r="G14" i="4"/>
  <c r="H7" i="4"/>
</calcChain>
</file>

<file path=xl/sharedStrings.xml><?xml version="1.0" encoding="utf-8"?>
<sst xmlns="http://schemas.openxmlformats.org/spreadsheetml/2006/main" count="269" uniqueCount="161">
  <si>
    <t>📋  Depot – ETF &amp; Wertpapier-Positionen</t>
  </si>
  <si>
    <t>💡 Blaue Felder = manuelle Eingabe  |  Schwarze Felder = automatische Berechnung  |  Bitte nur in die blauen Felder schreiben</t>
  </si>
  <si>
    <t>Bezeichnung</t>
  </si>
  <si>
    <t>ISIN / WKN</t>
  </si>
  <si>
    <t>Anlageklasse</t>
  </si>
  <si>
    <t>Anteile</t>
  </si>
  <si>
    <t>Einstandswert (€)</t>
  </si>
  <si>
    <t>Akt. Kurs (€)</t>
  </si>
  <si>
    <t>Akt. Gesamtwert (€)</t>
  </si>
  <si>
    <t>G / V (€)</t>
  </si>
  <si>
    <t>ROI (%)</t>
  </si>
  <si>
    <t>TER (%)</t>
  </si>
  <si>
    <t>Ausschüttungsart</t>
  </si>
  <si>
    <t>Broker / Depot</t>
  </si>
  <si>
    <t>Notizen</t>
  </si>
  <si>
    <t>Globaler Aktien-ETF (Welt)</t>
  </si>
  <si>
    <t>LU0000000001</t>
  </si>
  <si>
    <t>Aktien IL</t>
  </si>
  <si>
    <t>Thesaurierend</t>
  </si>
  <si>
    <t>Musterbank AG</t>
  </si>
  <si>
    <t>Core-Position, Sparplan aktiv</t>
  </si>
  <si>
    <t>Schwellenländer-ETF</t>
  </si>
  <si>
    <t>LU0000000002</t>
  </si>
  <si>
    <t>Aktien EM</t>
  </si>
  <si>
    <t>Ergänzung Weltportfolio</t>
  </si>
  <si>
    <t>Europa Small Cap ETF</t>
  </si>
  <si>
    <t>LU0000000003</t>
  </si>
  <si>
    <t>Ausschüttend</t>
  </si>
  <si>
    <t>Direktdepot GmbH</t>
  </si>
  <si>
    <t>Beimischung Small Caps</t>
  </si>
  <si>
    <t>Staatsanleihen ETF EUR</t>
  </si>
  <si>
    <t>LU0000000004</t>
  </si>
  <si>
    <t>Anleihen</t>
  </si>
  <si>
    <t>Stabilitätsanker</t>
  </si>
  <si>
    <t>Rohstoff-ETC (Breit)</t>
  </si>
  <si>
    <t>DE000A0000001</t>
  </si>
  <si>
    <t>Rohstoffe</t>
  </si>
  <si>
    <t>Inflations-Hedge</t>
  </si>
  <si>
    <t>Immobilien-ETF (Global REIT)</t>
  </si>
  <si>
    <t>LU0000000005</t>
  </si>
  <si>
    <t>Immobilien</t>
  </si>
  <si>
    <t>Dividendenquelle</t>
  </si>
  <si>
    <t>Kurzläufer-Anleihen ETF</t>
  </si>
  <si>
    <t>LU0000000006</t>
  </si>
  <si>
    <t>Liquiditätspuffer</t>
  </si>
  <si>
    <t>Nachhaltigkeits-ETF (ESG)</t>
  </si>
  <si>
    <t>LU0000000007</t>
  </si>
  <si>
    <t>ESG-Beimischung</t>
  </si>
  <si>
    <t>GESAMT / PORTFOLIO</t>
  </si>
  <si>
    <t>⚠️  Alle Werte werden automatisch aus dem Depot-Tab berechnet. Daten bitte im Tab '📋 Depot' eingeben.</t>
  </si>
  <si>
    <t>Depotwert
gesamt (€)</t>
  </si>
  <si>
    <t>Investiertes
Kapital (€)</t>
  </si>
  <si>
    <t>Gewinn /
Verlust (€)</t>
  </si>
  <si>
    <t>Rendite
gesamt (%)</t>
  </si>
  <si>
    <t>Positionen</t>
  </si>
  <si>
    <t>Stand</t>
  </si>
  <si>
    <t>📌 Gewichtung nach Anlageklasse</t>
  </si>
  <si>
    <t>📈 Performance je Position</t>
  </si>
  <si>
    <t>Ist-Wert (€)</t>
  </si>
  <si>
    <t>Ist-% aktuell</t>
  </si>
  <si>
    <t>Ziel-% (Plan)</t>
  </si>
  <si>
    <t>Abweichung (%)</t>
  </si>
  <si>
    <t>Einstand (€)</t>
  </si>
  <si>
    <t>Akt. Wert (€)</t>
  </si>
  <si>
    <t>G/V (€)</t>
  </si>
  <si>
    <t>Gewichtung (%)</t>
  </si>
  <si>
    <t>Status</t>
  </si>
  <si>
    <t>Aktien Industrieländer</t>
  </si>
  <si>
    <t>Aktien Schwellenländer</t>
  </si>
  <si>
    <t>Rohstoffe / Gold</t>
  </si>
  <si>
    <t>Immobilien (REITs)</t>
  </si>
  <si>
    <t>🔄  Transaktionshistorie – Käufe, Verkäufe &amp; Dividenden</t>
  </si>
  <si>
    <t>Datum</t>
  </si>
  <si>
    <t>ETF / Titel</t>
  </si>
  <si>
    <t>Typ</t>
  </si>
  <si>
    <t>Kurs (€)</t>
  </si>
  <si>
    <t>Ordervolumen (€)</t>
  </si>
  <si>
    <t>Gebühren (€)</t>
  </si>
  <si>
    <t>Nettobetrag (€)</t>
  </si>
  <si>
    <t>Depot</t>
  </si>
  <si>
    <t>Bemerkung</t>
  </si>
  <si>
    <t>15.01.2025</t>
  </si>
  <si>
    <t>Kauf</t>
  </si>
  <si>
    <t>Sparplan Januar</t>
  </si>
  <si>
    <t>01.02.2025</t>
  </si>
  <si>
    <t>Sparplan Februar</t>
  </si>
  <si>
    <t>15.02.2025</t>
  </si>
  <si>
    <t>Einmalanlage</t>
  </si>
  <si>
    <t>01.03.2025</t>
  </si>
  <si>
    <t>Sparplan März</t>
  </si>
  <si>
    <t>15.03.2025</t>
  </si>
  <si>
    <t>Dividende</t>
  </si>
  <si>
    <t>Quartalsausschüttung</t>
  </si>
  <si>
    <t>01.04.2025</t>
  </si>
  <si>
    <t>Rebalancing</t>
  </si>
  <si>
    <t>15.04.2025</t>
  </si>
  <si>
    <t>Sparplan April</t>
  </si>
  <si>
    <t>01.05.2025</t>
  </si>
  <si>
    <t>Neue Position</t>
  </si>
  <si>
    <t>15.05.2025</t>
  </si>
  <si>
    <t>Verkauf</t>
  </si>
  <si>
    <t>Teilverkauf Rebalancing</t>
  </si>
  <si>
    <t>01.06.2025</t>
  </si>
  <si>
    <t>15.06.2025</t>
  </si>
  <si>
    <t>Sparplan Juni</t>
  </si>
  <si>
    <t>01.07.2025</t>
  </si>
  <si>
    <t>Halbjahresausschüttung</t>
  </si>
  <si>
    <t>15.07.2025</t>
  </si>
  <si>
    <t>Neue ESG-Position</t>
  </si>
  <si>
    <t>01.08.2025</t>
  </si>
  <si>
    <t>Sparplan August</t>
  </si>
  <si>
    <t>15.08.2025</t>
  </si>
  <si>
    <t>SUMME</t>
  </si>
  <si>
    <t>Farbcode Transaktionstyp:</t>
  </si>
  <si>
    <t>⚖️  Rebalancing-Rechner – Zielgewichtung vs. Ist-Zustand</t>
  </si>
  <si>
    <t>💶  Verfügbares Budget (€):</t>
  </si>
  <si>
    <t>⚠️  Gelben Wert anpassen – alle Spalten aktualisieren sich automatisch</t>
  </si>
  <si>
    <t>📊  Depotwert gesamt:</t>
  </si>
  <si>
    <t>ETF / Instrument</t>
  </si>
  <si>
    <t>Ziel-% (Eingabe)</t>
  </si>
  <si>
    <t>Ziel-Wert (€)</t>
  </si>
  <si>
    <t>Differenz (€)</t>
  </si>
  <si>
    <t>Aktion</t>
  </si>
  <si>
    <t>Invest. Betrag (€)</t>
  </si>
  <si>
    <t>GESAMT</t>
  </si>
  <si>
    <t>ℹ️  Anleitung: Tragen Sie in der Spalte 'Ziel-% (Eingabe)' Ihre Zielgewichtungen ein (Summe sollte 100% ergeben). Das verfügbare Budget können Sie oben anpassen. Abweichungen über 100 € lösen eine Kauf- bzw. Verkaufsempfehlung aus. Die Spalte 'Invest. Betrag' zeigt den empfohlenen Investitionsbetrag aus Ihrem Budget für jede Position.</t>
  </si>
  <si>
    <t>📈  Sparplan-Rechner &amp; Vermögensprognose (Zinseszins-Effekt)</t>
  </si>
  <si>
    <t>⚙️  Eingaben (blaue Felder anpassen)</t>
  </si>
  <si>
    <t>📊  Ergebnisse (automatisch)</t>
  </si>
  <si>
    <t>Aktueller Depotwert (€)</t>
  </si>
  <si>
    <t>Endwert Startkapital (€)</t>
  </si>
  <si>
    <t>Monatliche Sparrate (€)</t>
  </si>
  <si>
    <t>Endwert Sparraten (€)</t>
  </si>
  <si>
    <t>Erwartete Rendite p.a. (%)</t>
  </si>
  <si>
    <t>Voraussichtl. Endkapital</t>
  </si>
  <si>
    <t>Anlagedauer (Jahre)</t>
  </si>
  <si>
    <t>Eingezahltes Kapital (€)</t>
  </si>
  <si>
    <t>Einmaliger Zusatzbetrag (€)</t>
  </si>
  <si>
    <t>Zinsgewinn (€)</t>
  </si>
  <si>
    <t>Jährl. Sparratenerhöhung (%)</t>
  </si>
  <si>
    <t>Wachstumsfaktor</t>
  </si>
  <si>
    <t>📅  Jahresverlauf – Vermögensentwicklung</t>
  </si>
  <si>
    <t>Jahr</t>
  </si>
  <si>
    <t>Einzahlungen kum. (€)</t>
  </si>
  <si>
    <t>Depotwert progn. (€)</t>
  </si>
  <si>
    <t>Zinsgewinn kum. (€)</t>
  </si>
  <si>
    <t>Wachstum ggü. Vorjahr (%)</t>
  </si>
  <si>
    <t>💰  Dividenden &amp; Ausschüttungen – Jahresübersicht</t>
  </si>
  <si>
    <t>Häufigkeit</t>
  </si>
  <si>
    <t>Q1 (€)</t>
  </si>
  <si>
    <t>Q2 (€)</t>
  </si>
  <si>
    <t>Q3 (€)</t>
  </si>
  <si>
    <t>Q4 (€)</t>
  </si>
  <si>
    <t>Jahresbetrag (€)</t>
  </si>
  <si>
    <t>Dividendenrendite (%)</t>
  </si>
  <si>
    <t>Vierteljährlich</t>
  </si>
  <si>
    <t>Halbjährlich</t>
  </si>
  <si>
    <t>Jährlich</t>
  </si>
  <si>
    <t>📌 Monatliche Ø-Ausschüttung:</t>
  </si>
  <si>
    <t>Netto-Dividendenrendite Portfolio:</t>
  </si>
  <si>
    <t>📊  ETF Portfolio-Dashboard – Gesamtübersicht &amp; Kennzahlen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</si>
</sst>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"/>
    <numFmt numFmtId="165" formatCode="&quot;TT.&quot;mm&quot;.JJJJ&quot;"/>
    <numFmt numFmtId="166" formatCode="0.0%"/>
    <numFmt numFmtId="167" formatCode="0.00\x"/>
  </numFmts>
  <fonts count="22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i/>
      <sz val="9"/>
      <color rgb="FFC55A11"/>
      <name val="Arial"/>
      <charset val="1"/>
    </font>
    <font>
      <b/>
      <sz val="9"/>
      <color rgb="FFFFFFFF"/>
      <name val="Arial"/>
      <charset val="1"/>
    </font>
    <font>
      <sz val="10"/>
      <color rgb="FF000000"/>
      <name val="Arial"/>
      <charset val="1"/>
    </font>
    <font>
      <sz val="10"/>
      <color rgb="FF0000FF"/>
      <name val="Arial"/>
      <charset val="1"/>
    </font>
    <font>
      <b/>
      <sz val="10"/>
      <color rgb="FFFFFFFF"/>
      <name val="Arial"/>
      <charset val="1"/>
    </font>
    <font>
      <b/>
      <sz val="15"/>
      <color rgb="FFFFFFFF"/>
      <name val="Arial"/>
      <charset val="1"/>
    </font>
    <font>
      <b/>
      <sz val="13"/>
      <color rgb="FF1F3864"/>
      <name val="Arial"/>
      <charset val="1"/>
    </font>
    <font>
      <b/>
      <sz val="13"/>
      <color rgb="FF1A5276"/>
      <name val="Arial"/>
      <charset val="1"/>
    </font>
    <font>
      <b/>
      <sz val="13"/>
      <color rgb="FF1D6A39"/>
      <name val="Arial"/>
      <charset val="1"/>
    </font>
    <font>
      <b/>
      <sz val="13"/>
      <color rgb="FF7D3C98"/>
      <name val="Arial"/>
      <charset val="1"/>
    </font>
    <font>
      <b/>
      <sz val="13"/>
      <color rgb="FFC0392B"/>
      <name val="Arial"/>
      <charset val="1"/>
    </font>
    <font>
      <b/>
      <sz val="13"/>
      <color rgb="FF5D6D7E"/>
      <name val="Arial"/>
      <charset val="1"/>
    </font>
    <font>
      <b/>
      <sz val="10"/>
      <color rgb="FF000000"/>
      <name val="Arial"/>
      <charset val="1"/>
    </font>
    <font>
      <b/>
      <sz val="11"/>
      <color rgb="FF0000FF"/>
      <name val="Arial"/>
      <charset val="1"/>
    </font>
    <font>
      <i/>
      <sz val="9"/>
      <name val="Arial"/>
      <charset val="1"/>
    </font>
    <font>
      <b/>
      <sz val="12"/>
      <color rgb="FF1F3864"/>
      <name val="Arial"/>
      <charset val="1"/>
    </font>
    <font>
      <b/>
      <sz val="10"/>
      <name val="Arial"/>
      <charset val="1"/>
    </font>
    <font>
      <b/>
      <sz val="15"/>
      <color rgb="FFFFFFFF"/>
      <name val="Arial"/>
      <family val="2"/>
    </font>
    <font>
      <b/>
      <sz val="12"/>
      <color rgb="FFFFFFFF"/>
      <name val="Arial"/>
      <family val="2"/>
    </font>
    <font>
      <sz val="12"/>
      <color theme="1"/>
      <name val="Calibri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2CC"/>
        <bgColor rgb="FFFCE4D6"/>
      </patternFill>
    </fill>
    <fill>
      <patternFill patternType="solid">
        <fgColor rgb="FF2E75B6"/>
        <bgColor rgb="FF0066CC"/>
      </patternFill>
    </fill>
    <fill>
      <patternFill patternType="solid">
        <fgColor rgb="FFDEEAF1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1A5276"/>
        <bgColor rgb="FF1F3864"/>
      </patternFill>
    </fill>
    <fill>
      <patternFill patternType="solid">
        <fgColor rgb="FF1D6A39"/>
        <bgColor rgb="FF1A5276"/>
      </patternFill>
    </fill>
    <fill>
      <patternFill patternType="solid">
        <fgColor rgb="FF7D3C98"/>
        <bgColor rgb="FF993366"/>
      </patternFill>
    </fill>
    <fill>
      <patternFill patternType="solid">
        <fgColor rgb="FFC0392B"/>
        <bgColor rgb="FFC55A11"/>
      </patternFill>
    </fill>
    <fill>
      <patternFill patternType="solid">
        <fgColor rgb="FF5D6D7E"/>
        <bgColor rgb="FF808080"/>
      </patternFill>
    </fill>
    <fill>
      <patternFill patternType="solid">
        <fgColor rgb="FFF2F2F2"/>
        <bgColor rgb="FFE2EFDA"/>
      </patternFill>
    </fill>
    <fill>
      <patternFill patternType="solid">
        <fgColor rgb="FFE2EFDA"/>
        <bgColor rgb="FFDEEAF1"/>
      </patternFill>
    </fill>
    <fill>
      <patternFill patternType="solid">
        <fgColor rgb="FFFCE4D6"/>
        <bgColor rgb="FFFFF2CC"/>
      </patternFill>
    </fill>
    <fill>
      <patternFill patternType="solid">
        <fgColor rgb="FFBDD7EE"/>
        <bgColor rgb="FF99CCFF"/>
      </patternFill>
    </fill>
    <fill>
      <patternFill patternType="solid">
        <fgColor theme="6" tint="0.79998168889431442"/>
        <bgColor rgb="FFE2EFDA"/>
      </patternFill>
    </fill>
    <fill>
      <patternFill patternType="solid">
        <fgColor theme="6" tint="0.79998168889431442"/>
        <bgColor rgb="FFF2F2F2"/>
      </patternFill>
    </fill>
    <fill>
      <patternFill patternType="solid">
        <fgColor theme="9" tint="0.79998168889431442"/>
        <bgColor rgb="FFE2EFDA"/>
      </patternFill>
    </fill>
    <fill>
      <patternFill patternType="solid">
        <fgColor theme="9" tint="0.79998168889431442"/>
        <bgColor rgb="FFF2F2F2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medium">
        <color rgb="FF2E75B6"/>
      </left>
      <right/>
      <top style="medium">
        <color rgb="FF2E75B6"/>
      </top>
      <bottom style="medium">
        <color rgb="FF2E75B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left" vertical="center"/>
    </xf>
    <xf numFmtId="1" fontId="5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0" fontId="4" fillId="5" borderId="1" xfId="0" applyNumberFormat="1" applyFont="1" applyFill="1" applyBorder="1" applyAlignment="1">
      <alignment horizontal="center" vertical="center" wrapText="1"/>
    </xf>
    <xf numFmtId="10" fontId="5" fillId="5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left" vertical="center"/>
    </xf>
    <xf numFmtId="1" fontId="5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0" fontId="4" fillId="6" borderId="1" xfId="0" applyNumberFormat="1" applyFont="1" applyFill="1" applyBorder="1" applyAlignment="1">
      <alignment horizontal="center" vertical="center" wrapText="1"/>
    </xf>
    <xf numFmtId="10" fontId="5" fillId="6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/>
    </xf>
    <xf numFmtId="166" fontId="4" fillId="5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/>
    </xf>
    <xf numFmtId="166" fontId="4" fillId="6" borderId="1" xfId="0" applyNumberFormat="1" applyFont="1" applyFill="1" applyBorder="1" applyAlignment="1">
      <alignment horizontal="center" vertical="center" wrapText="1"/>
    </xf>
    <xf numFmtId="165" fontId="4" fillId="13" borderId="1" xfId="0" applyNumberFormat="1" applyFont="1" applyFill="1" applyBorder="1" applyAlignment="1">
      <alignment horizontal="center" vertical="center" wrapText="1"/>
    </xf>
    <xf numFmtId="49" fontId="4" fillId="13" borderId="1" xfId="0" applyNumberFormat="1" applyFont="1" applyFill="1" applyBorder="1" applyAlignment="1">
      <alignment horizontal="left" vertical="center"/>
    </xf>
    <xf numFmtId="49" fontId="4" fillId="13" borderId="1" xfId="0" applyNumberFormat="1" applyFont="1" applyFill="1" applyBorder="1" applyAlignment="1">
      <alignment horizontal="center" vertical="center" wrapText="1"/>
    </xf>
    <xf numFmtId="1" fontId="4" fillId="13" borderId="1" xfId="0" applyNumberFormat="1" applyFont="1" applyFill="1" applyBorder="1" applyAlignment="1">
      <alignment horizontal="center" vertical="center" wrapText="1"/>
    </xf>
    <xf numFmtId="164" fontId="4" fillId="1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5" fontId="4" fillId="14" borderId="1" xfId="0" applyNumberFormat="1" applyFont="1" applyFill="1" applyBorder="1" applyAlignment="1">
      <alignment horizontal="center" vertical="center" wrapText="1"/>
    </xf>
    <xf numFmtId="49" fontId="4" fillId="14" borderId="1" xfId="0" applyNumberFormat="1" applyFont="1" applyFill="1" applyBorder="1" applyAlignment="1">
      <alignment horizontal="left" vertical="center"/>
    </xf>
    <xf numFmtId="49" fontId="4" fillId="14" borderId="1" xfId="0" applyNumberFormat="1" applyFont="1" applyFill="1" applyBorder="1" applyAlignment="1">
      <alignment horizontal="center" vertical="center" wrapText="1"/>
    </xf>
    <xf numFmtId="1" fontId="4" fillId="14" borderId="1" xfId="0" applyNumberFormat="1" applyFont="1" applyFill="1" applyBorder="1" applyAlignment="1">
      <alignment horizontal="center" vertical="center" wrapText="1"/>
    </xf>
    <xf numFmtId="164" fontId="4" fillId="14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4" fillId="0" borderId="0" xfId="0" applyFont="1"/>
    <xf numFmtId="0" fontId="14" fillId="13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15" fillId="3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14" fillId="0" borderId="1" xfId="0" applyNumberFormat="1" applyFont="1" applyBorder="1"/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left" vertical="center"/>
    </xf>
    <xf numFmtId="164" fontId="14" fillId="0" borderId="3" xfId="0" applyNumberFormat="1" applyFont="1" applyBorder="1" applyAlignment="1">
      <alignment horizontal="center" vertical="center" wrapText="1"/>
    </xf>
    <xf numFmtId="10" fontId="15" fillId="3" borderId="3" xfId="0" applyNumberFormat="1" applyFont="1" applyFill="1" applyBorder="1" applyAlignment="1">
      <alignment horizontal="center" vertical="center" wrapText="1"/>
    </xf>
    <xf numFmtId="1" fontId="15" fillId="3" borderId="3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 wrapText="1"/>
    </xf>
    <xf numFmtId="164" fontId="17" fillId="15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49" fontId="4" fillId="16" borderId="1" xfId="0" applyNumberFormat="1" applyFont="1" applyFill="1" applyBorder="1" applyAlignment="1">
      <alignment horizontal="center" vertical="center" wrapText="1"/>
    </xf>
    <xf numFmtId="49" fontId="4" fillId="17" borderId="1" xfId="0" applyNumberFormat="1" applyFont="1" applyFill="1" applyBorder="1" applyAlignment="1">
      <alignment horizontal="center" vertical="center" wrapText="1"/>
    </xf>
    <xf numFmtId="49" fontId="4" fillId="18" borderId="1" xfId="0" applyNumberFormat="1" applyFont="1" applyFill="1" applyBorder="1" applyAlignment="1">
      <alignment horizontal="center" vertical="center" wrapText="1"/>
    </xf>
    <xf numFmtId="49" fontId="4" fillId="19" borderId="1" xfId="0" applyNumberFormat="1" applyFont="1" applyFill="1" applyBorder="1" applyAlignment="1">
      <alignment horizontal="center" vertical="center" wrapText="1"/>
    </xf>
    <xf numFmtId="165" fontId="13" fillId="12" borderId="8" xfId="0" applyNumberFormat="1" applyFont="1" applyFill="1" applyBorder="1" applyAlignment="1">
      <alignment horizontal="center" vertical="center" wrapText="1"/>
    </xf>
    <xf numFmtId="165" fontId="13" fillId="12" borderId="9" xfId="0" applyNumberFormat="1" applyFont="1" applyFill="1" applyBorder="1" applyAlignment="1">
      <alignment horizontal="center" vertical="center" wrapText="1"/>
    </xf>
    <xf numFmtId="165" fontId="13" fillId="12" borderId="10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64" fontId="8" fillId="12" borderId="6" xfId="0" applyNumberFormat="1" applyFont="1" applyFill="1" applyBorder="1" applyAlignment="1">
      <alignment horizontal="center" vertical="center" wrapText="1"/>
    </xf>
    <xf numFmtId="164" fontId="9" fillId="12" borderId="6" xfId="0" applyNumberFormat="1" applyFont="1" applyFill="1" applyBorder="1" applyAlignment="1">
      <alignment horizontal="center" vertical="center" wrapText="1"/>
    </xf>
    <xf numFmtId="164" fontId="10" fillId="12" borderId="6" xfId="0" applyNumberFormat="1" applyFont="1" applyFill="1" applyBorder="1" applyAlignment="1">
      <alignment horizontal="center" vertical="center" wrapText="1"/>
    </xf>
    <xf numFmtId="10" fontId="11" fillId="12" borderId="6" xfId="0" applyNumberFormat="1" applyFont="1" applyFill="1" applyBorder="1" applyAlignment="1">
      <alignment horizontal="center" vertical="center" wrapText="1"/>
    </xf>
    <xf numFmtId="1" fontId="12" fillId="12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20" fillId="11" borderId="8" xfId="0" applyFont="1" applyFill="1" applyBorder="1" applyAlignment="1">
      <alignment horizontal="center" vertical="center" wrapText="1"/>
    </xf>
    <xf numFmtId="0" fontId="20" fillId="11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5" borderId="4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7" xfId="0" applyBorder="1"/>
    <xf numFmtId="164" fontId="17" fillId="15" borderId="5" xfId="0" applyNumberFormat="1" applyFont="1" applyFill="1" applyBorder="1" applyAlignment="1">
      <alignment horizontal="center" vertical="center" wrapText="1"/>
    </xf>
    <xf numFmtId="167" fontId="17" fillId="15" borderId="5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4" fillId="0" borderId="2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D6A39"/>
      <rgbColor rgb="FF000080"/>
      <rgbColor rgb="FF808000"/>
      <rgbColor rgb="FF800080"/>
      <rgbColor rgb="FF008080"/>
      <rgbColor rgb="FFBFBFBF"/>
      <rgbColor rgb="FF808080"/>
      <rgbColor rgb="FF9999FF"/>
      <rgbColor rgb="FF7D3C98"/>
      <rgbColor rgb="FFFFF2CC"/>
      <rgbColor rgb="FFDEEAF1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C55A11"/>
      <rgbColor rgb="FF5D6D7E"/>
      <rgbColor rgb="FF969696"/>
      <rgbColor rgb="FF1F3864"/>
      <rgbColor rgb="FF339966"/>
      <rgbColor rgb="FF003300"/>
      <rgbColor rgb="FF333300"/>
      <rgbColor rgb="FFC0392B"/>
      <rgbColor rgb="FF993366"/>
      <rgbColor rgb="FF1A52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showGridLines="0" tabSelected="1" zoomScaleNormal="100" workbookViewId="0">
      <selection activeCell="N5" sqref="N5"/>
    </sheetView>
  </sheetViews>
  <sheetFormatPr baseColWidth="10" defaultColWidth="8.7109375" defaultRowHeight="15" x14ac:dyDescent="0.25"/>
  <cols>
    <col min="1" max="1" width="2" customWidth="1"/>
    <col min="2" max="2" width="24" customWidth="1"/>
    <col min="3" max="3" width="16" customWidth="1"/>
    <col min="4" max="4" width="14" customWidth="1"/>
    <col min="5" max="5" width="17.7109375" customWidth="1"/>
    <col min="6" max="6" width="16" customWidth="1"/>
    <col min="7" max="7" width="2" customWidth="1"/>
    <col min="8" max="8" width="28" customWidth="1"/>
    <col min="9" max="9" width="11.5703125" customWidth="1"/>
    <col min="10" max="10" width="13.7109375" customWidth="1"/>
    <col min="11" max="12" width="11.7109375" customWidth="1"/>
    <col min="13" max="13" width="11.85546875" customWidth="1"/>
    <col min="14" max="14" width="13" customWidth="1"/>
  </cols>
  <sheetData>
    <row r="1" spans="1:14" ht="39.75" customHeight="1" x14ac:dyDescent="0.25">
      <c r="A1" s="73" t="s">
        <v>160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15" customHeight="1" x14ac:dyDescent="0.25">
      <c r="A2" s="74" t="s">
        <v>49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4" spans="1:14" ht="21.75" customHeight="1" x14ac:dyDescent="0.25">
      <c r="B4" s="75" t="s">
        <v>50</v>
      </c>
      <c r="C4" s="76" t="s">
        <v>51</v>
      </c>
      <c r="D4" s="77" t="s">
        <v>52</v>
      </c>
      <c r="E4" s="78" t="s">
        <v>53</v>
      </c>
      <c r="F4" s="79" t="s">
        <v>54</v>
      </c>
      <c r="G4" s="59"/>
      <c r="H4" s="80" t="s">
        <v>55</v>
      </c>
      <c r="I4" s="59"/>
      <c r="K4" s="59"/>
    </row>
    <row r="5" spans="1:14" ht="21.75" customHeight="1" x14ac:dyDescent="0.25">
      <c r="B5" s="75"/>
      <c r="C5" s="76"/>
      <c r="D5" s="77"/>
      <c r="E5" s="78"/>
      <c r="F5" s="79"/>
      <c r="G5" s="59"/>
      <c r="H5" s="81"/>
      <c r="I5" s="59"/>
      <c r="K5" s="59"/>
    </row>
    <row r="6" spans="1:14" ht="21.75" customHeight="1" x14ac:dyDescent="0.25">
      <c r="B6" s="68">
        <f>SUM('📋 Depot'!G4:G11)</f>
        <v>14509.35</v>
      </c>
      <c r="C6" s="69">
        <f>SUM('📋 Depot'!E4:E11)</f>
        <v>13923.4</v>
      </c>
      <c r="D6" s="70">
        <f>SUM('📋 Depot'!H4:H11)</f>
        <v>585.95000000000016</v>
      </c>
      <c r="E6" s="71">
        <f>IFERROR(SUM('📋 Depot'!H4:H11)/SUM('📋 Depot'!E4:E11),0)</f>
        <v>4.2083830098970092E-2</v>
      </c>
      <c r="F6" s="72">
        <f>COUNTA('📋 Depot'!A4:A11)</f>
        <v>8</v>
      </c>
      <c r="H6" s="64" t="str">
        <f ca="1">TEXT(TODAY(),"dd.mm.aaaa")</f>
        <v>26.05.2026</v>
      </c>
    </row>
    <row r="7" spans="1:14" ht="21.75" customHeight="1" x14ac:dyDescent="0.25">
      <c r="B7" s="68"/>
      <c r="C7" s="69"/>
      <c r="D7" s="70"/>
      <c r="E7" s="71"/>
      <c r="F7" s="72"/>
      <c r="H7" s="65"/>
    </row>
    <row r="8" spans="1:14" ht="21.75" customHeight="1" x14ac:dyDescent="0.25">
      <c r="B8" s="68"/>
      <c r="C8" s="69"/>
      <c r="D8" s="70"/>
      <c r="E8" s="71"/>
      <c r="F8" s="72"/>
      <c r="H8" s="66"/>
    </row>
    <row r="10" spans="1:14" ht="19.5" x14ac:dyDescent="0.25">
      <c r="B10" s="67" t="s">
        <v>56</v>
      </c>
      <c r="C10" s="67"/>
      <c r="D10" s="67"/>
      <c r="E10" s="67"/>
      <c r="F10" s="67"/>
      <c r="H10" s="67" t="s">
        <v>57</v>
      </c>
      <c r="I10" s="67"/>
      <c r="J10" s="67"/>
      <c r="K10" s="67"/>
      <c r="L10" s="67"/>
      <c r="M10" s="67"/>
      <c r="N10" s="67"/>
    </row>
    <row r="11" spans="1:14" ht="24" x14ac:dyDescent="0.25">
      <c r="B11" s="1" t="s">
        <v>4</v>
      </c>
      <c r="C11" s="1" t="s">
        <v>58</v>
      </c>
      <c r="D11" s="1" t="s">
        <v>59</v>
      </c>
      <c r="E11" s="1" t="s">
        <v>60</v>
      </c>
      <c r="F11" s="1" t="s">
        <v>61</v>
      </c>
      <c r="H11" s="1" t="s">
        <v>2</v>
      </c>
      <c r="I11" s="1" t="s">
        <v>62</v>
      </c>
      <c r="J11" s="1" t="s">
        <v>63</v>
      </c>
      <c r="K11" s="1" t="s">
        <v>64</v>
      </c>
      <c r="L11" s="1" t="s">
        <v>10</v>
      </c>
      <c r="M11" s="1" t="s">
        <v>65</v>
      </c>
      <c r="N11" s="1" t="s">
        <v>66</v>
      </c>
    </row>
    <row r="12" spans="1:14" ht="21.75" customHeight="1" x14ac:dyDescent="0.25">
      <c r="B12" s="17" t="s">
        <v>67</v>
      </c>
      <c r="C12" s="5">
        <f>SUMIF('📋 Depot'!C4:C11,"Aktien IL",'📋 Depot'!G4:G11)</f>
        <v>8107.35</v>
      </c>
      <c r="D12" s="18">
        <f>IFERROR(C12/B6,0)</f>
        <v>0.55876727765199685</v>
      </c>
      <c r="E12" s="19">
        <v>0.65</v>
      </c>
      <c r="F12" s="18">
        <f>D12-E12</f>
        <v>-9.123272234800317E-2</v>
      </c>
      <c r="H12" s="2" t="str">
        <f>IF('📋 Depot'!A4&lt;&gt;"",'📋 Depot'!A4,"")</f>
        <v>Globaler Aktien-ETF (Welt)</v>
      </c>
      <c r="I12" s="5">
        <f>IF('📋 Depot'!A4&lt;&gt;"",'📋 Depot'!E4,"")</f>
        <v>4428</v>
      </c>
      <c r="J12" s="5">
        <f>IF('📋 Depot'!A4&lt;&gt;"",'📋 Depot'!G4,"")</f>
        <v>4853.25</v>
      </c>
      <c r="K12" s="5">
        <f>IF('📋 Depot'!A4&lt;&gt;"",'📋 Depot'!H4,"")</f>
        <v>425.25</v>
      </c>
      <c r="L12" s="6">
        <f>IF('📋 Depot'!A4&lt;&gt;"",'📋 Depot'!I4,"")</f>
        <v>9.6036585365853661E-2</v>
      </c>
      <c r="M12" s="18">
        <f>IFERROR('📋 Depot'!G4/B6,0)</f>
        <v>0.33449120739385291</v>
      </c>
      <c r="N12" s="60" t="str">
        <f>IF('📋 Depot'!I4&gt;0,"✅ Gewinn",IF('📋 Depot'!I4&lt;0,"⚠️ Verlust","-"))</f>
        <v>✅ Gewinn</v>
      </c>
    </row>
    <row r="13" spans="1:14" ht="21.75" customHeight="1" x14ac:dyDescent="0.25">
      <c r="B13" s="20" t="s">
        <v>68</v>
      </c>
      <c r="C13" s="11">
        <f>SUMIF('📋 Depot'!C4:C11,"Aktien EM",'📋 Depot'!G4:G11)</f>
        <v>902</v>
      </c>
      <c r="D13" s="21">
        <f>IFERROR(C13/B6,0)</f>
        <v>6.2166809677897353E-2</v>
      </c>
      <c r="E13" s="19">
        <v>0.15</v>
      </c>
      <c r="F13" s="21">
        <f>D13-E13</f>
        <v>-8.7833190322102642E-2</v>
      </c>
      <c r="H13" s="8" t="str">
        <f>IF('📋 Depot'!A5&lt;&gt;"",'📋 Depot'!A5,"")</f>
        <v>Schwellenländer-ETF</v>
      </c>
      <c r="I13" s="11">
        <f>IF('📋 Depot'!A5&lt;&gt;"",'📋 Depot'!E5,"")</f>
        <v>852</v>
      </c>
      <c r="J13" s="11">
        <f>IF('📋 Depot'!A5&lt;&gt;"",'📋 Depot'!G5,"")</f>
        <v>902</v>
      </c>
      <c r="K13" s="11">
        <f>IF('📋 Depot'!A5&lt;&gt;"",'📋 Depot'!H5,"")</f>
        <v>50</v>
      </c>
      <c r="L13" s="12">
        <f>IF('📋 Depot'!A5&lt;&gt;"",'📋 Depot'!I5,"")</f>
        <v>5.8685446009389672E-2</v>
      </c>
      <c r="M13" s="21">
        <f>IFERROR('📋 Depot'!G5/B6,0)</f>
        <v>6.2166809677897353E-2</v>
      </c>
      <c r="N13" s="61" t="str">
        <f>IF('📋 Depot'!I5&gt;0,"✅ Gewinn",IF('📋 Depot'!I5&lt;0,"⚠️ Verlust","-"))</f>
        <v>✅ Gewinn</v>
      </c>
    </row>
    <row r="14" spans="1:14" ht="21.75" customHeight="1" x14ac:dyDescent="0.25">
      <c r="B14" s="17" t="s">
        <v>32</v>
      </c>
      <c r="C14" s="5">
        <f>SUMIF('📋 Depot'!C4:C11,"Anleihen",'📋 Depot'!G4:G11)</f>
        <v>4022</v>
      </c>
      <c r="D14" s="18">
        <f>IFERROR(C14/B6,0)</f>
        <v>0.27720056377439373</v>
      </c>
      <c r="E14" s="19">
        <v>0.1</v>
      </c>
      <c r="F14" s="18">
        <f>D14-E14</f>
        <v>0.17720056377439372</v>
      </c>
      <c r="H14" s="2" t="str">
        <f>IF('📋 Depot'!A6&lt;&gt;"",'📋 Depot'!A6,"")</f>
        <v>Europa Small Cap ETF</v>
      </c>
      <c r="I14" s="5">
        <f>IF('📋 Depot'!A6&lt;&gt;"",'📋 Depot'!E6,"")</f>
        <v>1656</v>
      </c>
      <c r="J14" s="5">
        <f>IF('📋 Depot'!A6&lt;&gt;"",'📋 Depot'!G6,"")</f>
        <v>1612.5</v>
      </c>
      <c r="K14" s="5">
        <f>IF('📋 Depot'!A6&lt;&gt;"",'📋 Depot'!H6,"")</f>
        <v>-43.5</v>
      </c>
      <c r="L14" s="6">
        <f>IF('📋 Depot'!A6&lt;&gt;"",'📋 Depot'!I6,"")</f>
        <v>-2.6268115942028984E-2</v>
      </c>
      <c r="M14" s="18">
        <f>IFERROR('📋 Depot'!G6/B6,0)</f>
        <v>0.11113523348737193</v>
      </c>
      <c r="N14" s="62" t="str">
        <f>IF('📋 Depot'!I6&gt;0,"✅ Gewinn",IF('📋 Depot'!I6&lt;0,"⚠️ Verlust","-"))</f>
        <v>⚠️ Verlust</v>
      </c>
    </row>
    <row r="15" spans="1:14" ht="21.75" customHeight="1" x14ac:dyDescent="0.25">
      <c r="B15" s="20" t="s">
        <v>69</v>
      </c>
      <c r="C15" s="11">
        <f>SUMIF('📋 Depot'!C4:C11,"Rohstoffe",'📋 Depot'!G4:G11)</f>
        <v>524</v>
      </c>
      <c r="D15" s="21">
        <f>IFERROR(C15/B6,0)</f>
        <v>3.6114643316206445E-2</v>
      </c>
      <c r="E15" s="19">
        <v>0.05</v>
      </c>
      <c r="F15" s="21">
        <f>D15-E15</f>
        <v>-1.3885356683793558E-2</v>
      </c>
      <c r="H15" s="8" t="str">
        <f>IF('📋 Depot'!A7&lt;&gt;"",'📋 Depot'!A7,"")</f>
        <v>Staatsanleihen ETF EUR</v>
      </c>
      <c r="I15" s="11">
        <f>IF('📋 Depot'!A7&lt;&gt;"",'📋 Depot'!E7,"")</f>
        <v>1552.5</v>
      </c>
      <c r="J15" s="11">
        <f>IF('📋 Depot'!A7&lt;&gt;"",'📋 Depot'!G7,"")</f>
        <v>1527</v>
      </c>
      <c r="K15" s="11">
        <f>IF('📋 Depot'!A7&lt;&gt;"",'📋 Depot'!H7,"")</f>
        <v>-25.5</v>
      </c>
      <c r="L15" s="12">
        <f>IF('📋 Depot'!A7&lt;&gt;"",'📋 Depot'!I7,"")</f>
        <v>-1.6425120772946861E-2</v>
      </c>
      <c r="M15" s="21">
        <f>IFERROR('📋 Depot'!G7/B6,0)</f>
        <v>0.10524248157222756</v>
      </c>
      <c r="N15" s="63" t="str">
        <f>IF('📋 Depot'!I7&gt;0,"✅ Gewinn",IF('📋 Depot'!I7&lt;0,"⚠️ Verlust","-"))</f>
        <v>⚠️ Verlust</v>
      </c>
    </row>
    <row r="16" spans="1:14" ht="21.75" customHeight="1" x14ac:dyDescent="0.25">
      <c r="B16" s="17" t="s">
        <v>70</v>
      </c>
      <c r="C16" s="5">
        <f>SUMIF('📋 Depot'!C4:C11,"Immobilien",'📋 Depot'!G4:G11)</f>
        <v>954</v>
      </c>
      <c r="D16" s="18">
        <f>IFERROR(C16/B6,0)</f>
        <v>6.5750705579505631E-2</v>
      </c>
      <c r="E16" s="19">
        <v>0.05</v>
      </c>
      <c r="F16" s="18">
        <f>D16-E16</f>
        <v>1.5750705579505628E-2</v>
      </c>
      <c r="H16" s="2" t="str">
        <f>IF('📋 Depot'!A8&lt;&gt;"",'📋 Depot'!A8,"")</f>
        <v>Rohstoff-ETC (Breit)</v>
      </c>
      <c r="I16" s="5">
        <f>IF('📋 Depot'!A8&lt;&gt;"",'📋 Depot'!E8,"")</f>
        <v>489</v>
      </c>
      <c r="J16" s="5">
        <f>IF('📋 Depot'!A8&lt;&gt;"",'📋 Depot'!G8,"")</f>
        <v>524</v>
      </c>
      <c r="K16" s="5">
        <f>IF('📋 Depot'!A8&lt;&gt;"",'📋 Depot'!H8,"")</f>
        <v>35</v>
      </c>
      <c r="L16" s="6">
        <f>IF('📋 Depot'!A8&lt;&gt;"",'📋 Depot'!I8,"")</f>
        <v>7.1574642126789365E-2</v>
      </c>
      <c r="M16" s="18">
        <f>IFERROR('📋 Depot'!G8/B6,0)</f>
        <v>3.6114643316206445E-2</v>
      </c>
      <c r="N16" s="60" t="str">
        <f>IF('📋 Depot'!I8&gt;0,"✅ Gewinn",IF('📋 Depot'!I8&lt;0,"⚠️ Verlust","-"))</f>
        <v>✅ Gewinn</v>
      </c>
    </row>
    <row r="17" spans="8:14" ht="21.75" customHeight="1" x14ac:dyDescent="0.25">
      <c r="H17" s="8" t="str">
        <f>IF('📋 Depot'!A9&lt;&gt;"",'📋 Depot'!A9,"")</f>
        <v>Immobilien-ETF (Global REIT)</v>
      </c>
      <c r="I17" s="11">
        <f>IF('📋 Depot'!A9&lt;&gt;"",'📋 Depot'!E9,"")</f>
        <v>927.6</v>
      </c>
      <c r="J17" s="11">
        <f>IF('📋 Depot'!A9&lt;&gt;"",'📋 Depot'!G9,"")</f>
        <v>954</v>
      </c>
      <c r="K17" s="11">
        <f>IF('📋 Depot'!A9&lt;&gt;"",'📋 Depot'!H9,"")</f>
        <v>26.399999999999977</v>
      </c>
      <c r="L17" s="12">
        <f>IF('📋 Depot'!A9&lt;&gt;"",'📋 Depot'!I9,"")</f>
        <v>2.846054333764551E-2</v>
      </c>
      <c r="M17" s="21">
        <f>IFERROR('📋 Depot'!G9/B6,0)</f>
        <v>6.5750705579505631E-2</v>
      </c>
      <c r="N17" s="61" t="str">
        <f>IF('📋 Depot'!I9&gt;0,"✅ Gewinn",IF('📋 Depot'!I9&lt;0,"⚠️ Verlust","-"))</f>
        <v>✅ Gewinn</v>
      </c>
    </row>
    <row r="18" spans="8:14" ht="21.75" customHeight="1" x14ac:dyDescent="0.25">
      <c r="H18" s="2" t="str">
        <f>IF('📋 Depot'!A10&lt;&gt;"",'📋 Depot'!A10,"")</f>
        <v>Kurzläufer-Anleihen ETF</v>
      </c>
      <c r="I18" s="5">
        <f>IF('📋 Depot'!A10&lt;&gt;"",'📋 Depot'!E10,"")</f>
        <v>2477.5</v>
      </c>
      <c r="J18" s="5">
        <f>IF('📋 Depot'!A10&lt;&gt;"",'📋 Depot'!G10,"")</f>
        <v>2495</v>
      </c>
      <c r="K18" s="5">
        <f>IF('📋 Depot'!A10&lt;&gt;"",'📋 Depot'!H10,"")</f>
        <v>17.5</v>
      </c>
      <c r="L18" s="6">
        <f>IF('📋 Depot'!A10&lt;&gt;"",'📋 Depot'!I10,"")</f>
        <v>7.0635721493440967E-3</v>
      </c>
      <c r="M18" s="18">
        <f>IFERROR('📋 Depot'!G10/B6,0)</f>
        <v>0.17195808220216618</v>
      </c>
      <c r="N18" s="60" t="str">
        <f>IF('📋 Depot'!I10&gt;0,"✅ Gewinn",IF('📋 Depot'!I10&lt;0,"⚠️ Verlust","-"))</f>
        <v>✅ Gewinn</v>
      </c>
    </row>
    <row r="19" spans="8:14" ht="21.75" customHeight="1" x14ac:dyDescent="0.25">
      <c r="H19" s="8" t="str">
        <f>IF('📋 Depot'!A11&lt;&gt;"",'📋 Depot'!A11,"")</f>
        <v>Nachhaltigkeits-ETF (ESG)</v>
      </c>
      <c r="I19" s="11">
        <f>IF('📋 Depot'!A11&lt;&gt;"",'📋 Depot'!E11,"")</f>
        <v>1540.8</v>
      </c>
      <c r="J19" s="11">
        <f>IF('📋 Depot'!A11&lt;&gt;"",'📋 Depot'!G11,"")</f>
        <v>1641.6000000000001</v>
      </c>
      <c r="K19" s="11">
        <f>IF('📋 Depot'!A11&lt;&gt;"",'📋 Depot'!H11,"")</f>
        <v>100.80000000000018</v>
      </c>
      <c r="L19" s="12">
        <f>IF('📋 Depot'!A11&lt;&gt;"",'📋 Depot'!I11,"")</f>
        <v>6.542056074766367E-2</v>
      </c>
      <c r="M19" s="21">
        <f>IFERROR('📋 Depot'!G11/B6,0)</f>
        <v>0.11314083677077195</v>
      </c>
      <c r="N19" s="61" t="str">
        <f>IF('📋 Depot'!I11&gt;0,"✅ Gewinn",IF('📋 Depot'!I11&lt;0,"⚠️ Verlust","-"))</f>
        <v>✅ Gewinn</v>
      </c>
    </row>
  </sheetData>
  <mergeCells count="16">
    <mergeCell ref="A1:N1"/>
    <mergeCell ref="A2:N2"/>
    <mergeCell ref="B4:B5"/>
    <mergeCell ref="C4:C5"/>
    <mergeCell ref="D4:D5"/>
    <mergeCell ref="E4:E5"/>
    <mergeCell ref="F4:F5"/>
    <mergeCell ref="H4:H5"/>
    <mergeCell ref="H6:H8"/>
    <mergeCell ref="B10:F10"/>
    <mergeCell ref="H10:N10"/>
    <mergeCell ref="B6:B8"/>
    <mergeCell ref="C6:C8"/>
    <mergeCell ref="D6:D8"/>
    <mergeCell ref="E6:E8"/>
    <mergeCell ref="F6:F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showGridLines="0" zoomScaleNormal="100" workbookViewId="0">
      <selection sqref="A1:M1"/>
    </sheetView>
  </sheetViews>
  <sheetFormatPr baseColWidth="10" defaultColWidth="8.7109375" defaultRowHeight="15" x14ac:dyDescent="0.25"/>
  <cols>
    <col min="1" max="1" width="25.7109375" bestFit="1" customWidth="1"/>
    <col min="2" max="2" width="16" customWidth="1"/>
    <col min="3" max="3" width="12" bestFit="1" customWidth="1"/>
    <col min="4" max="4" width="6.5703125" bestFit="1" customWidth="1"/>
    <col min="5" max="5" width="15.28515625" bestFit="1" customWidth="1"/>
    <col min="6" max="6" width="11" bestFit="1" customWidth="1"/>
    <col min="7" max="7" width="20" customWidth="1"/>
    <col min="8" max="8" width="16" customWidth="1"/>
    <col min="9" max="9" width="6.85546875" bestFit="1" customWidth="1"/>
    <col min="10" max="10" width="7" bestFit="1" customWidth="1"/>
    <col min="11" max="11" width="16" customWidth="1"/>
    <col min="12" max="12" width="16.42578125" bestFit="1" customWidth="1"/>
    <col min="13" max="13" width="24.28515625" customWidth="1"/>
  </cols>
  <sheetData>
    <row r="1" spans="1:13" ht="34.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8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30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</row>
    <row r="4" spans="1:13" ht="21.75" customHeight="1" x14ac:dyDescent="0.25">
      <c r="A4" s="2" t="s">
        <v>15</v>
      </c>
      <c r="B4" s="2" t="s">
        <v>16</v>
      </c>
      <c r="C4" s="2" t="s">
        <v>17</v>
      </c>
      <c r="D4" s="3">
        <v>45</v>
      </c>
      <c r="E4" s="4">
        <v>4428</v>
      </c>
      <c r="F4" s="4">
        <v>107.85</v>
      </c>
      <c r="G4" s="5">
        <f t="shared" ref="G4:G11" si="0">D4*F4</f>
        <v>4853.25</v>
      </c>
      <c r="H4" s="5">
        <f t="shared" ref="H4:H11" si="1">G4-E4</f>
        <v>425.25</v>
      </c>
      <c r="I4" s="6">
        <f t="shared" ref="I4:I11" si="2">IFERROR((G4-E4)/E4,0)</f>
        <v>9.6036585365853661E-2</v>
      </c>
      <c r="J4" s="7">
        <v>2E-3</v>
      </c>
      <c r="K4" s="2" t="s">
        <v>18</v>
      </c>
      <c r="L4" s="2" t="s">
        <v>19</v>
      </c>
      <c r="M4" s="2" t="s">
        <v>20</v>
      </c>
    </row>
    <row r="5" spans="1:13" ht="21.75" customHeight="1" x14ac:dyDescent="0.25">
      <c r="A5" s="8" t="s">
        <v>21</v>
      </c>
      <c r="B5" s="8" t="s">
        <v>22</v>
      </c>
      <c r="C5" s="8" t="s">
        <v>23</v>
      </c>
      <c r="D5" s="9">
        <v>20</v>
      </c>
      <c r="E5" s="10">
        <v>852</v>
      </c>
      <c r="F5" s="10">
        <v>45.1</v>
      </c>
      <c r="G5" s="11">
        <f t="shared" si="0"/>
        <v>902</v>
      </c>
      <c r="H5" s="11">
        <f t="shared" si="1"/>
        <v>50</v>
      </c>
      <c r="I5" s="12">
        <f t="shared" si="2"/>
        <v>5.8685446009389672E-2</v>
      </c>
      <c r="J5" s="13">
        <v>1.8E-3</v>
      </c>
      <c r="K5" s="8" t="s">
        <v>18</v>
      </c>
      <c r="L5" s="8" t="s">
        <v>19</v>
      </c>
      <c r="M5" s="8" t="s">
        <v>24</v>
      </c>
    </row>
    <row r="6" spans="1:13" ht="21.75" customHeight="1" x14ac:dyDescent="0.25">
      <c r="A6" s="2" t="s">
        <v>25</v>
      </c>
      <c r="B6" s="2" t="s">
        <v>26</v>
      </c>
      <c r="C6" s="2" t="s">
        <v>17</v>
      </c>
      <c r="D6" s="3">
        <v>30</v>
      </c>
      <c r="E6" s="4">
        <v>1656</v>
      </c>
      <c r="F6" s="4">
        <v>53.75</v>
      </c>
      <c r="G6" s="5">
        <f t="shared" si="0"/>
        <v>1612.5</v>
      </c>
      <c r="H6" s="5">
        <f t="shared" si="1"/>
        <v>-43.5</v>
      </c>
      <c r="I6" s="6">
        <f t="shared" si="2"/>
        <v>-2.6268115942028984E-2</v>
      </c>
      <c r="J6" s="7">
        <v>3.0000000000000001E-3</v>
      </c>
      <c r="K6" s="2" t="s">
        <v>27</v>
      </c>
      <c r="L6" s="2" t="s">
        <v>28</v>
      </c>
      <c r="M6" s="2" t="s">
        <v>29</v>
      </c>
    </row>
    <row r="7" spans="1:13" ht="21.75" customHeight="1" x14ac:dyDescent="0.25">
      <c r="A7" s="8" t="s">
        <v>30</v>
      </c>
      <c r="B7" s="8" t="s">
        <v>31</v>
      </c>
      <c r="C7" s="8" t="s">
        <v>32</v>
      </c>
      <c r="D7" s="9">
        <v>15</v>
      </c>
      <c r="E7" s="10">
        <v>1552.5</v>
      </c>
      <c r="F7" s="10">
        <v>101.8</v>
      </c>
      <c r="G7" s="11">
        <f t="shared" si="0"/>
        <v>1527</v>
      </c>
      <c r="H7" s="11">
        <f t="shared" si="1"/>
        <v>-25.5</v>
      </c>
      <c r="I7" s="12">
        <f t="shared" si="2"/>
        <v>-1.6425120772946861E-2</v>
      </c>
      <c r="J7" s="13">
        <v>1E-3</v>
      </c>
      <c r="K7" s="8" t="s">
        <v>27</v>
      </c>
      <c r="L7" s="8" t="s">
        <v>28</v>
      </c>
      <c r="M7" s="8" t="s">
        <v>33</v>
      </c>
    </row>
    <row r="8" spans="1:13" ht="21.75" customHeight="1" x14ac:dyDescent="0.25">
      <c r="A8" s="2" t="s">
        <v>34</v>
      </c>
      <c r="B8" s="2" t="s">
        <v>35</v>
      </c>
      <c r="C8" s="2" t="s">
        <v>36</v>
      </c>
      <c r="D8" s="3">
        <v>10</v>
      </c>
      <c r="E8" s="4">
        <v>489</v>
      </c>
      <c r="F8" s="4">
        <v>52.4</v>
      </c>
      <c r="G8" s="5">
        <f t="shared" si="0"/>
        <v>524</v>
      </c>
      <c r="H8" s="5">
        <f t="shared" si="1"/>
        <v>35</v>
      </c>
      <c r="I8" s="6">
        <f t="shared" si="2"/>
        <v>7.1574642126789365E-2</v>
      </c>
      <c r="J8" s="7">
        <v>4.4999999999999997E-3</v>
      </c>
      <c r="K8" s="2" t="s">
        <v>18</v>
      </c>
      <c r="L8" s="2" t="s">
        <v>19</v>
      </c>
      <c r="M8" s="2" t="s">
        <v>37</v>
      </c>
    </row>
    <row r="9" spans="1:13" ht="21.75" customHeight="1" x14ac:dyDescent="0.25">
      <c r="A9" s="8" t="s">
        <v>38</v>
      </c>
      <c r="B9" s="8" t="s">
        <v>39</v>
      </c>
      <c r="C9" s="8" t="s">
        <v>40</v>
      </c>
      <c r="D9" s="9">
        <v>12</v>
      </c>
      <c r="E9" s="10">
        <v>927.6</v>
      </c>
      <c r="F9" s="10">
        <v>79.5</v>
      </c>
      <c r="G9" s="11">
        <f t="shared" si="0"/>
        <v>954</v>
      </c>
      <c r="H9" s="11">
        <f t="shared" si="1"/>
        <v>26.399999999999977</v>
      </c>
      <c r="I9" s="12">
        <f t="shared" si="2"/>
        <v>2.846054333764551E-2</v>
      </c>
      <c r="J9" s="13">
        <v>2.5000000000000001E-3</v>
      </c>
      <c r="K9" s="8" t="s">
        <v>27</v>
      </c>
      <c r="L9" s="8" t="s">
        <v>28</v>
      </c>
      <c r="M9" s="8" t="s">
        <v>41</v>
      </c>
    </row>
    <row r="10" spans="1:13" ht="21.75" customHeight="1" x14ac:dyDescent="0.25">
      <c r="A10" s="2" t="s">
        <v>42</v>
      </c>
      <c r="B10" s="2" t="s">
        <v>43</v>
      </c>
      <c r="C10" s="2" t="s">
        <v>32</v>
      </c>
      <c r="D10" s="3">
        <v>25</v>
      </c>
      <c r="E10" s="4">
        <v>2477.5</v>
      </c>
      <c r="F10" s="4">
        <v>99.8</v>
      </c>
      <c r="G10" s="5">
        <f t="shared" si="0"/>
        <v>2495</v>
      </c>
      <c r="H10" s="5">
        <f t="shared" si="1"/>
        <v>17.5</v>
      </c>
      <c r="I10" s="6">
        <f t="shared" si="2"/>
        <v>7.0635721493440967E-3</v>
      </c>
      <c r="J10" s="7">
        <v>6.9999999999999999E-4</v>
      </c>
      <c r="K10" s="2" t="s">
        <v>27</v>
      </c>
      <c r="L10" s="2" t="s">
        <v>19</v>
      </c>
      <c r="M10" s="2" t="s">
        <v>44</v>
      </c>
    </row>
    <row r="11" spans="1:13" ht="21.75" customHeight="1" x14ac:dyDescent="0.25">
      <c r="A11" s="8" t="s">
        <v>45</v>
      </c>
      <c r="B11" s="8" t="s">
        <v>46</v>
      </c>
      <c r="C11" s="8" t="s">
        <v>17</v>
      </c>
      <c r="D11" s="9">
        <v>18</v>
      </c>
      <c r="E11" s="10">
        <v>1540.8</v>
      </c>
      <c r="F11" s="10">
        <v>91.2</v>
      </c>
      <c r="G11" s="11">
        <f t="shared" si="0"/>
        <v>1641.6000000000001</v>
      </c>
      <c r="H11" s="11">
        <f t="shared" si="1"/>
        <v>100.80000000000018</v>
      </c>
      <c r="I11" s="12">
        <f t="shared" si="2"/>
        <v>6.542056074766367E-2</v>
      </c>
      <c r="J11" s="13">
        <v>1.5E-3</v>
      </c>
      <c r="K11" s="8" t="s">
        <v>18</v>
      </c>
      <c r="L11" s="8" t="s">
        <v>28</v>
      </c>
      <c r="M11" s="8" t="s">
        <v>47</v>
      </c>
    </row>
    <row r="12" spans="1:13" ht="21.75" customHeight="1" x14ac:dyDescent="0.25">
      <c r="A12" s="83" t="s">
        <v>48</v>
      </c>
      <c r="B12" s="83"/>
      <c r="C12" s="83"/>
      <c r="D12" s="14"/>
      <c r="E12" s="15">
        <f>SUM(E4:E11)</f>
        <v>13923.4</v>
      </c>
      <c r="F12" s="14"/>
      <c r="G12" s="15">
        <f>SUM(G4:G11)</f>
        <v>14509.35</v>
      </c>
      <c r="H12" s="15">
        <f>SUM(H4:H11)</f>
        <v>585.95000000000016</v>
      </c>
      <c r="I12" s="16">
        <f>IFERROR(SUM(H4:H11)/SUM(E4:E11),0)</f>
        <v>4.2083830098970092E-2</v>
      </c>
      <c r="J12" s="14"/>
      <c r="K12" s="14"/>
      <c r="L12" s="14"/>
      <c r="M12" s="14"/>
    </row>
  </sheetData>
  <mergeCells count="3">
    <mergeCell ref="A1:M1"/>
    <mergeCell ref="A2:M2"/>
    <mergeCell ref="A12:C1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showGridLines="0" zoomScaleNormal="100" workbookViewId="0">
      <selection sqref="A1:J1"/>
    </sheetView>
  </sheetViews>
  <sheetFormatPr baseColWidth="10" defaultColWidth="8.7109375" defaultRowHeight="15" x14ac:dyDescent="0.25"/>
  <cols>
    <col min="1" max="1" width="13" customWidth="1"/>
    <col min="2" max="2" width="28" customWidth="1"/>
    <col min="3" max="3" width="14" customWidth="1"/>
    <col min="4" max="4" width="10" customWidth="1"/>
    <col min="5" max="5" width="14" customWidth="1"/>
    <col min="6" max="6" width="18" customWidth="1"/>
    <col min="7" max="7" width="14" customWidth="1"/>
    <col min="8" max="9" width="18" customWidth="1"/>
    <col min="10" max="10" width="24" customWidth="1"/>
  </cols>
  <sheetData>
    <row r="1" spans="1:10" ht="34.5" customHeight="1" x14ac:dyDescent="0.25">
      <c r="A1" s="82" t="s">
        <v>71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7.75" customHeight="1" x14ac:dyDescent="0.25">
      <c r="A2" s="1" t="s">
        <v>72</v>
      </c>
      <c r="B2" s="1" t="s">
        <v>73</v>
      </c>
      <c r="C2" s="1" t="s">
        <v>74</v>
      </c>
      <c r="D2" s="1" t="s">
        <v>5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79</v>
      </c>
      <c r="J2" s="1" t="s">
        <v>80</v>
      </c>
    </row>
    <row r="3" spans="1:10" ht="19.5" customHeight="1" x14ac:dyDescent="0.25">
      <c r="A3" s="22" t="s">
        <v>81</v>
      </c>
      <c r="B3" s="23" t="s">
        <v>15</v>
      </c>
      <c r="C3" s="24" t="s">
        <v>82</v>
      </c>
      <c r="D3" s="25">
        <v>10</v>
      </c>
      <c r="E3" s="26">
        <v>95.2</v>
      </c>
      <c r="F3" s="26">
        <f>D3*E3</f>
        <v>952</v>
      </c>
      <c r="G3" s="26">
        <v>1.5</v>
      </c>
      <c r="H3" s="26">
        <f>-(F3+G3)</f>
        <v>-953.5</v>
      </c>
      <c r="I3" s="23" t="s">
        <v>19</v>
      </c>
      <c r="J3" s="23" t="s">
        <v>83</v>
      </c>
    </row>
    <row r="4" spans="1:10" ht="19.5" customHeight="1" x14ac:dyDescent="0.25">
      <c r="A4" s="22" t="s">
        <v>84</v>
      </c>
      <c r="B4" s="23" t="s">
        <v>21</v>
      </c>
      <c r="C4" s="24" t="s">
        <v>82</v>
      </c>
      <c r="D4" s="25">
        <v>5</v>
      </c>
      <c r="E4" s="26">
        <v>41.8</v>
      </c>
      <c r="F4" s="26">
        <f>D4*E4</f>
        <v>209</v>
      </c>
      <c r="G4" s="26">
        <v>1.5</v>
      </c>
      <c r="H4" s="26">
        <f>-(F4+G4)</f>
        <v>-210.5</v>
      </c>
      <c r="I4" s="23" t="s">
        <v>19</v>
      </c>
      <c r="J4" s="23" t="s">
        <v>85</v>
      </c>
    </row>
    <row r="5" spans="1:10" ht="19.5" customHeight="1" x14ac:dyDescent="0.25">
      <c r="A5" s="22" t="s">
        <v>86</v>
      </c>
      <c r="B5" s="23" t="s">
        <v>25</v>
      </c>
      <c r="C5" s="24" t="s">
        <v>82</v>
      </c>
      <c r="D5" s="25">
        <v>10</v>
      </c>
      <c r="E5" s="26">
        <v>54.6</v>
      </c>
      <c r="F5" s="26">
        <f>D5*E5</f>
        <v>546</v>
      </c>
      <c r="G5" s="26">
        <v>1.5</v>
      </c>
      <c r="H5" s="26">
        <f>-(F5+G5)</f>
        <v>-547.5</v>
      </c>
      <c r="I5" s="23" t="s">
        <v>28</v>
      </c>
      <c r="J5" s="23" t="s">
        <v>87</v>
      </c>
    </row>
    <row r="6" spans="1:10" ht="19.5" customHeight="1" x14ac:dyDescent="0.25">
      <c r="A6" s="22" t="s">
        <v>88</v>
      </c>
      <c r="B6" s="23" t="s">
        <v>15</v>
      </c>
      <c r="C6" s="24" t="s">
        <v>82</v>
      </c>
      <c r="D6" s="25">
        <v>10</v>
      </c>
      <c r="E6" s="26">
        <v>96.7</v>
      </c>
      <c r="F6" s="26">
        <f>D6*E6</f>
        <v>967</v>
      </c>
      <c r="G6" s="26">
        <v>1.5</v>
      </c>
      <c r="H6" s="26">
        <f>-(F6+G6)</f>
        <v>-968.5</v>
      </c>
      <c r="I6" s="23" t="s">
        <v>19</v>
      </c>
      <c r="J6" s="23" t="s">
        <v>89</v>
      </c>
    </row>
    <row r="7" spans="1:10" ht="19.5" customHeight="1" x14ac:dyDescent="0.25">
      <c r="A7" s="27" t="s">
        <v>90</v>
      </c>
      <c r="B7" s="28" t="s">
        <v>38</v>
      </c>
      <c r="C7" s="29" t="s">
        <v>91</v>
      </c>
      <c r="D7" s="30">
        <v>0</v>
      </c>
      <c r="E7" s="31">
        <v>2.4</v>
      </c>
      <c r="F7" s="31">
        <v>2.4</v>
      </c>
      <c r="G7" s="31">
        <v>0</v>
      </c>
      <c r="H7" s="31">
        <f>E7</f>
        <v>2.4</v>
      </c>
      <c r="I7" s="28" t="s">
        <v>28</v>
      </c>
      <c r="J7" s="28" t="s">
        <v>92</v>
      </c>
    </row>
    <row r="8" spans="1:10" ht="19.5" customHeight="1" x14ac:dyDescent="0.25">
      <c r="A8" s="22" t="s">
        <v>93</v>
      </c>
      <c r="B8" s="23" t="s">
        <v>30</v>
      </c>
      <c r="C8" s="24" t="s">
        <v>82</v>
      </c>
      <c r="D8" s="25">
        <v>5</v>
      </c>
      <c r="E8" s="26">
        <v>103.2</v>
      </c>
      <c r="F8" s="26">
        <f t="shared" ref="F8:F13" si="0">D8*E8</f>
        <v>516</v>
      </c>
      <c r="G8" s="26">
        <v>1.5</v>
      </c>
      <c r="H8" s="26">
        <f>-(F8+G8)</f>
        <v>-517.5</v>
      </c>
      <c r="I8" s="23" t="s">
        <v>28</v>
      </c>
      <c r="J8" s="23" t="s">
        <v>94</v>
      </c>
    </row>
    <row r="9" spans="1:10" ht="19.5" customHeight="1" x14ac:dyDescent="0.25">
      <c r="A9" s="22" t="s">
        <v>95</v>
      </c>
      <c r="B9" s="23" t="s">
        <v>15</v>
      </c>
      <c r="C9" s="24" t="s">
        <v>82</v>
      </c>
      <c r="D9" s="25">
        <v>10</v>
      </c>
      <c r="E9" s="26">
        <v>99.1</v>
      </c>
      <c r="F9" s="26">
        <f t="shared" si="0"/>
        <v>991</v>
      </c>
      <c r="G9" s="26">
        <v>1.5</v>
      </c>
      <c r="H9" s="26">
        <f>-(F9+G9)</f>
        <v>-992.5</v>
      </c>
      <c r="I9" s="23" t="s">
        <v>19</v>
      </c>
      <c r="J9" s="23" t="s">
        <v>96</v>
      </c>
    </row>
    <row r="10" spans="1:10" ht="19.5" customHeight="1" x14ac:dyDescent="0.25">
      <c r="A10" s="22" t="s">
        <v>97</v>
      </c>
      <c r="B10" s="23" t="s">
        <v>34</v>
      </c>
      <c r="C10" s="24" t="s">
        <v>82</v>
      </c>
      <c r="D10" s="25">
        <v>5</v>
      </c>
      <c r="E10" s="26">
        <v>49.5</v>
      </c>
      <c r="F10" s="26">
        <f t="shared" si="0"/>
        <v>247.5</v>
      </c>
      <c r="G10" s="26">
        <v>2</v>
      </c>
      <c r="H10" s="26">
        <f>-(F10+G10)</f>
        <v>-249.5</v>
      </c>
      <c r="I10" s="23" t="s">
        <v>19</v>
      </c>
      <c r="J10" s="23" t="s">
        <v>98</v>
      </c>
    </row>
    <row r="11" spans="1:10" ht="19.5" customHeight="1" x14ac:dyDescent="0.25">
      <c r="A11" s="32" t="s">
        <v>99</v>
      </c>
      <c r="B11" s="33" t="s">
        <v>25</v>
      </c>
      <c r="C11" s="34" t="s">
        <v>100</v>
      </c>
      <c r="D11" s="35">
        <v>5</v>
      </c>
      <c r="E11" s="36">
        <v>54</v>
      </c>
      <c r="F11" s="36">
        <f t="shared" si="0"/>
        <v>270</v>
      </c>
      <c r="G11" s="36">
        <v>1.5</v>
      </c>
      <c r="H11" s="36">
        <f>F11-G11</f>
        <v>268.5</v>
      </c>
      <c r="I11" s="33" t="s">
        <v>28</v>
      </c>
      <c r="J11" s="33" t="s">
        <v>101</v>
      </c>
    </row>
    <row r="12" spans="1:10" ht="19.5" customHeight="1" x14ac:dyDescent="0.25">
      <c r="A12" s="22" t="s">
        <v>102</v>
      </c>
      <c r="B12" s="23" t="s">
        <v>42</v>
      </c>
      <c r="C12" s="24" t="s">
        <v>82</v>
      </c>
      <c r="D12" s="25">
        <v>10</v>
      </c>
      <c r="E12" s="26">
        <v>99</v>
      </c>
      <c r="F12" s="26">
        <f t="shared" si="0"/>
        <v>990</v>
      </c>
      <c r="G12" s="26">
        <v>1.5</v>
      </c>
      <c r="H12" s="26">
        <f>-(F12+G12)</f>
        <v>-991.5</v>
      </c>
      <c r="I12" s="23" t="s">
        <v>19</v>
      </c>
      <c r="J12" s="23" t="s">
        <v>44</v>
      </c>
    </row>
    <row r="13" spans="1:10" ht="19.5" customHeight="1" x14ac:dyDescent="0.25">
      <c r="A13" s="22" t="s">
        <v>103</v>
      </c>
      <c r="B13" s="23" t="s">
        <v>15</v>
      </c>
      <c r="C13" s="24" t="s">
        <v>82</v>
      </c>
      <c r="D13" s="25">
        <v>10</v>
      </c>
      <c r="E13" s="26">
        <v>101.8</v>
      </c>
      <c r="F13" s="26">
        <f t="shared" si="0"/>
        <v>1018</v>
      </c>
      <c r="G13" s="26">
        <v>1.5</v>
      </c>
      <c r="H13" s="26">
        <f>-(F13+G13)</f>
        <v>-1019.5</v>
      </c>
      <c r="I13" s="23" t="s">
        <v>19</v>
      </c>
      <c r="J13" s="23" t="s">
        <v>104</v>
      </c>
    </row>
    <row r="14" spans="1:10" ht="19.5" customHeight="1" x14ac:dyDescent="0.25">
      <c r="A14" s="27" t="s">
        <v>105</v>
      </c>
      <c r="B14" s="28" t="s">
        <v>30</v>
      </c>
      <c r="C14" s="29" t="s">
        <v>91</v>
      </c>
      <c r="D14" s="30">
        <v>0</v>
      </c>
      <c r="E14" s="31">
        <v>3.1</v>
      </c>
      <c r="F14" s="31">
        <v>3.1</v>
      </c>
      <c r="G14" s="31">
        <v>0</v>
      </c>
      <c r="H14" s="31">
        <f>E14</f>
        <v>3.1</v>
      </c>
      <c r="I14" s="28" t="s">
        <v>28</v>
      </c>
      <c r="J14" s="28" t="s">
        <v>106</v>
      </c>
    </row>
    <row r="15" spans="1:10" ht="19.5" customHeight="1" x14ac:dyDescent="0.25">
      <c r="A15" s="22" t="s">
        <v>107</v>
      </c>
      <c r="B15" s="23" t="s">
        <v>45</v>
      </c>
      <c r="C15" s="24" t="s">
        <v>82</v>
      </c>
      <c r="D15" s="25">
        <v>8</v>
      </c>
      <c r="E15" s="26">
        <v>84.9</v>
      </c>
      <c r="F15" s="26">
        <f>D15*E15</f>
        <v>679.2</v>
      </c>
      <c r="G15" s="26">
        <v>1.5</v>
      </c>
      <c r="H15" s="26">
        <f>-(F15+G15)</f>
        <v>-680.7</v>
      </c>
      <c r="I15" s="23" t="s">
        <v>28</v>
      </c>
      <c r="J15" s="23" t="s">
        <v>108</v>
      </c>
    </row>
    <row r="16" spans="1:10" ht="19.5" customHeight="1" x14ac:dyDescent="0.25">
      <c r="A16" s="22" t="s">
        <v>109</v>
      </c>
      <c r="B16" s="23" t="s">
        <v>21</v>
      </c>
      <c r="C16" s="24" t="s">
        <v>82</v>
      </c>
      <c r="D16" s="25">
        <v>5</v>
      </c>
      <c r="E16" s="26">
        <v>43.2</v>
      </c>
      <c r="F16" s="26">
        <f>D16*E16</f>
        <v>216</v>
      </c>
      <c r="G16" s="26">
        <v>1.5</v>
      </c>
      <c r="H16" s="26">
        <f>-(F16+G16)</f>
        <v>-217.5</v>
      </c>
      <c r="I16" s="23" t="s">
        <v>19</v>
      </c>
      <c r="J16" s="23" t="s">
        <v>110</v>
      </c>
    </row>
    <row r="17" spans="1:10" ht="19.5" customHeight="1" x14ac:dyDescent="0.25">
      <c r="A17" s="22" t="s">
        <v>111</v>
      </c>
      <c r="B17" s="23" t="s">
        <v>15</v>
      </c>
      <c r="C17" s="24" t="s">
        <v>82</v>
      </c>
      <c r="D17" s="25">
        <v>10</v>
      </c>
      <c r="E17" s="26">
        <v>104.5</v>
      </c>
      <c r="F17" s="26">
        <f>D17*E17</f>
        <v>1045</v>
      </c>
      <c r="G17" s="26">
        <v>1.5</v>
      </c>
      <c r="H17" s="26">
        <f>-(F17+G17)</f>
        <v>-1046.5</v>
      </c>
      <c r="I17" s="23" t="s">
        <v>19</v>
      </c>
      <c r="J17" s="23" t="s">
        <v>110</v>
      </c>
    </row>
    <row r="18" spans="1:10" ht="15" customHeight="1" x14ac:dyDescent="0.25">
      <c r="A18" s="83" t="s">
        <v>112</v>
      </c>
      <c r="B18" s="83"/>
      <c r="C18" s="83"/>
      <c r="D18" s="37"/>
      <c r="E18" s="37"/>
      <c r="F18" s="15">
        <f>SUMIF(C3:C17,"Kauf",F3:F17)</f>
        <v>8376.7000000000007</v>
      </c>
      <c r="G18" s="15">
        <f>SUM(G3:G17)</f>
        <v>20</v>
      </c>
      <c r="H18" s="15">
        <f>SUM(H3:H17)</f>
        <v>-8121.2</v>
      </c>
      <c r="I18" s="37"/>
      <c r="J18" s="37"/>
    </row>
    <row r="20" spans="1:10" x14ac:dyDescent="0.25">
      <c r="A20" s="38" t="s">
        <v>113</v>
      </c>
      <c r="B20" s="39" t="s">
        <v>82</v>
      </c>
      <c r="D20" s="40" t="s">
        <v>100</v>
      </c>
      <c r="F20" s="41" t="s">
        <v>91</v>
      </c>
    </row>
  </sheetData>
  <mergeCells count="2">
    <mergeCell ref="A1:J1"/>
    <mergeCell ref="A18:C18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showGridLines="0" zoomScaleNormal="100" workbookViewId="0">
      <selection sqref="A1:I1"/>
    </sheetView>
  </sheetViews>
  <sheetFormatPr baseColWidth="10" defaultColWidth="8.7109375" defaultRowHeight="15" x14ac:dyDescent="0.25"/>
  <cols>
    <col min="1" max="1" width="22" customWidth="1"/>
    <col min="2" max="2" width="26" customWidth="1"/>
    <col min="3" max="3" width="16" customWidth="1"/>
    <col min="4" max="4" width="14" customWidth="1"/>
    <col min="5" max="7" width="16" customWidth="1"/>
    <col min="8" max="8" width="14" customWidth="1"/>
    <col min="9" max="9" width="18" customWidth="1"/>
  </cols>
  <sheetData>
    <row r="1" spans="1:9" ht="34.5" customHeight="1" x14ac:dyDescent="0.25">
      <c r="A1" s="82" t="s">
        <v>114</v>
      </c>
      <c r="B1" s="82"/>
      <c r="C1" s="82"/>
      <c r="D1" s="82"/>
      <c r="E1" s="82"/>
      <c r="F1" s="82"/>
      <c r="G1" s="82"/>
      <c r="H1" s="82"/>
      <c r="I1" s="82"/>
    </row>
    <row r="3" spans="1:9" x14ac:dyDescent="0.25">
      <c r="A3" s="84" t="s">
        <v>115</v>
      </c>
      <c r="B3" s="84"/>
      <c r="C3" s="84"/>
      <c r="D3" s="42">
        <v>1500</v>
      </c>
      <c r="E3" s="85" t="s">
        <v>116</v>
      </c>
      <c r="F3" s="85"/>
      <c r="G3" s="85"/>
      <c r="H3" s="85"/>
      <c r="I3" s="85"/>
    </row>
    <row r="4" spans="1:9" x14ac:dyDescent="0.25">
      <c r="A4" s="43" t="s">
        <v>117</v>
      </c>
      <c r="D4" s="44">
        <f>SUM('📋 Depot'!G4:G11)</f>
        <v>14509.35</v>
      </c>
    </row>
    <row r="6" spans="1:9" ht="27.75" customHeight="1" x14ac:dyDescent="0.25">
      <c r="A6" s="1" t="s">
        <v>4</v>
      </c>
      <c r="B6" s="1" t="s">
        <v>118</v>
      </c>
      <c r="C6" s="1" t="s">
        <v>58</v>
      </c>
      <c r="D6" s="1" t="s">
        <v>59</v>
      </c>
      <c r="E6" s="1" t="s">
        <v>119</v>
      </c>
      <c r="F6" s="1" t="s">
        <v>120</v>
      </c>
      <c r="G6" s="1" t="s">
        <v>121</v>
      </c>
      <c r="H6" s="1" t="s">
        <v>122</v>
      </c>
      <c r="I6" s="1" t="s">
        <v>123</v>
      </c>
    </row>
    <row r="7" spans="1:9" ht="21.75" customHeight="1" x14ac:dyDescent="0.25">
      <c r="A7" s="45" t="s">
        <v>17</v>
      </c>
      <c r="B7" s="45" t="s">
        <v>15</v>
      </c>
      <c r="C7" s="11">
        <f>IFERROR(SUMIF('📋 Depot'!B4:B11,B7,'📋 Depot'!G4:G11),0)</f>
        <v>0</v>
      </c>
      <c r="D7" s="21">
        <f>IFERROR(C7/D4,0)</f>
        <v>0</v>
      </c>
      <c r="E7" s="19">
        <v>0.55000000000000004</v>
      </c>
      <c r="F7" s="11">
        <f>E7*(D4+$D$3)</f>
        <v>8805.1425000000017</v>
      </c>
      <c r="G7" s="11">
        <f t="shared" ref="G7:G13" si="0">F7-C7</f>
        <v>8805.1425000000017</v>
      </c>
      <c r="H7" s="46" t="str">
        <f t="shared" ref="H7:H13" si="1">IF(G7&gt;100,"→ Kaufen",IF(G7&lt;-100,"← Verkaufen","✓ OK"))</f>
        <v>→ Kaufen</v>
      </c>
      <c r="I7" s="11">
        <f t="shared" ref="I7:I13" si="2">IF(G7&gt;0,ROUND(E7*$D$3,2),0)</f>
        <v>825</v>
      </c>
    </row>
    <row r="8" spans="1:9" ht="21.75" customHeight="1" x14ac:dyDescent="0.25">
      <c r="A8" s="47" t="s">
        <v>23</v>
      </c>
      <c r="B8" s="47" t="s">
        <v>21</v>
      </c>
      <c r="C8" s="5">
        <f>IFERROR(SUMIF('📋 Depot'!B4:B11,B8,'📋 Depot'!G4:G11),0)</f>
        <v>0</v>
      </c>
      <c r="D8" s="18">
        <f>IFERROR(C8/D4,0)</f>
        <v>0</v>
      </c>
      <c r="E8" s="19">
        <v>0.15</v>
      </c>
      <c r="F8" s="5">
        <f>E8*(D4+$D$3)</f>
        <v>2401.4025000000001</v>
      </c>
      <c r="G8" s="5">
        <f t="shared" si="0"/>
        <v>2401.4025000000001</v>
      </c>
      <c r="H8" s="48" t="str">
        <f t="shared" si="1"/>
        <v>→ Kaufen</v>
      </c>
      <c r="I8" s="5">
        <f t="shared" si="2"/>
        <v>225</v>
      </c>
    </row>
    <row r="9" spans="1:9" ht="21.75" customHeight="1" x14ac:dyDescent="0.25">
      <c r="A9" s="45" t="s">
        <v>17</v>
      </c>
      <c r="B9" s="45" t="s">
        <v>25</v>
      </c>
      <c r="C9" s="11">
        <f>IFERROR(SUMIF('📋 Depot'!B4:B11,B9,'📋 Depot'!G4:G11),0)</f>
        <v>0</v>
      </c>
      <c r="D9" s="21">
        <f>IFERROR(C9/D4,0)</f>
        <v>0</v>
      </c>
      <c r="E9" s="19">
        <v>0.05</v>
      </c>
      <c r="F9" s="11">
        <f>E9*(D4+$D$3)</f>
        <v>800.46750000000009</v>
      </c>
      <c r="G9" s="11">
        <f t="shared" si="0"/>
        <v>800.46750000000009</v>
      </c>
      <c r="H9" s="46" t="str">
        <f t="shared" si="1"/>
        <v>→ Kaufen</v>
      </c>
      <c r="I9" s="11">
        <f t="shared" si="2"/>
        <v>75</v>
      </c>
    </row>
    <row r="10" spans="1:9" ht="21.75" customHeight="1" x14ac:dyDescent="0.25">
      <c r="A10" s="47" t="s">
        <v>32</v>
      </c>
      <c r="B10" s="47" t="s">
        <v>30</v>
      </c>
      <c r="C10" s="5">
        <f>IFERROR(SUMIF('📋 Depot'!B4:B11,B10,'📋 Depot'!G4:G11),0)</f>
        <v>0</v>
      </c>
      <c r="D10" s="18">
        <f>IFERROR(C10/D4,0)</f>
        <v>0</v>
      </c>
      <c r="E10" s="19">
        <v>0.1</v>
      </c>
      <c r="F10" s="5">
        <f>E10*(D4+$D$3)</f>
        <v>1600.9350000000002</v>
      </c>
      <c r="G10" s="5">
        <f t="shared" si="0"/>
        <v>1600.9350000000002</v>
      </c>
      <c r="H10" s="48" t="str">
        <f t="shared" si="1"/>
        <v>→ Kaufen</v>
      </c>
      <c r="I10" s="5">
        <f t="shared" si="2"/>
        <v>150</v>
      </c>
    </row>
    <row r="11" spans="1:9" ht="21.75" customHeight="1" x14ac:dyDescent="0.25">
      <c r="A11" s="45" t="s">
        <v>36</v>
      </c>
      <c r="B11" s="45" t="s">
        <v>34</v>
      </c>
      <c r="C11" s="11">
        <f>IFERROR(SUMIF('📋 Depot'!B4:B11,B11,'📋 Depot'!G4:G11),0)</f>
        <v>0</v>
      </c>
      <c r="D11" s="21">
        <f>IFERROR(C11/D4,0)</f>
        <v>0</v>
      </c>
      <c r="E11" s="19">
        <v>0.05</v>
      </c>
      <c r="F11" s="11">
        <f>E11*(D4+$D$3)</f>
        <v>800.46750000000009</v>
      </c>
      <c r="G11" s="11">
        <f t="shared" si="0"/>
        <v>800.46750000000009</v>
      </c>
      <c r="H11" s="46" t="str">
        <f t="shared" si="1"/>
        <v>→ Kaufen</v>
      </c>
      <c r="I11" s="11">
        <f t="shared" si="2"/>
        <v>75</v>
      </c>
    </row>
    <row r="12" spans="1:9" ht="21.75" customHeight="1" x14ac:dyDescent="0.25">
      <c r="A12" s="47" t="s">
        <v>40</v>
      </c>
      <c r="B12" s="47" t="s">
        <v>38</v>
      </c>
      <c r="C12" s="5">
        <f>IFERROR(SUMIF('📋 Depot'!B4:B11,B12,'📋 Depot'!G4:G11),0)</f>
        <v>0</v>
      </c>
      <c r="D12" s="18">
        <f>IFERROR(C12/D4,0)</f>
        <v>0</v>
      </c>
      <c r="E12" s="19">
        <v>0.05</v>
      </c>
      <c r="F12" s="5">
        <f>E12*(D4+$D$3)</f>
        <v>800.46750000000009</v>
      </c>
      <c r="G12" s="5">
        <f t="shared" si="0"/>
        <v>800.46750000000009</v>
      </c>
      <c r="H12" s="48" t="str">
        <f t="shared" si="1"/>
        <v>→ Kaufen</v>
      </c>
      <c r="I12" s="5">
        <f t="shared" si="2"/>
        <v>75</v>
      </c>
    </row>
    <row r="13" spans="1:9" ht="21.75" customHeight="1" x14ac:dyDescent="0.25">
      <c r="A13" s="45" t="s">
        <v>32</v>
      </c>
      <c r="B13" s="45" t="s">
        <v>42</v>
      </c>
      <c r="C13" s="11">
        <f>IFERROR(SUMIF('📋 Depot'!B4:B11,B13,'📋 Depot'!G4:G11),0)</f>
        <v>0</v>
      </c>
      <c r="D13" s="21">
        <f>IFERROR(C13/D4,0)</f>
        <v>0</v>
      </c>
      <c r="E13" s="19">
        <v>0.05</v>
      </c>
      <c r="F13" s="11">
        <f>E13*(D4+$D$3)</f>
        <v>800.46750000000009</v>
      </c>
      <c r="G13" s="11">
        <f t="shared" si="0"/>
        <v>800.46750000000009</v>
      </c>
      <c r="H13" s="46" t="str">
        <f t="shared" si="1"/>
        <v>→ Kaufen</v>
      </c>
      <c r="I13" s="11">
        <f t="shared" si="2"/>
        <v>75</v>
      </c>
    </row>
    <row r="14" spans="1:9" ht="15" customHeight="1" x14ac:dyDescent="0.25">
      <c r="A14" s="83" t="s">
        <v>124</v>
      </c>
      <c r="B14" s="83"/>
      <c r="C14" s="15">
        <f>SUM(C7:C13)</f>
        <v>0</v>
      </c>
      <c r="D14" s="49">
        <f>SUM(D7:D13)</f>
        <v>0</v>
      </c>
      <c r="E14" s="49">
        <f>SUM(E7:E13)</f>
        <v>1.0000000000000002</v>
      </c>
      <c r="F14" s="15">
        <f>SUM(F7:F13)</f>
        <v>16009.350000000004</v>
      </c>
      <c r="G14" s="15">
        <f>SUM(G7:G13)</f>
        <v>16009.350000000004</v>
      </c>
      <c r="H14" s="37"/>
      <c r="I14" s="15">
        <f>SUM(I7:I13)</f>
        <v>1500</v>
      </c>
    </row>
    <row r="16" spans="1:9" ht="54.75" customHeight="1" x14ac:dyDescent="0.25">
      <c r="A16" s="86" t="s">
        <v>125</v>
      </c>
      <c r="B16" s="86"/>
      <c r="C16" s="86"/>
      <c r="D16" s="86"/>
      <c r="E16" s="86"/>
      <c r="F16" s="86"/>
      <c r="G16" s="86"/>
      <c r="H16" s="86"/>
      <c r="I16" s="86"/>
    </row>
    <row r="17" spans="1:9" x14ac:dyDescent="0.25">
      <c r="A17" s="86"/>
      <c r="B17" s="86"/>
      <c r="C17" s="86"/>
      <c r="D17" s="86"/>
      <c r="E17" s="86"/>
      <c r="F17" s="86"/>
      <c r="G17" s="86"/>
      <c r="H17" s="86"/>
      <c r="I17" s="86"/>
    </row>
    <row r="18" spans="1:9" x14ac:dyDescent="0.25">
      <c r="A18" s="86"/>
      <c r="B18" s="86"/>
      <c r="C18" s="86"/>
      <c r="D18" s="86"/>
      <c r="E18" s="86"/>
      <c r="F18" s="86"/>
      <c r="G18" s="86"/>
      <c r="H18" s="86"/>
      <c r="I18" s="86"/>
    </row>
  </sheetData>
  <mergeCells count="5">
    <mergeCell ref="A1:I1"/>
    <mergeCell ref="A3:C3"/>
    <mergeCell ref="E3:I3"/>
    <mergeCell ref="A14:B14"/>
    <mergeCell ref="A16:I18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showGridLines="0" zoomScaleNormal="100" workbookViewId="0">
      <selection activeCell="H12" sqref="H12:I17"/>
    </sheetView>
  </sheetViews>
  <sheetFormatPr baseColWidth="10" defaultColWidth="8.7109375" defaultRowHeight="15" x14ac:dyDescent="0.25"/>
  <cols>
    <col min="1" max="1" width="8" customWidth="1"/>
    <col min="2" max="5" width="22" customWidth="1"/>
    <col min="6" max="8" width="8" customWidth="1"/>
  </cols>
  <sheetData>
    <row r="1" spans="1:8" ht="34.5" customHeight="1" x14ac:dyDescent="0.25">
      <c r="A1" s="82" t="s">
        <v>126</v>
      </c>
      <c r="B1" s="82"/>
      <c r="C1" s="82"/>
      <c r="D1" s="82"/>
      <c r="E1" s="82"/>
      <c r="F1" s="82"/>
      <c r="G1" s="82"/>
      <c r="H1" s="82"/>
    </row>
    <row r="3" spans="1:8" ht="15" customHeight="1" thickBot="1" x14ac:dyDescent="0.3">
      <c r="A3" s="91" t="s">
        <v>127</v>
      </c>
      <c r="B3" s="91"/>
      <c r="C3" s="91"/>
      <c r="D3" s="91"/>
      <c r="E3" s="83" t="s">
        <v>128</v>
      </c>
      <c r="F3" s="83"/>
      <c r="G3" s="83"/>
      <c r="H3" s="83"/>
    </row>
    <row r="4" spans="1:8" ht="24" customHeight="1" thickBot="1" x14ac:dyDescent="0.3">
      <c r="A4" s="50" t="s">
        <v>129</v>
      </c>
      <c r="B4" s="51">
        <f>SUM('📋 Depot'!G4:G11)</f>
        <v>14509.35</v>
      </c>
      <c r="C4" s="87"/>
      <c r="D4" s="88"/>
      <c r="E4" s="50" t="s">
        <v>130</v>
      </c>
      <c r="F4" s="89">
        <f>B4*(1+B6/12)^(B7*12)</f>
        <v>83072.09669512829</v>
      </c>
      <c r="G4" s="89"/>
      <c r="H4" s="89"/>
    </row>
    <row r="5" spans="1:8" ht="24" customHeight="1" thickBot="1" x14ac:dyDescent="0.3">
      <c r="A5" s="50" t="s">
        <v>131</v>
      </c>
      <c r="B5" s="42">
        <v>300</v>
      </c>
      <c r="C5" s="87"/>
      <c r="D5" s="88"/>
      <c r="E5" s="50" t="s">
        <v>132</v>
      </c>
      <c r="F5" s="89">
        <f>B5*((1+B6/12)^(B7*12)-1)/(B6/12)</f>
        <v>243021.50790693276</v>
      </c>
      <c r="G5" s="89"/>
      <c r="H5" s="89"/>
    </row>
    <row r="6" spans="1:8" ht="24" customHeight="1" thickBot="1" x14ac:dyDescent="0.3">
      <c r="A6" s="50" t="s">
        <v>133</v>
      </c>
      <c r="B6" s="52">
        <v>7.0000000000000007E-2</v>
      </c>
      <c r="C6" s="87"/>
      <c r="D6" s="88"/>
      <c r="E6" s="50" t="s">
        <v>134</v>
      </c>
      <c r="F6" s="89">
        <f>F4+F5+B8*(1+B6)^B7</f>
        <v>328807.32092212251</v>
      </c>
      <c r="G6" s="89"/>
      <c r="H6" s="89"/>
    </row>
    <row r="7" spans="1:8" ht="24" customHeight="1" thickBot="1" x14ac:dyDescent="0.3">
      <c r="A7" s="50" t="s">
        <v>135</v>
      </c>
      <c r="B7" s="53">
        <v>25</v>
      </c>
      <c r="C7" s="87"/>
      <c r="D7" s="88"/>
      <c r="E7" s="50" t="s">
        <v>136</v>
      </c>
      <c r="F7" s="89">
        <f>B4+B5*B7*12+B8</f>
        <v>105009.35</v>
      </c>
      <c r="G7" s="89"/>
      <c r="H7" s="89"/>
    </row>
    <row r="8" spans="1:8" ht="24" customHeight="1" thickBot="1" x14ac:dyDescent="0.3">
      <c r="A8" s="50" t="s">
        <v>137</v>
      </c>
      <c r="B8" s="42">
        <v>500</v>
      </c>
      <c r="C8" s="87"/>
      <c r="D8" s="88"/>
      <c r="E8" s="50" t="s">
        <v>138</v>
      </c>
      <c r="F8" s="89">
        <f>F6-F7</f>
        <v>223797.97092212251</v>
      </c>
      <c r="G8" s="89"/>
      <c r="H8" s="89"/>
    </row>
    <row r="9" spans="1:8" ht="24" customHeight="1" thickBot="1" x14ac:dyDescent="0.3">
      <c r="A9" s="50" t="s">
        <v>139</v>
      </c>
      <c r="B9" s="52">
        <v>0.02</v>
      </c>
      <c r="C9" s="87"/>
      <c r="D9" s="88"/>
      <c r="E9" s="50" t="s">
        <v>140</v>
      </c>
      <c r="F9" s="90">
        <f>IFERROR(F6/F7,0)</f>
        <v>3.1312194668581652</v>
      </c>
      <c r="G9" s="90"/>
      <c r="H9" s="90"/>
    </row>
    <row r="11" spans="1:8" ht="15" customHeight="1" x14ac:dyDescent="0.25">
      <c r="A11" s="83" t="s">
        <v>141</v>
      </c>
      <c r="B11" s="83"/>
      <c r="C11" s="83"/>
      <c r="D11" s="83"/>
      <c r="E11" s="83"/>
    </row>
    <row r="12" spans="1:8" ht="24" x14ac:dyDescent="0.25">
      <c r="A12" s="1" t="s">
        <v>142</v>
      </c>
      <c r="B12" s="1" t="s">
        <v>143</v>
      </c>
      <c r="C12" s="1" t="s">
        <v>144</v>
      </c>
      <c r="D12" s="1" t="s">
        <v>145</v>
      </c>
      <c r="E12" s="1" t="s">
        <v>146</v>
      </c>
    </row>
    <row r="13" spans="1:8" ht="19.5" customHeight="1" x14ac:dyDescent="0.25">
      <c r="A13" s="54">
        <v>1</v>
      </c>
      <c r="B13" s="11">
        <f>$B$4+$B$5*1*12+$B$8</f>
        <v>18609.349999999999</v>
      </c>
      <c r="C13" s="11">
        <f>$B$4*(1+$B$6/12)^(1*12)+$B$5*((1+$B$6/12)^(1*12)-1)/($B$6/12)+$B$8*(1+$B$6)^1</f>
        <v>19811.007671563559</v>
      </c>
      <c r="D13" s="11">
        <f t="shared" ref="D13:D37" si="0">C13-B13</f>
        <v>1201.6576715635601</v>
      </c>
      <c r="E13" s="21">
        <f>IFERROR((C13-$B$4)/$B$4,0)</f>
        <v>0.36539594617012877</v>
      </c>
    </row>
    <row r="14" spans="1:8" ht="19.5" customHeight="1" x14ac:dyDescent="0.25">
      <c r="A14" s="55">
        <v>2</v>
      </c>
      <c r="B14" s="5">
        <f>$B$4+$B$5*2*12+$B$8</f>
        <v>22209.35</v>
      </c>
      <c r="C14" s="5">
        <f>$B$4*(1+$B$6/12)^(2*12)+$B$5*((1+$B$6/12)^(2*12)-1)/($B$6/12)+$B$8*(1+$B$6)^2</f>
        <v>24959.697411618446</v>
      </c>
      <c r="D14" s="5">
        <f t="shared" si="0"/>
        <v>2750.3474116184479</v>
      </c>
      <c r="E14" s="18">
        <f t="shared" ref="E14:E37" si="1">IFERROR((C14-C13)/C13,0)</f>
        <v>0.25989035113268089</v>
      </c>
    </row>
    <row r="15" spans="1:8" ht="19.5" customHeight="1" x14ac:dyDescent="0.25">
      <c r="A15" s="54">
        <v>3</v>
      </c>
      <c r="B15" s="11">
        <f>$B$4+$B$5*3*12+$B$8</f>
        <v>25809.35</v>
      </c>
      <c r="C15" s="11">
        <f>$B$4*(1+$B$6/12)^(3*12)+$B$5*((1+$B$6/12)^(3*12)-1)/($B$6/12)+$B$8*(1+$B$6)^3</f>
        <v>30480.500585757505</v>
      </c>
      <c r="D15" s="11">
        <f t="shared" si="0"/>
        <v>4671.1505857575066</v>
      </c>
      <c r="E15" s="21">
        <f t="shared" si="1"/>
        <v>0.22118870606056265</v>
      </c>
    </row>
    <row r="16" spans="1:8" ht="19.5" customHeight="1" x14ac:dyDescent="0.25">
      <c r="A16" s="55">
        <v>4</v>
      </c>
      <c r="B16" s="5">
        <f>$B$4+$B$5*4*12+$B$8</f>
        <v>29409.35</v>
      </c>
      <c r="C16" s="5">
        <f>$B$4*(1+$B$6/12)^(4*12)+$B$5*((1+$B$6/12)^(4*12)-1)/($B$6/12)+$B$8*(1+$B$6)^4</f>
        <v>36400.311300771406</v>
      </c>
      <c r="D16" s="5">
        <f t="shared" si="0"/>
        <v>6990.961300771407</v>
      </c>
      <c r="E16" s="18">
        <f t="shared" si="1"/>
        <v>0.19421632195174726</v>
      </c>
    </row>
    <row r="17" spans="1:5" ht="19.5" customHeight="1" x14ac:dyDescent="0.25">
      <c r="A17" s="54">
        <v>5</v>
      </c>
      <c r="B17" s="11">
        <f>$B$4+$B$5*5*12+$B$8</f>
        <v>33009.35</v>
      </c>
      <c r="C17" s="11">
        <f>$B$4*(1+$B$6/12)^(5*12)+$B$5*((1+$B$6/12)^(5*12)-1)/($B$6/12)+$B$8*(1+$B$6)^5</f>
        <v>42747.967420363995</v>
      </c>
      <c r="D17" s="11">
        <f t="shared" si="0"/>
        <v>9738.6174203639966</v>
      </c>
      <c r="E17" s="21">
        <f t="shared" si="1"/>
        <v>0.17438466575581371</v>
      </c>
    </row>
    <row r="18" spans="1:5" ht="19.5" customHeight="1" x14ac:dyDescent="0.25">
      <c r="A18" s="55">
        <v>6</v>
      </c>
      <c r="B18" s="5">
        <f>$B$4+$B$5*6*12+$B$8</f>
        <v>36609.35</v>
      </c>
      <c r="C18" s="5">
        <f>$B$4*(1+$B$6/12)^(6*12)+$B$5*((1+$B$6/12)^(6*12)-1)/($B$6/12)+$B$8*(1+$B$6)^6</f>
        <v>49554.391050079808</v>
      </c>
      <c r="D18" s="5">
        <f t="shared" si="0"/>
        <v>12945.04105007981</v>
      </c>
      <c r="E18" s="18">
        <f t="shared" si="1"/>
        <v>0.15922215816215426</v>
      </c>
    </row>
    <row r="19" spans="1:5" ht="19.5" customHeight="1" x14ac:dyDescent="0.25">
      <c r="A19" s="54">
        <v>7</v>
      </c>
      <c r="B19" s="11">
        <f>$B$4+$B$5*7*12+$B$8</f>
        <v>40209.35</v>
      </c>
      <c r="C19" s="11">
        <f>$B$4*(1+$B$6/12)^(7*12)+$B$5*((1+$B$6/12)^(7*12)-1)/($B$6/12)+$B$8*(1+$B$6)^7</f>
        <v>56852.739175839168</v>
      </c>
      <c r="D19" s="11">
        <f t="shared" si="0"/>
        <v>16643.389175839169</v>
      </c>
      <c r="E19" s="21">
        <f t="shared" si="1"/>
        <v>0.1472795441756842</v>
      </c>
    </row>
    <row r="20" spans="1:5" ht="19.5" customHeight="1" x14ac:dyDescent="0.25">
      <c r="A20" s="55">
        <v>8</v>
      </c>
      <c r="B20" s="5">
        <f>$B$4+$B$5*8*12+$B$8</f>
        <v>43809.35</v>
      </c>
      <c r="C20" s="5">
        <f>$B$4*(1+$B$6/12)^(8*12)+$B$5*((1+$B$6/12)^(8*12)-1)/($B$6/12)+$B$8*(1+$B$6)^8</f>
        <v>64678.56518994191</v>
      </c>
      <c r="D20" s="5">
        <f t="shared" si="0"/>
        <v>20869.215189941911</v>
      </c>
      <c r="E20" s="18">
        <f t="shared" si="1"/>
        <v>0.13765081731415504</v>
      </c>
    </row>
    <row r="21" spans="1:5" ht="19.5" customHeight="1" x14ac:dyDescent="0.25">
      <c r="A21" s="54">
        <v>9</v>
      </c>
      <c r="B21" s="11">
        <f>$B$4+$B$5*9*12+$B$8</f>
        <v>47409.35</v>
      </c>
      <c r="C21" s="11">
        <f>$B$4*(1+$B$6/12)^(9*12)+$B$5*((1+$B$6/12)^(9*12)-1)/($B$6/12)+$B$8*(1+$B$6)^9</f>
        <v>73069.992091441323</v>
      </c>
      <c r="D21" s="11">
        <f t="shared" si="0"/>
        <v>25660.642091441325</v>
      </c>
      <c r="E21" s="21">
        <f t="shared" si="1"/>
        <v>0.12974046157109798</v>
      </c>
    </row>
    <row r="22" spans="1:5" ht="19.5" customHeight="1" x14ac:dyDescent="0.25">
      <c r="A22" s="55">
        <v>10</v>
      </c>
      <c r="B22" s="5">
        <f>$B$4+$B$5*10*12+$B$8</f>
        <v>51009.35</v>
      </c>
      <c r="C22" s="5">
        <f>$B$4*(1+$B$6/12)^(10*12)+$B$5*((1+$B$6/12)^(10*12)-1)/($B$6/12)+$B$8*(1+$B$6)^10</f>
        <v>82067.898204664598</v>
      </c>
      <c r="D22" s="5">
        <f t="shared" si="0"/>
        <v>31058.548204664599</v>
      </c>
      <c r="E22" s="18">
        <f t="shared" si="1"/>
        <v>0.12314092085795091</v>
      </c>
    </row>
    <row r="23" spans="1:5" ht="19.5" customHeight="1" x14ac:dyDescent="0.25">
      <c r="A23" s="54">
        <v>11</v>
      </c>
      <c r="B23" s="11">
        <f>$B$4+$B$5*11*12+$B$8</f>
        <v>54609.35</v>
      </c>
      <c r="C23" s="11">
        <f>$B$4*(1+$B$6/12)^(11*12)+$B$5*((1+$B$6/12)^(11*12)-1)/($B$6/12)+$B$8*(1+$B$6)^11</f>
        <v>91716.116320640955</v>
      </c>
      <c r="D23" s="11">
        <f t="shared" si="0"/>
        <v>37106.766320640956</v>
      </c>
      <c r="E23" s="21">
        <f t="shared" si="1"/>
        <v>0.11756385050723729</v>
      </c>
    </row>
    <row r="24" spans="1:5" ht="19.5" customHeight="1" x14ac:dyDescent="0.25">
      <c r="A24" s="55">
        <v>12</v>
      </c>
      <c r="B24" s="5">
        <f>$B$4+$B$5*12*12+$B$8</f>
        <v>58209.35</v>
      </c>
      <c r="C24" s="5">
        <f>$B$4*(1+$B$6/12)^(12*12)+$B$5*((1+$B$6/12)^(12*12)-1)/($B$6/12)+$B$8*(1+$B$6)^12</f>
        <v>102061.64723159156</v>
      </c>
      <c r="D24" s="5">
        <f t="shared" si="0"/>
        <v>43852.297231591561</v>
      </c>
      <c r="E24" s="18">
        <f t="shared" si="1"/>
        <v>0.11279948743994425</v>
      </c>
    </row>
    <row r="25" spans="1:5" ht="19.5" customHeight="1" x14ac:dyDescent="0.25">
      <c r="A25" s="54">
        <v>13</v>
      </c>
      <c r="B25" s="11">
        <f>$B$4+$B$5*13*12+$B$8</f>
        <v>61809.35</v>
      </c>
      <c r="C25" s="11">
        <f>$B$4*(1+$B$6/12)^(13*12)+$B$5*((1+$B$6/12)^(13*12)-1)/($B$6/12)+$B$8*(1+$B$6)^13</f>
        <v>113154.88869875485</v>
      </c>
      <c r="D25" s="11">
        <f t="shared" si="0"/>
        <v>51345.538698754848</v>
      </c>
      <c r="E25" s="21">
        <f t="shared" si="1"/>
        <v>0.10869157776761368</v>
      </c>
    </row>
    <row r="26" spans="1:5" ht="19.5" customHeight="1" x14ac:dyDescent="0.25">
      <c r="A26" s="55">
        <v>14</v>
      </c>
      <c r="B26" s="5">
        <f>$B$4+$B$5*14*12+$B$8</f>
        <v>65409.35</v>
      </c>
      <c r="C26" s="5">
        <f>$B$4*(1+$B$6/12)^(14*12)+$B$5*((1+$B$6/12)^(14*12)-1)/($B$6/12)+$B$8*(1+$B$6)^14</f>
        <v>125049.88096900765</v>
      </c>
      <c r="D26" s="5">
        <f t="shared" si="0"/>
        <v>59640.530969007646</v>
      </c>
      <c r="E26" s="18">
        <f t="shared" si="1"/>
        <v>0.10512132888858287</v>
      </c>
    </row>
    <row r="27" spans="1:5" ht="19.5" customHeight="1" x14ac:dyDescent="0.25">
      <c r="A27" s="54">
        <v>15</v>
      </c>
      <c r="B27" s="11">
        <f>$B$4+$B$5*15*12+$B$8</f>
        <v>69009.350000000006</v>
      </c>
      <c r="C27" s="11">
        <f>$B$4*(1+$B$6/12)^(15*12)+$B$5*((1+$B$6/12)^(15*12)-1)/($B$6/12)+$B$8*(1+$B$6)^15</f>
        <v>137804.57003636472</v>
      </c>
      <c r="D27" s="11">
        <f t="shared" si="0"/>
        <v>68795.220036364713</v>
      </c>
      <c r="E27" s="21">
        <f t="shared" si="1"/>
        <v>0.10199681094073329</v>
      </c>
    </row>
    <row r="28" spans="1:5" ht="19.5" customHeight="1" x14ac:dyDescent="0.25">
      <c r="A28" s="55">
        <v>16</v>
      </c>
      <c r="B28" s="5">
        <f>$B$4+$B$5*16*12+$B$8</f>
        <v>72609.350000000006</v>
      </c>
      <c r="C28" s="5">
        <f>$B$4*(1+$B$6/12)^(16*12)+$B$5*((1+$B$6/12)^(16*12)-1)/($B$6/12)+$B$8*(1+$B$6)^16</f>
        <v>151481.08993088795</v>
      </c>
      <c r="D28" s="5">
        <f t="shared" si="0"/>
        <v>78871.739930887939</v>
      </c>
      <c r="E28" s="18">
        <f t="shared" si="1"/>
        <v>9.9245764425041794E-2</v>
      </c>
    </row>
    <row r="29" spans="1:5" ht="19.5" customHeight="1" x14ac:dyDescent="0.25">
      <c r="A29" s="54">
        <v>17</v>
      </c>
      <c r="B29" s="11">
        <f>$B$4+$B$5*17*12+$B$8</f>
        <v>76209.350000000006</v>
      </c>
      <c r="C29" s="11">
        <f>$B$4*(1+$B$6/12)^(17*12)+$B$5*((1+$B$6/12)^(17*12)-1)/($B$6/12)+$B$8*(1+$B$6)^17</f>
        <v>166146.06541023214</v>
      </c>
      <c r="D29" s="11">
        <f t="shared" si="0"/>
        <v>89936.715410232136</v>
      </c>
      <c r="E29" s="21">
        <f t="shared" si="1"/>
        <v>9.6810601811981797E-2</v>
      </c>
    </row>
    <row r="30" spans="1:5" ht="19.5" customHeight="1" x14ac:dyDescent="0.25">
      <c r="A30" s="55">
        <v>18</v>
      </c>
      <c r="B30" s="5">
        <f>$B$4+$B$5*18*12+$B$8</f>
        <v>79809.350000000006</v>
      </c>
      <c r="C30" s="5">
        <f>$B$4*(1+$B$6/12)^(18*12)+$B$5*((1+$B$6/12)^(18*12)-1)/($B$6/12)+$B$8*(1+$B$6)^18</f>
        <v>181870.93652845389</v>
      </c>
      <c r="D30" s="5">
        <f t="shared" si="0"/>
        <v>102061.58652845389</v>
      </c>
      <c r="E30" s="18">
        <f t="shared" si="1"/>
        <v>9.464486010785382E-2</v>
      </c>
    </row>
    <row r="31" spans="1:5" ht="19.5" customHeight="1" x14ac:dyDescent="0.25">
      <c r="A31" s="54">
        <v>19</v>
      </c>
      <c r="B31" s="11">
        <f>$B$4+$B$5*19*12+$B$8</f>
        <v>83409.350000000006</v>
      </c>
      <c r="C31" s="11">
        <f>$B$4*(1+$B$6/12)^(19*12)+$B$5*((1+$B$6/12)^(19*12)-1)/($B$6/12)+$B$8*(1+$B$6)^19</f>
        <v>198732.30666328731</v>
      </c>
      <c r="D31" s="11">
        <f t="shared" si="0"/>
        <v>115322.9566632873</v>
      </c>
      <c r="E31" s="21">
        <f t="shared" si="1"/>
        <v>9.2710635666603258E-2</v>
      </c>
    </row>
    <row r="32" spans="1:5" ht="19.5" customHeight="1" x14ac:dyDescent="0.25">
      <c r="A32" s="55">
        <v>20</v>
      </c>
      <c r="B32" s="5">
        <f>$B$4+$B$5*20*12+$B$8</f>
        <v>87009.35</v>
      </c>
      <c r="C32" s="5">
        <f>$B$4*(1+$B$6/12)^(20*12)+$B$5*((1+$B$6/12)^(20*12)-1)/($B$6/12)+$B$8*(1+$B$6)^20</f>
        <v>216812.31569737778</v>
      </c>
      <c r="D32" s="5">
        <f t="shared" si="0"/>
        <v>129802.96569737777</v>
      </c>
      <c r="E32" s="18">
        <f t="shared" si="1"/>
        <v>9.0976697939321366E-2</v>
      </c>
    </row>
    <row r="33" spans="1:5" ht="19.5" customHeight="1" x14ac:dyDescent="0.25">
      <c r="A33" s="54">
        <v>21</v>
      </c>
      <c r="B33" s="11">
        <f>$B$4+$B$5*21*12+$B$8</f>
        <v>90609.35</v>
      </c>
      <c r="C33" s="11">
        <f>$B$4*(1+$B$6/12)^(21*12)+$B$5*((1+$B$6/12)^(21*12)-1)/($B$6/12)+$B$8*(1+$B$6)^21</f>
        <v>236199.04017150745</v>
      </c>
      <c r="D33" s="11">
        <f t="shared" si="0"/>
        <v>145589.69017150745</v>
      </c>
      <c r="E33" s="21">
        <f t="shared" si="1"/>
        <v>8.9417081367228562E-2</v>
      </c>
    </row>
    <row r="34" spans="1:5" ht="19.5" customHeight="1" x14ac:dyDescent="0.25">
      <c r="A34" s="55">
        <v>22</v>
      </c>
      <c r="B34" s="5">
        <f>$B$4+$B$5*22*12+$B$8</f>
        <v>94209.35</v>
      </c>
      <c r="C34" s="5">
        <f>$B$4*(1+$B$6/12)^(22*12)+$B$5*((1+$B$6/12)^(22*12)-1)/($B$6/12)+$B$8*(1+$B$6)^22</f>
        <v>256986.92235924877</v>
      </c>
      <c r="D34" s="5">
        <f t="shared" si="0"/>
        <v>162777.57235924876</v>
      </c>
      <c r="E34" s="18">
        <f t="shared" si="1"/>
        <v>8.8010019738636272E-2</v>
      </c>
    </row>
    <row r="35" spans="1:5" ht="19.5" customHeight="1" x14ac:dyDescent="0.25">
      <c r="A35" s="54">
        <v>23</v>
      </c>
      <c r="B35" s="11">
        <f>$B$4+$B$5*23*12+$B$8</f>
        <v>97809.35</v>
      </c>
      <c r="C35" s="11">
        <f>$B$4*(1+$B$6/12)^(23*12)+$B$5*((1+$B$6/12)^(23*12)-1)/($B$6/12)+$B$8*(1+$B$6)^23</f>
        <v>279277.23035337991</v>
      </c>
      <c r="D35" s="11">
        <f t="shared" si="0"/>
        <v>181467.88035337991</v>
      </c>
      <c r="E35" s="21">
        <f t="shared" si="1"/>
        <v>8.673712961537762E-2</v>
      </c>
    </row>
    <row r="36" spans="1:5" ht="19.5" customHeight="1" x14ac:dyDescent="0.25">
      <c r="A36" s="55">
        <v>24</v>
      </c>
      <c r="B36" s="5">
        <f>$B$4+$B$5*24*12+$B$8</f>
        <v>101409.35</v>
      </c>
      <c r="C36" s="5">
        <f>$B$4*(1+$B$6/12)^(24*12)+$B$5*((1+$B$6/12)^(24*12)-1)/($B$6/12)+$B$8*(1+$B$6)^24</f>
        <v>303178.55140547972</v>
      </c>
      <c r="D36" s="5">
        <f t="shared" si="0"/>
        <v>201769.20140547972</v>
      </c>
      <c r="E36" s="18">
        <f t="shared" si="1"/>
        <v>8.5582777449692463E-2</v>
      </c>
    </row>
    <row r="37" spans="1:5" ht="19.5" customHeight="1" x14ac:dyDescent="0.25">
      <c r="A37" s="54">
        <v>25</v>
      </c>
      <c r="B37" s="11">
        <f>$B$4+$B$5*25*12+$B$8</f>
        <v>105009.35</v>
      </c>
      <c r="C37" s="11">
        <f>$B$4*(1+$B$6/12)^(25*12)+$B$5*((1+$B$6/12)^(25*12)-1)/($B$6/12)+$B$8*(1+$B$6)^25</f>
        <v>328807.32092212251</v>
      </c>
      <c r="D37" s="11">
        <f t="shared" si="0"/>
        <v>223797.97092212251</v>
      </c>
      <c r="E37" s="21">
        <f t="shared" si="1"/>
        <v>8.4533583915592153E-2</v>
      </c>
    </row>
  </sheetData>
  <mergeCells count="16">
    <mergeCell ref="A1:H1"/>
    <mergeCell ref="A3:D3"/>
    <mergeCell ref="E3:H3"/>
    <mergeCell ref="C4:D4"/>
    <mergeCell ref="F4:H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A11:E11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"/>
  <sheetViews>
    <sheetView showGridLines="0" zoomScaleNormal="100" workbookViewId="0">
      <selection sqref="A1:I1"/>
    </sheetView>
  </sheetViews>
  <sheetFormatPr baseColWidth="10" defaultColWidth="8.7109375" defaultRowHeight="15" x14ac:dyDescent="0.25"/>
  <cols>
    <col min="1" max="1" width="27" customWidth="1"/>
    <col min="2" max="3" width="16" customWidth="1"/>
    <col min="4" max="7" width="12" customWidth="1"/>
    <col min="8" max="8" width="18" customWidth="1"/>
    <col min="9" max="9" width="20" customWidth="1"/>
  </cols>
  <sheetData>
    <row r="1" spans="1:9" ht="34.5" customHeight="1" x14ac:dyDescent="0.25">
      <c r="A1" s="82" t="s">
        <v>147</v>
      </c>
      <c r="B1" s="82"/>
      <c r="C1" s="82"/>
      <c r="D1" s="82"/>
      <c r="E1" s="82"/>
      <c r="F1" s="82"/>
      <c r="G1" s="82"/>
      <c r="H1" s="82"/>
      <c r="I1" s="82"/>
    </row>
    <row r="2" spans="1:9" ht="27.75" customHeight="1" x14ac:dyDescent="0.25">
      <c r="A2" s="1" t="s">
        <v>73</v>
      </c>
      <c r="B2" s="1" t="s">
        <v>3</v>
      </c>
      <c r="C2" s="1" t="s">
        <v>148</v>
      </c>
      <c r="D2" s="1" t="s">
        <v>149</v>
      </c>
      <c r="E2" s="1" t="s">
        <v>150</v>
      </c>
      <c r="F2" s="1" t="s">
        <v>151</v>
      </c>
      <c r="G2" s="1" t="s">
        <v>152</v>
      </c>
      <c r="H2" s="1" t="s">
        <v>153</v>
      </c>
      <c r="I2" s="1" t="s">
        <v>154</v>
      </c>
    </row>
    <row r="3" spans="1:9" ht="21.75" customHeight="1" x14ac:dyDescent="0.25">
      <c r="A3" s="45" t="s">
        <v>38</v>
      </c>
      <c r="B3" s="45" t="s">
        <v>39</v>
      </c>
      <c r="C3" s="45" t="s">
        <v>155</v>
      </c>
      <c r="D3" s="11">
        <v>28.5</v>
      </c>
      <c r="E3" s="11">
        <v>29.1</v>
      </c>
      <c r="F3" s="11">
        <v>27.8</v>
      </c>
      <c r="G3" s="11">
        <v>30.2</v>
      </c>
      <c r="H3" s="56">
        <f t="shared" ref="H3:H10" si="0">SUM(D3:G3)</f>
        <v>115.60000000000001</v>
      </c>
      <c r="I3" s="12">
        <f>IFERROR(H3/SUMIF('📋 Depot'!A4:A11,A3,'📋 Depot'!G4:G11),0)</f>
        <v>0.12117400419287212</v>
      </c>
    </row>
    <row r="4" spans="1:9" ht="21.75" customHeight="1" x14ac:dyDescent="0.25">
      <c r="A4" s="47" t="s">
        <v>30</v>
      </c>
      <c r="B4" s="47" t="s">
        <v>31</v>
      </c>
      <c r="C4" s="47" t="s">
        <v>156</v>
      </c>
      <c r="D4" s="5">
        <v>18.600000000000001</v>
      </c>
      <c r="E4" s="5">
        <v>0</v>
      </c>
      <c r="F4" s="5">
        <v>19.399999999999999</v>
      </c>
      <c r="G4" s="5">
        <v>0</v>
      </c>
      <c r="H4" s="57">
        <f t="shared" si="0"/>
        <v>38</v>
      </c>
      <c r="I4" s="6">
        <f>IFERROR(H4/SUMIF('📋 Depot'!A4:A11,A4,'📋 Depot'!G4:G11),0)</f>
        <v>2.4885396201702686E-2</v>
      </c>
    </row>
    <row r="5" spans="1:9" ht="21.75" customHeight="1" x14ac:dyDescent="0.25">
      <c r="A5" s="45" t="s">
        <v>25</v>
      </c>
      <c r="B5" s="45" t="s">
        <v>26</v>
      </c>
      <c r="C5" s="45" t="s">
        <v>157</v>
      </c>
      <c r="D5" s="11">
        <v>0</v>
      </c>
      <c r="E5" s="11">
        <v>0</v>
      </c>
      <c r="F5" s="11">
        <v>0</v>
      </c>
      <c r="G5" s="11">
        <v>42</v>
      </c>
      <c r="H5" s="56">
        <f t="shared" si="0"/>
        <v>42</v>
      </c>
      <c r="I5" s="12">
        <f>IFERROR(H5/SUMIF('📋 Depot'!A4:A11,A5,'📋 Depot'!G4:G11),0)</f>
        <v>2.6046511627906978E-2</v>
      </c>
    </row>
    <row r="6" spans="1:9" ht="21.75" customHeight="1" x14ac:dyDescent="0.25">
      <c r="A6" s="47" t="s">
        <v>42</v>
      </c>
      <c r="B6" s="47" t="s">
        <v>43</v>
      </c>
      <c r="C6" s="47" t="s">
        <v>156</v>
      </c>
      <c r="D6" s="5">
        <v>12.3</v>
      </c>
      <c r="E6" s="5">
        <v>0</v>
      </c>
      <c r="F6" s="5">
        <v>12.8</v>
      </c>
      <c r="G6" s="5">
        <v>0</v>
      </c>
      <c r="H6" s="57">
        <f t="shared" si="0"/>
        <v>25.1</v>
      </c>
      <c r="I6" s="6">
        <f>IFERROR(H6/SUMIF('📋 Depot'!A4:A11,A6,'📋 Depot'!G4:G11),0)</f>
        <v>1.0060120240480962E-2</v>
      </c>
    </row>
    <row r="7" spans="1:9" ht="21.75" customHeight="1" x14ac:dyDescent="0.25">
      <c r="A7" s="45" t="s">
        <v>15</v>
      </c>
      <c r="B7" s="45" t="s">
        <v>16</v>
      </c>
      <c r="C7" s="45" t="s">
        <v>18</v>
      </c>
      <c r="D7" s="11">
        <v>0</v>
      </c>
      <c r="E7" s="11">
        <v>0</v>
      </c>
      <c r="F7" s="11">
        <v>0</v>
      </c>
      <c r="G7" s="11">
        <v>0</v>
      </c>
      <c r="H7" s="56">
        <f t="shared" si="0"/>
        <v>0</v>
      </c>
      <c r="I7" s="12">
        <f>IFERROR(H7/SUMIF('📋 Depot'!A4:A11,A7,'📋 Depot'!G4:G11),0)</f>
        <v>0</v>
      </c>
    </row>
    <row r="8" spans="1:9" ht="21.75" customHeight="1" x14ac:dyDescent="0.25">
      <c r="A8" s="47" t="s">
        <v>21</v>
      </c>
      <c r="B8" s="47" t="s">
        <v>22</v>
      </c>
      <c r="C8" s="47" t="s">
        <v>18</v>
      </c>
      <c r="D8" s="5">
        <v>0</v>
      </c>
      <c r="E8" s="5">
        <v>0</v>
      </c>
      <c r="F8" s="5">
        <v>0</v>
      </c>
      <c r="G8" s="5">
        <v>0</v>
      </c>
      <c r="H8" s="57">
        <f t="shared" si="0"/>
        <v>0</v>
      </c>
      <c r="I8" s="6">
        <f>IFERROR(H8/SUMIF('📋 Depot'!A4:A11,A8,'📋 Depot'!G4:G11),0)</f>
        <v>0</v>
      </c>
    </row>
    <row r="9" spans="1:9" ht="21.75" customHeight="1" x14ac:dyDescent="0.25">
      <c r="A9" s="45" t="s">
        <v>34</v>
      </c>
      <c r="B9" s="45" t="s">
        <v>35</v>
      </c>
      <c r="C9" s="45" t="s">
        <v>18</v>
      </c>
      <c r="D9" s="11">
        <v>0</v>
      </c>
      <c r="E9" s="11">
        <v>0</v>
      </c>
      <c r="F9" s="11">
        <v>0</v>
      </c>
      <c r="G9" s="11">
        <v>0</v>
      </c>
      <c r="H9" s="56">
        <f t="shared" si="0"/>
        <v>0</v>
      </c>
      <c r="I9" s="12">
        <f>IFERROR(H9/SUMIF('📋 Depot'!A4:A11,A9,'📋 Depot'!G4:G11),0)</f>
        <v>0</v>
      </c>
    </row>
    <row r="10" spans="1:9" ht="21.75" customHeight="1" x14ac:dyDescent="0.25">
      <c r="A10" s="47" t="s">
        <v>45</v>
      </c>
      <c r="B10" s="47" t="s">
        <v>46</v>
      </c>
      <c r="C10" s="47" t="s">
        <v>18</v>
      </c>
      <c r="D10" s="5">
        <v>0</v>
      </c>
      <c r="E10" s="5">
        <v>0</v>
      </c>
      <c r="F10" s="5">
        <v>0</v>
      </c>
      <c r="G10" s="5">
        <v>0</v>
      </c>
      <c r="H10" s="57">
        <f t="shared" si="0"/>
        <v>0</v>
      </c>
      <c r="I10" s="6">
        <f>IFERROR(H10/SUMIF('📋 Depot'!A4:A11,A10,'📋 Depot'!G4:G11),0)</f>
        <v>0</v>
      </c>
    </row>
    <row r="11" spans="1:9" ht="15" customHeight="1" x14ac:dyDescent="0.25">
      <c r="A11" s="83" t="s">
        <v>124</v>
      </c>
      <c r="B11" s="83"/>
      <c r="C11" s="83"/>
      <c r="D11" s="15">
        <f t="shared" ref="D11:I11" si="1">SUM(D3:D10)</f>
        <v>59.400000000000006</v>
      </c>
      <c r="E11" s="15">
        <f t="shared" si="1"/>
        <v>29.1</v>
      </c>
      <c r="F11" s="15">
        <f t="shared" si="1"/>
        <v>60</v>
      </c>
      <c r="G11" s="15">
        <f t="shared" si="1"/>
        <v>72.2</v>
      </c>
      <c r="H11" s="15">
        <f t="shared" si="1"/>
        <v>220.70000000000002</v>
      </c>
      <c r="I11" s="16">
        <f t="shared" si="1"/>
        <v>0.18216603226296277</v>
      </c>
    </row>
    <row r="13" spans="1:9" ht="15.75" x14ac:dyDescent="0.25">
      <c r="A13" s="92" t="s">
        <v>158</v>
      </c>
      <c r="B13" s="92"/>
      <c r="C13" s="92"/>
      <c r="D13" s="58">
        <f>H11/12</f>
        <v>18.391666666666669</v>
      </c>
      <c r="E13" s="92" t="s">
        <v>159</v>
      </c>
      <c r="F13" s="92"/>
      <c r="G13" s="92"/>
      <c r="H13" s="92"/>
      <c r="I13" s="92"/>
    </row>
  </sheetData>
  <mergeCells count="4">
    <mergeCell ref="A1:I1"/>
    <mergeCell ref="A11:C11"/>
    <mergeCell ref="A13:C13"/>
    <mergeCell ref="E13:I1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📊 Dashboard</vt:lpstr>
      <vt:lpstr>📋 Depot</vt:lpstr>
      <vt:lpstr>🔄 Transaktionen</vt:lpstr>
      <vt:lpstr>⚖️ Rebalancing</vt:lpstr>
      <vt:lpstr>📈 Sparplan &amp; Prognose</vt:lpstr>
      <vt:lpstr>💰 Dividenden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2026-05-26T05:14:06Z</dcterms:created>
  <dcterms:modified xsi:type="dcterms:W3CDTF">2026-05-26T07:04:01Z</dcterms:modified>
  <dc:language>en-US</dc:language>
</cp:coreProperties>
</file>