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60C313C-FDB2-4EE2-97C7-C6C7CB9D7B9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epot" sheetId="1" r:id="rId1"/>
    <sheet name="Transaktionen" sheetId="2" r:id="rId2"/>
    <sheet name="Sparplan-Rechner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3" l="1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C21" i="3"/>
  <c r="E20" i="3"/>
  <c r="D20" i="3"/>
  <c r="C20" i="3"/>
  <c r="E19" i="3"/>
  <c r="D19" i="3"/>
  <c r="C19" i="3"/>
  <c r="D13" i="3"/>
  <c r="D15" i="3" s="1"/>
  <c r="D12" i="3"/>
  <c r="D11" i="3"/>
  <c r="H18" i="2"/>
  <c r="H16" i="2"/>
  <c r="H15" i="2"/>
  <c r="H14" i="2"/>
  <c r="H13" i="2"/>
  <c r="H12" i="2"/>
  <c r="H11" i="2"/>
  <c r="H10" i="2"/>
  <c r="H9" i="2"/>
  <c r="H8" i="2"/>
  <c r="H7" i="2"/>
  <c r="H6" i="2"/>
  <c r="H5" i="2"/>
  <c r="B24" i="1"/>
  <c r="B23" i="1"/>
  <c r="B22" i="1"/>
  <c r="C21" i="1"/>
  <c r="B21" i="1"/>
  <c r="C20" i="1"/>
  <c r="B20" i="1"/>
  <c r="B19" i="1"/>
  <c r="J14" i="1"/>
  <c r="H14" i="1"/>
  <c r="C24" i="1" s="1"/>
  <c r="G14" i="1"/>
  <c r="J13" i="1"/>
  <c r="H13" i="1"/>
  <c r="I13" i="1" s="1"/>
  <c r="G13" i="1"/>
  <c r="J12" i="1"/>
  <c r="H12" i="1"/>
  <c r="F5" i="1" s="1"/>
  <c r="G12" i="1"/>
  <c r="D5" i="1" s="1"/>
  <c r="J11" i="1"/>
  <c r="I11" i="1"/>
  <c r="H11" i="1"/>
  <c r="G11" i="1"/>
  <c r="J10" i="1"/>
  <c r="H10" i="1"/>
  <c r="I10" i="1" s="1"/>
  <c r="G10" i="1"/>
  <c r="J9" i="1"/>
  <c r="H9" i="1"/>
  <c r="C19" i="1" s="1"/>
  <c r="G9" i="1"/>
  <c r="G15" i="1" s="1"/>
  <c r="C22" i="1" l="1"/>
  <c r="I9" i="1"/>
  <c r="I14" i="1"/>
  <c r="I12" i="1"/>
  <c r="B5" i="1"/>
  <c r="H5" i="1"/>
  <c r="H15" i="1"/>
  <c r="C23" i="1"/>
  <c r="D23" i="1"/>
  <c r="F23" i="1" s="1"/>
  <c r="D14" i="3"/>
  <c r="D21" i="1" l="1"/>
  <c r="F21" i="1" s="1"/>
  <c r="D20" i="1"/>
  <c r="F20" i="1" s="1"/>
  <c r="D24" i="1"/>
  <c r="F24" i="1" s="1"/>
  <c r="D19" i="1"/>
  <c r="F19" i="1" s="1"/>
  <c r="D22" i="1"/>
  <c r="F22" i="1" s="1"/>
  <c r="I15" i="1"/>
  <c r="J15" i="1" s="1"/>
</calcChain>
</file>

<file path=xl/sharedStrings.xml><?xml version="1.0" encoding="utf-8"?>
<sst xmlns="http://schemas.openxmlformats.org/spreadsheetml/2006/main" count="97" uniqueCount="70">
  <si>
    <t>ETF-PORTFOLIO — Depotübersicht</t>
  </si>
  <si>
    <t>Gesamtwert (€)</t>
  </si>
  <si>
    <t>Einstand (€)</t>
  </si>
  <si>
    <t>Gewinn/Verlust (€)</t>
  </si>
  <si>
    <t>Performance (%)</t>
  </si>
  <si>
    <t xml:space="preserve">  Positionen</t>
  </si>
  <si>
    <t>ETF / Bezeichnung</t>
  </si>
  <si>
    <t>ISIN</t>
  </si>
  <si>
    <t>Anteile</t>
  </si>
  <si>
    <t>Einst.-Kurs (€)</t>
  </si>
  <si>
    <t>Akt. Kurs (€)</t>
  </si>
  <si>
    <t>Einst.-Wert (€)</t>
  </si>
  <si>
    <t>Akt. Wert (€)</t>
  </si>
  <si>
    <t>G/V (€)</t>
  </si>
  <si>
    <t>G/V (%)</t>
  </si>
  <si>
    <t>Welt-Aktien-ETF</t>
  </si>
  <si>
    <t>LU0000000001</t>
  </si>
  <si>
    <t>Schwellenländer-ETF</t>
  </si>
  <si>
    <t>IE0000000002</t>
  </si>
  <si>
    <t>Europa-Dividenden-ETF</t>
  </si>
  <si>
    <t>IE0000000003</t>
  </si>
  <si>
    <t>Staatsanleihen-ETF</t>
  </si>
  <si>
    <t>LU0000000004</t>
  </si>
  <si>
    <t>Rohstoff-ETF</t>
  </si>
  <si>
    <t>IE0000000005</t>
  </si>
  <si>
    <t>Immobilien-ETF (REIT)</t>
  </si>
  <si>
    <t>LU0000000006</t>
  </si>
  <si>
    <t>GESAMT</t>
  </si>
  <si>
    <t xml:space="preserve">  Gewichtung nach Akt. Wert</t>
  </si>
  <si>
    <t>Anteil (%)</t>
  </si>
  <si>
    <t>Soll-Anteil (%)</t>
  </si>
  <si>
    <t>Abw. (pp)</t>
  </si>
  <si>
    <t>Tipp: Hellbraun hinterlegte Felder sind Eingabefelder — alle anderen Werte werden automatisch berechnet.</t>
  </si>
  <si>
    <t>TRANSAKTIONEN — Kauf- &amp; Verkaufshistorie</t>
  </si>
  <si>
    <t>Datum</t>
  </si>
  <si>
    <t>Typ</t>
  </si>
  <si>
    <t>Kurs (€)</t>
  </si>
  <si>
    <t>Gebühren (€)</t>
  </si>
  <si>
    <t>Gesamt (€)</t>
  </si>
  <si>
    <t>15.01.2024</t>
  </si>
  <si>
    <t>Kauf</t>
  </si>
  <si>
    <t>01.02.2024</t>
  </si>
  <si>
    <t>15.02.2024</t>
  </si>
  <si>
    <t>01.03.2024</t>
  </si>
  <si>
    <t>15.03.2024</t>
  </si>
  <si>
    <t>01.04.2024</t>
  </si>
  <si>
    <t>15.04.2024</t>
  </si>
  <si>
    <t>01.05.2024</t>
  </si>
  <si>
    <t>15.05.2024</t>
  </si>
  <si>
    <t>01.06.2024</t>
  </si>
  <si>
    <t>Dividende</t>
  </si>
  <si>
    <t>15.06.2024</t>
  </si>
  <si>
    <t>01.07.2024</t>
  </si>
  <si>
    <t>Summe Käufe (€)</t>
  </si>
  <si>
    <t>SPARPLAN-RECHNER — Zinseszins &amp; Vermögensaufbau</t>
  </si>
  <si>
    <t>Monatliche Sparrate (€)</t>
  </si>
  <si>
    <t>Anfangskapital (€)</t>
  </si>
  <si>
    <t>Erwartete Jahresrendite (%)</t>
  </si>
  <si>
    <t>Jährl. Kosten / TER (%)</t>
  </si>
  <si>
    <t>Anlagehorizont (Jahre)</t>
  </si>
  <si>
    <t xml:space="preserve">  Ergebnis</t>
  </si>
  <si>
    <t>Netto-Rendite p.a. (nach TER)</t>
  </si>
  <si>
    <t>Eingezahltes Kapital gesamt (€)</t>
  </si>
  <si>
    <t>Endwert mit Zinseszins (€)</t>
  </si>
  <si>
    <t>Davon Zinsgewinn (€)</t>
  </si>
  <si>
    <t>Wachstumsfaktor</t>
  </si>
  <si>
    <t xml:space="preserve">  Jahresübersicht (Prognose)</t>
  </si>
  <si>
    <t>Jahr</t>
  </si>
  <si>
    <t>Eingezahlt (€)</t>
  </si>
  <si>
    <t>Zinsgewinn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</si>
</sst>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0.0%"/>
    <numFmt numFmtId="166" formatCode="dd\.mm\.yyyy"/>
    <numFmt numFmtId="167" formatCode="0.00\x"/>
  </numFmts>
  <fonts count="15" x14ac:knownFonts="1">
    <font>
      <sz val="11"/>
      <color theme="1"/>
      <name val="Calibri"/>
      <family val="2"/>
      <charset val="1"/>
    </font>
    <font>
      <b/>
      <sz val="14"/>
      <color rgb="FFFFFFFF"/>
      <name val="Calibri"/>
      <charset val="1"/>
    </font>
    <font>
      <b/>
      <sz val="16"/>
      <color rgb="FFFFFFFF"/>
      <name val="Calibri"/>
      <charset val="1"/>
    </font>
    <font>
      <b/>
      <sz val="10"/>
      <color rgb="FFFFFFFF"/>
      <name val="Calibri"/>
      <charset val="1"/>
    </font>
    <font>
      <b/>
      <sz val="9"/>
      <color rgb="FFFFFFFF"/>
      <name val="Calibri"/>
      <charset val="1"/>
    </font>
    <font>
      <sz val="9"/>
      <color rgb="FF7C4A2D"/>
      <name val="Calibri"/>
      <charset val="1"/>
    </font>
    <font>
      <b/>
      <sz val="9"/>
      <color rgb="FF3D2B1F"/>
      <name val="Calibri"/>
      <charset val="1"/>
    </font>
    <font>
      <sz val="9"/>
      <color rgb="FF3D2B1F"/>
      <name val="Calibri"/>
      <charset val="1"/>
    </font>
    <font>
      <i/>
      <sz val="8"/>
      <color rgb="FF7C4A2D"/>
      <name val="Calibri"/>
      <charset val="1"/>
    </font>
    <font>
      <b/>
      <sz val="12"/>
      <color rgb="FFFFFFFF"/>
      <name val="Calibri"/>
      <charset val="1"/>
    </font>
    <font>
      <b/>
      <sz val="10"/>
      <color rgb="FF3D2B1F"/>
      <name val="Calibri"/>
      <charset val="1"/>
    </font>
    <font>
      <b/>
      <sz val="12"/>
      <color rgb="FF7C4A2D"/>
      <name val="Calibri"/>
      <charset val="1"/>
    </font>
    <font>
      <b/>
      <sz val="11"/>
      <color rgb="FF3D2B1F"/>
      <name val="Calibri"/>
      <charset val="1"/>
    </font>
    <font>
      <b/>
      <i/>
      <sz val="12"/>
      <color rgb="FFFFDDC4"/>
      <name val="Calibri"/>
      <family val="2"/>
    </font>
    <font>
      <b/>
      <sz val="20"/>
      <color rgb="FFFFFFF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3D2B1F"/>
        <bgColor rgb="FF333300"/>
      </patternFill>
    </fill>
    <fill>
      <patternFill patternType="solid">
        <fgColor rgb="FF7C4A2D"/>
        <bgColor rgb="FF993366"/>
      </patternFill>
    </fill>
    <fill>
      <patternFill patternType="solid">
        <fgColor rgb="FFC4845A"/>
        <bgColor rgb="FF969696"/>
      </patternFill>
    </fill>
    <fill>
      <patternFill patternType="solid">
        <fgColor rgb="FFFEF9F0"/>
        <bgColor rgb="FFFAF8F5"/>
      </patternFill>
    </fill>
    <fill>
      <patternFill patternType="solid">
        <fgColor rgb="FFFFFCFA"/>
        <bgColor rgb="FFFFFFFF"/>
      </patternFill>
    </fill>
    <fill>
      <patternFill patternType="solid">
        <fgColor rgb="FFF5EDE4"/>
        <bgColor rgb="FFFAF8F5"/>
      </patternFill>
    </fill>
    <fill>
      <patternFill patternType="solid">
        <fgColor rgb="FFFAF8F5"/>
        <bgColor rgb="FFFEF9F0"/>
      </patternFill>
    </fill>
    <fill>
      <patternFill patternType="solid">
        <fgColor theme="8" tint="-0.499984740745262"/>
        <bgColor rgb="FF993366"/>
      </patternFill>
    </fill>
    <fill>
      <patternFill patternType="solid">
        <fgColor theme="8" tint="-0.499984740745262"/>
        <bgColor rgb="FF333300"/>
      </patternFill>
    </fill>
    <fill>
      <patternFill patternType="solid">
        <fgColor theme="6" tint="-0.499984740745262"/>
        <bgColor rgb="FF993366"/>
      </patternFill>
    </fill>
  </fills>
  <borders count="3">
    <border>
      <left/>
      <right/>
      <top/>
      <bottom/>
      <diagonal/>
    </border>
    <border>
      <left style="thin">
        <color rgb="FFD9C4B0"/>
      </left>
      <right style="thin">
        <color rgb="FFD9C4B0"/>
      </right>
      <top style="thin">
        <color rgb="FFD9C4B0"/>
      </top>
      <bottom style="thin">
        <color rgb="FFD9C4B0"/>
      </bottom>
      <diagonal/>
    </border>
    <border>
      <left style="thin">
        <color rgb="FFD9C4B0"/>
      </left>
      <right/>
      <top style="thin">
        <color rgb="FFD9C4B0"/>
      </top>
      <bottom style="thin">
        <color rgb="FFD9C4B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0" fillId="7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8" fillId="7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0" fontId="6" fillId="6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0" fontId="6" fillId="7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164" fontId="7" fillId="6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7" fillId="7" borderId="1" xfId="0" applyFont="1" applyFill="1" applyBorder="1" applyAlignment="1">
      <alignment horizontal="left" vertical="center"/>
    </xf>
    <xf numFmtId="164" fontId="7" fillId="7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0" fontId="11" fillId="5" borderId="1" xfId="0" applyNumberFormat="1" applyFont="1" applyFill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/>
    </xf>
    <xf numFmtId="10" fontId="12" fillId="6" borderId="1" xfId="0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7" fontId="12" fillId="6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14" fillId="10" borderId="0" xfId="0" applyFont="1" applyFill="1" applyAlignment="1">
      <alignment horizontal="center" vertical="center"/>
    </xf>
    <xf numFmtId="164" fontId="2" fillId="11" borderId="0" xfId="0" applyNumberFormat="1" applyFont="1" applyFill="1" applyAlignment="1">
      <alignment horizontal="center" vertical="center"/>
    </xf>
    <xf numFmtId="10" fontId="2" fillId="11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C4B0"/>
      <rgbColor rgb="FF808080"/>
      <rgbColor rgb="FF9999FF"/>
      <rgbColor rgb="FF993366"/>
      <rgbColor rgb="FFFEF9F0"/>
      <rgbColor rgb="FFFAF8F5"/>
      <rgbColor rgb="FF660066"/>
      <rgbColor rgb="FFC4845A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CFA"/>
      <rgbColor rgb="FFF5EDE4"/>
      <rgbColor rgb="FFFFFF99"/>
      <rgbColor rgb="FF99CCFF"/>
      <rgbColor rgb="FFFF99CC"/>
      <rgbColor rgb="FFCC99FF"/>
      <rgbColor rgb="FFFFDDC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7C4A2D"/>
      <rgbColor rgb="FF993366"/>
      <rgbColor rgb="FF333399"/>
      <rgbColor rgb="FF3D2B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C4A2D"/>
    <pageSetUpPr fitToPage="1"/>
  </sheetPr>
  <dimension ref="B2:J26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M10" sqref="M10"/>
    </sheetView>
  </sheetViews>
  <sheetFormatPr baseColWidth="10" defaultColWidth="8.7109375" defaultRowHeight="15" x14ac:dyDescent="0.25"/>
  <cols>
    <col min="1" max="1" width="1.5703125" customWidth="1"/>
    <col min="2" max="2" width="26" customWidth="1"/>
    <col min="3" max="3" width="14" customWidth="1"/>
    <col min="4" max="4" width="9" customWidth="1"/>
    <col min="5" max="6" width="12" customWidth="1"/>
    <col min="7" max="8" width="13" customWidth="1"/>
    <col min="9" max="9" width="11" customWidth="1"/>
    <col min="10" max="10" width="10" customWidth="1"/>
    <col min="11" max="11" width="1.5703125" customWidth="1"/>
  </cols>
  <sheetData>
    <row r="2" spans="2:10" ht="31.5" customHeight="1" x14ac:dyDescent="0.25">
      <c r="B2" s="39" t="s">
        <v>0</v>
      </c>
      <c r="C2" s="39"/>
      <c r="D2" s="39"/>
      <c r="E2" s="39"/>
      <c r="F2" s="39"/>
      <c r="G2" s="39"/>
      <c r="H2" s="39"/>
      <c r="I2" s="39"/>
      <c r="J2" s="39"/>
    </row>
    <row r="3" spans="2:10" ht="6" customHeight="1" x14ac:dyDescent="0.25"/>
    <row r="4" spans="2:10" ht="16.5" customHeight="1" x14ac:dyDescent="0.25">
      <c r="B4" s="37" t="s">
        <v>1</v>
      </c>
      <c r="C4" s="37"/>
      <c r="D4" s="37" t="s">
        <v>2</v>
      </c>
      <c r="E4" s="37"/>
      <c r="F4" s="37" t="s">
        <v>3</v>
      </c>
      <c r="G4" s="37"/>
      <c r="H4" s="37" t="s">
        <v>4</v>
      </c>
      <c r="I4" s="37"/>
      <c r="J4" s="37"/>
    </row>
    <row r="5" spans="2:10" ht="30" customHeight="1" x14ac:dyDescent="0.25">
      <c r="B5" s="40">
        <f>SUM(H9:H14)</f>
        <v>12184.9</v>
      </c>
      <c r="C5" s="40"/>
      <c r="D5" s="40">
        <f>SUM(G9:G14)</f>
        <v>11295</v>
      </c>
      <c r="E5" s="40"/>
      <c r="F5" s="40">
        <f>SUM(H9:H14)-SUM(G9:G14)</f>
        <v>889.89999999999964</v>
      </c>
      <c r="G5" s="40"/>
      <c r="H5" s="41">
        <f>IFERROR((SUM(H9:H14)-SUM(G9:G14))/SUM(G9:G14),0)</f>
        <v>7.8787073926516127E-2</v>
      </c>
      <c r="I5" s="41"/>
      <c r="J5" s="41"/>
    </row>
    <row r="6" spans="2:10" ht="7.5" customHeight="1" x14ac:dyDescent="0.25"/>
    <row r="7" spans="2:10" ht="19.5" customHeight="1" x14ac:dyDescent="0.25">
      <c r="B7" s="38" t="s">
        <v>5</v>
      </c>
      <c r="C7" s="38"/>
      <c r="D7" s="38"/>
      <c r="E7" s="38"/>
      <c r="F7" s="38"/>
      <c r="G7" s="38"/>
      <c r="H7" s="38"/>
      <c r="I7" s="38"/>
      <c r="J7" s="38"/>
    </row>
    <row r="8" spans="2:10" ht="21.75" customHeight="1" x14ac:dyDescent="0.25"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</row>
    <row r="9" spans="2:10" ht="19.5" customHeight="1" x14ac:dyDescent="0.25">
      <c r="B9" s="8" t="s">
        <v>15</v>
      </c>
      <c r="C9" s="8" t="s">
        <v>16</v>
      </c>
      <c r="D9" s="9">
        <v>50</v>
      </c>
      <c r="E9" s="10">
        <v>78.400000000000006</v>
      </c>
      <c r="F9" s="10">
        <v>91.2</v>
      </c>
      <c r="G9" s="11">
        <f t="shared" ref="G9:G14" si="0">D9*E9</f>
        <v>3920.0000000000005</v>
      </c>
      <c r="H9" s="11">
        <f t="shared" ref="H9:H14" si="1">D9*F9</f>
        <v>4560</v>
      </c>
      <c r="I9" s="11">
        <f t="shared" ref="I9:I14" si="2">H9-G9</f>
        <v>639.99999999999955</v>
      </c>
      <c r="J9" s="12">
        <f t="shared" ref="J9:J14" si="3">IFERROR((F9-E9)/E9,0)</f>
        <v>0.16326530612244894</v>
      </c>
    </row>
    <row r="10" spans="2:10" ht="19.5" customHeight="1" x14ac:dyDescent="0.25">
      <c r="B10" s="8" t="s">
        <v>17</v>
      </c>
      <c r="C10" s="8" t="s">
        <v>18</v>
      </c>
      <c r="D10" s="9">
        <v>30</v>
      </c>
      <c r="E10" s="10">
        <v>37.1</v>
      </c>
      <c r="F10" s="10">
        <v>40.85</v>
      </c>
      <c r="G10" s="13">
        <f t="shared" si="0"/>
        <v>1113</v>
      </c>
      <c r="H10" s="13">
        <f t="shared" si="1"/>
        <v>1225.5</v>
      </c>
      <c r="I10" s="13">
        <f t="shared" si="2"/>
        <v>112.5</v>
      </c>
      <c r="J10" s="14">
        <f t="shared" si="3"/>
        <v>0.10107816711590296</v>
      </c>
    </row>
    <row r="11" spans="2:10" ht="19.5" customHeight="1" x14ac:dyDescent="0.25">
      <c r="B11" s="8" t="s">
        <v>19</v>
      </c>
      <c r="C11" s="8" t="s">
        <v>20</v>
      </c>
      <c r="D11" s="9">
        <v>25</v>
      </c>
      <c r="E11" s="10">
        <v>54</v>
      </c>
      <c r="F11" s="10">
        <v>57.6</v>
      </c>
      <c r="G11" s="11">
        <f t="shared" si="0"/>
        <v>1350</v>
      </c>
      <c r="H11" s="11">
        <f t="shared" si="1"/>
        <v>1440</v>
      </c>
      <c r="I11" s="11">
        <f t="shared" si="2"/>
        <v>90</v>
      </c>
      <c r="J11" s="12">
        <f t="shared" si="3"/>
        <v>6.6666666666666693E-2</v>
      </c>
    </row>
    <row r="12" spans="2:10" ht="19.5" customHeight="1" x14ac:dyDescent="0.25">
      <c r="B12" s="8" t="s">
        <v>21</v>
      </c>
      <c r="C12" s="8" t="s">
        <v>22</v>
      </c>
      <c r="D12" s="9">
        <v>60</v>
      </c>
      <c r="E12" s="10">
        <v>48.5</v>
      </c>
      <c r="F12" s="10">
        <v>49.3</v>
      </c>
      <c r="G12" s="13">
        <f t="shared" si="0"/>
        <v>2910</v>
      </c>
      <c r="H12" s="13">
        <f t="shared" si="1"/>
        <v>2958</v>
      </c>
      <c r="I12" s="13">
        <f t="shared" si="2"/>
        <v>48</v>
      </c>
      <c r="J12" s="14">
        <f t="shared" si="3"/>
        <v>1.6494845360824684E-2</v>
      </c>
    </row>
    <row r="13" spans="2:10" ht="19.5" customHeight="1" x14ac:dyDescent="0.25">
      <c r="B13" s="8" t="s">
        <v>23</v>
      </c>
      <c r="C13" s="8" t="s">
        <v>24</v>
      </c>
      <c r="D13" s="9">
        <v>20</v>
      </c>
      <c r="E13" s="10">
        <v>63.2</v>
      </c>
      <c r="F13" s="10">
        <v>59.75</v>
      </c>
      <c r="G13" s="11">
        <f t="shared" si="0"/>
        <v>1264</v>
      </c>
      <c r="H13" s="11">
        <f t="shared" si="1"/>
        <v>1195</v>
      </c>
      <c r="I13" s="11">
        <f t="shared" si="2"/>
        <v>-69</v>
      </c>
      <c r="J13" s="12">
        <f t="shared" si="3"/>
        <v>-5.458860759493675E-2</v>
      </c>
    </row>
    <row r="14" spans="2:10" ht="19.5" customHeight="1" x14ac:dyDescent="0.25">
      <c r="B14" s="8" t="s">
        <v>25</v>
      </c>
      <c r="C14" s="8" t="s">
        <v>26</v>
      </c>
      <c r="D14" s="9">
        <v>18</v>
      </c>
      <c r="E14" s="10">
        <v>41</v>
      </c>
      <c r="F14" s="10">
        <v>44.8</v>
      </c>
      <c r="G14" s="13">
        <f t="shared" si="0"/>
        <v>738</v>
      </c>
      <c r="H14" s="13">
        <f t="shared" si="1"/>
        <v>806.4</v>
      </c>
      <c r="I14" s="13">
        <f t="shared" si="2"/>
        <v>68.399999999999977</v>
      </c>
      <c r="J14" s="14">
        <f t="shared" si="3"/>
        <v>9.2682926829268222E-2</v>
      </c>
    </row>
    <row r="15" spans="2:10" ht="21.75" customHeight="1" x14ac:dyDescent="0.25">
      <c r="B15" s="4" t="s">
        <v>27</v>
      </c>
      <c r="C15" s="4"/>
      <c r="D15" s="4"/>
      <c r="E15" s="4"/>
      <c r="F15" s="4"/>
      <c r="G15" s="15">
        <f>SUM(G9:G14)</f>
        <v>11295</v>
      </c>
      <c r="H15" s="15">
        <f>SUM(H9:H14)</f>
        <v>12184.9</v>
      </c>
      <c r="I15" s="15">
        <f>SUM(I9:I14)</f>
        <v>889.89999999999952</v>
      </c>
      <c r="J15" s="16">
        <f>IFERROR(I15/G15,0)</f>
        <v>7.8787073926516113E-2</v>
      </c>
    </row>
    <row r="16" spans="2:10" ht="7.5" customHeight="1" x14ac:dyDescent="0.25"/>
    <row r="17" spans="2:10" ht="19.5" customHeight="1" x14ac:dyDescent="0.25">
      <c r="B17" s="38" t="s">
        <v>28</v>
      </c>
      <c r="C17" s="38"/>
      <c r="D17" s="38"/>
      <c r="E17" s="38"/>
      <c r="F17" s="38"/>
      <c r="G17" s="38"/>
      <c r="H17" s="38"/>
      <c r="I17" s="38"/>
      <c r="J17" s="38"/>
    </row>
    <row r="18" spans="2:10" ht="21.75" customHeight="1" x14ac:dyDescent="0.25">
      <c r="B18" s="7" t="s">
        <v>6</v>
      </c>
      <c r="C18" s="7" t="s">
        <v>12</v>
      </c>
      <c r="D18" s="7" t="s">
        <v>29</v>
      </c>
      <c r="E18" s="7" t="s">
        <v>30</v>
      </c>
      <c r="F18" s="7" t="s">
        <v>31</v>
      </c>
    </row>
    <row r="19" spans="2:10" ht="18.75" customHeight="1" x14ac:dyDescent="0.25">
      <c r="B19" s="17" t="str">
        <f t="shared" ref="B19:B24" si="4">B9</f>
        <v>Welt-Aktien-ETF</v>
      </c>
      <c r="C19" s="18">
        <f t="shared" ref="C19:C24" si="5">H9</f>
        <v>4560</v>
      </c>
      <c r="D19" s="19">
        <f t="shared" ref="D19:D24" si="6">IFERROR(H9/$H$15,0)</f>
        <v>0.37423368267281637</v>
      </c>
      <c r="E19" s="20">
        <v>0.4</v>
      </c>
      <c r="F19" s="19">
        <f t="shared" ref="F19:F24" si="7">D19-E19</f>
        <v>-2.5766317327183652E-2</v>
      </c>
      <c r="G19" s="21"/>
      <c r="H19" s="21"/>
      <c r="I19" s="21"/>
      <c r="J19" s="21"/>
    </row>
    <row r="20" spans="2:10" ht="18.75" customHeight="1" x14ac:dyDescent="0.25">
      <c r="B20" s="22" t="str">
        <f t="shared" si="4"/>
        <v>Schwellenländer-ETF</v>
      </c>
      <c r="C20" s="23">
        <f t="shared" si="5"/>
        <v>1225.5</v>
      </c>
      <c r="D20" s="24">
        <f t="shared" si="6"/>
        <v>0.1005753022183194</v>
      </c>
      <c r="E20" s="20">
        <v>0.2</v>
      </c>
      <c r="F20" s="24">
        <f t="shared" si="7"/>
        <v>-9.9424697781680615E-2</v>
      </c>
      <c r="G20" s="21"/>
      <c r="H20" s="21"/>
      <c r="I20" s="21"/>
      <c r="J20" s="21"/>
    </row>
    <row r="21" spans="2:10" ht="18.75" customHeight="1" x14ac:dyDescent="0.25">
      <c r="B21" s="17" t="str">
        <f t="shared" si="4"/>
        <v>Europa-Dividenden-ETF</v>
      </c>
      <c r="C21" s="18">
        <f t="shared" si="5"/>
        <v>1440</v>
      </c>
      <c r="D21" s="19">
        <f t="shared" si="6"/>
        <v>0.11817905768615254</v>
      </c>
      <c r="E21" s="20">
        <v>0.15</v>
      </c>
      <c r="F21" s="19">
        <f t="shared" si="7"/>
        <v>-3.1820942313847453E-2</v>
      </c>
      <c r="G21" s="21"/>
      <c r="H21" s="21"/>
      <c r="I21" s="21"/>
      <c r="J21" s="21"/>
    </row>
    <row r="22" spans="2:10" ht="18.75" customHeight="1" x14ac:dyDescent="0.25">
      <c r="B22" s="22" t="str">
        <f t="shared" si="4"/>
        <v>Staatsanleihen-ETF</v>
      </c>
      <c r="C22" s="23">
        <f t="shared" si="5"/>
        <v>2958</v>
      </c>
      <c r="D22" s="24">
        <f t="shared" si="6"/>
        <v>0.24275948099697167</v>
      </c>
      <c r="E22" s="20">
        <v>0.1</v>
      </c>
      <c r="F22" s="24">
        <f t="shared" si="7"/>
        <v>0.14275948099697167</v>
      </c>
      <c r="G22" s="21"/>
      <c r="H22" s="21"/>
      <c r="I22" s="21"/>
      <c r="J22" s="21"/>
    </row>
    <row r="23" spans="2:10" ht="18.75" customHeight="1" x14ac:dyDescent="0.25">
      <c r="B23" s="17" t="str">
        <f t="shared" si="4"/>
        <v>Rohstoff-ETF</v>
      </c>
      <c r="C23" s="18">
        <f t="shared" si="5"/>
        <v>1195</v>
      </c>
      <c r="D23" s="19">
        <f t="shared" si="6"/>
        <v>9.8072204121494644E-2</v>
      </c>
      <c r="E23" s="20">
        <v>0.1</v>
      </c>
      <c r="F23" s="19">
        <f t="shared" si="7"/>
        <v>-1.9277958785053617E-3</v>
      </c>
      <c r="G23" s="21"/>
      <c r="H23" s="21"/>
      <c r="I23" s="21"/>
      <c r="J23" s="21"/>
    </row>
    <row r="24" spans="2:10" ht="18.75" customHeight="1" x14ac:dyDescent="0.25">
      <c r="B24" s="22" t="str">
        <f t="shared" si="4"/>
        <v>Immobilien-ETF (REIT)</v>
      </c>
      <c r="C24" s="23">
        <f t="shared" si="5"/>
        <v>806.4</v>
      </c>
      <c r="D24" s="24">
        <f t="shared" si="6"/>
        <v>6.6180272304245419E-2</v>
      </c>
      <c r="E24" s="20">
        <v>0.05</v>
      </c>
      <c r="F24" s="24">
        <f t="shared" si="7"/>
        <v>1.6180272304245416E-2</v>
      </c>
      <c r="G24" s="21"/>
      <c r="H24" s="21"/>
      <c r="I24" s="21"/>
      <c r="J24" s="21"/>
    </row>
    <row r="25" spans="2:10" ht="7.5" customHeight="1" x14ac:dyDescent="0.25"/>
    <row r="26" spans="2:10" ht="15.75" customHeight="1" x14ac:dyDescent="0.25">
      <c r="B26" s="3" t="s">
        <v>32</v>
      </c>
      <c r="C26" s="3"/>
      <c r="D26" s="3"/>
      <c r="E26" s="3"/>
      <c r="F26" s="3"/>
      <c r="G26" s="3"/>
      <c r="H26" s="3"/>
      <c r="I26" s="3"/>
      <c r="J26" s="3"/>
    </row>
  </sheetData>
  <mergeCells count="13">
    <mergeCell ref="B15:F15"/>
    <mergeCell ref="B17:J17"/>
    <mergeCell ref="B26:J26"/>
    <mergeCell ref="H4:J4"/>
    <mergeCell ref="H5:J5"/>
    <mergeCell ref="B5:C5"/>
    <mergeCell ref="D5:E5"/>
    <mergeCell ref="F5:G5"/>
    <mergeCell ref="B7:J7"/>
    <mergeCell ref="B2:J2"/>
    <mergeCell ref="B4:C4"/>
    <mergeCell ref="D4:E4"/>
    <mergeCell ref="F4:G4"/>
  </mergeCells>
  <pageMargins left="0.75" right="0.75" top="1" bottom="1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4845A"/>
    <pageSetUpPr fitToPage="1"/>
  </sheetPr>
  <dimension ref="B2:H1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1.5703125" customWidth="1"/>
    <col min="2" max="2" width="12" customWidth="1"/>
    <col min="3" max="3" width="26" customWidth="1"/>
    <col min="4" max="4" width="10" customWidth="1"/>
    <col min="5" max="5" width="9" customWidth="1"/>
    <col min="6" max="7" width="11" customWidth="1"/>
    <col min="8" max="8" width="14" customWidth="1"/>
    <col min="9" max="9" width="1.5703125" customWidth="1"/>
  </cols>
  <sheetData>
    <row r="2" spans="2:8" ht="31.5" customHeight="1" x14ac:dyDescent="0.25">
      <c r="B2" s="6" t="s">
        <v>33</v>
      </c>
      <c r="C2" s="6"/>
      <c r="D2" s="6"/>
      <c r="E2" s="6"/>
      <c r="F2" s="6"/>
      <c r="G2" s="6"/>
      <c r="H2" s="6"/>
    </row>
    <row r="3" spans="2:8" ht="6" customHeight="1" x14ac:dyDescent="0.25"/>
    <row r="4" spans="2:8" ht="21.75" customHeight="1" x14ac:dyDescent="0.25">
      <c r="B4" s="7" t="s">
        <v>34</v>
      </c>
      <c r="C4" s="7" t="s">
        <v>6</v>
      </c>
      <c r="D4" s="7" t="s">
        <v>35</v>
      </c>
      <c r="E4" s="7" t="s">
        <v>8</v>
      </c>
      <c r="F4" s="7" t="s">
        <v>36</v>
      </c>
      <c r="G4" s="7" t="s">
        <v>37</v>
      </c>
      <c r="H4" s="7" t="s">
        <v>38</v>
      </c>
    </row>
    <row r="5" spans="2:8" ht="18.75" customHeight="1" x14ac:dyDescent="0.25">
      <c r="B5" s="25" t="s">
        <v>39</v>
      </c>
      <c r="C5" s="26" t="s">
        <v>15</v>
      </c>
      <c r="D5" s="26" t="s">
        <v>40</v>
      </c>
      <c r="E5" s="9">
        <v>20</v>
      </c>
      <c r="F5" s="10">
        <v>76.5</v>
      </c>
      <c r="G5" s="10">
        <v>1.5</v>
      </c>
      <c r="H5" s="11">
        <f t="shared" ref="H5:H16" si="0">IF(E5=0,G5,E5*F5+G5)</f>
        <v>1531.5</v>
      </c>
    </row>
    <row r="6" spans="2:8" ht="18.75" customHeight="1" x14ac:dyDescent="0.25">
      <c r="B6" s="25" t="s">
        <v>41</v>
      </c>
      <c r="C6" s="26" t="s">
        <v>21</v>
      </c>
      <c r="D6" s="26" t="s">
        <v>40</v>
      </c>
      <c r="E6" s="9">
        <v>30</v>
      </c>
      <c r="F6" s="10">
        <v>48.1</v>
      </c>
      <c r="G6" s="10">
        <v>1.5</v>
      </c>
      <c r="H6" s="13">
        <f t="shared" si="0"/>
        <v>1444.5</v>
      </c>
    </row>
    <row r="7" spans="2:8" ht="18.75" customHeight="1" x14ac:dyDescent="0.25">
      <c r="B7" s="25" t="s">
        <v>42</v>
      </c>
      <c r="C7" s="26" t="s">
        <v>15</v>
      </c>
      <c r="D7" s="26" t="s">
        <v>40</v>
      </c>
      <c r="E7" s="9">
        <v>15</v>
      </c>
      <c r="F7" s="10">
        <v>79.2</v>
      </c>
      <c r="G7" s="10">
        <v>1.5</v>
      </c>
      <c r="H7" s="11">
        <f t="shared" si="0"/>
        <v>1189.5</v>
      </c>
    </row>
    <row r="8" spans="2:8" ht="18.75" customHeight="1" x14ac:dyDescent="0.25">
      <c r="B8" s="25" t="s">
        <v>43</v>
      </c>
      <c r="C8" s="26" t="s">
        <v>17</v>
      </c>
      <c r="D8" s="26" t="s">
        <v>40</v>
      </c>
      <c r="E8" s="9">
        <v>20</v>
      </c>
      <c r="F8" s="10">
        <v>36.9</v>
      </c>
      <c r="G8" s="10">
        <v>1.5</v>
      </c>
      <c r="H8" s="13">
        <f t="shared" si="0"/>
        <v>739.5</v>
      </c>
    </row>
    <row r="9" spans="2:8" ht="18.75" customHeight="1" x14ac:dyDescent="0.25">
      <c r="B9" s="25" t="s">
        <v>44</v>
      </c>
      <c r="C9" s="26" t="s">
        <v>19</v>
      </c>
      <c r="D9" s="26" t="s">
        <v>40</v>
      </c>
      <c r="E9" s="9">
        <v>15</v>
      </c>
      <c r="F9" s="10">
        <v>53.4</v>
      </c>
      <c r="G9" s="10">
        <v>1.5</v>
      </c>
      <c r="H9" s="11">
        <f t="shared" si="0"/>
        <v>802.5</v>
      </c>
    </row>
    <row r="10" spans="2:8" ht="18.75" customHeight="1" x14ac:dyDescent="0.25">
      <c r="B10" s="25" t="s">
        <v>45</v>
      </c>
      <c r="C10" s="26" t="s">
        <v>23</v>
      </c>
      <c r="D10" s="26" t="s">
        <v>40</v>
      </c>
      <c r="E10" s="9">
        <v>10</v>
      </c>
      <c r="F10" s="10">
        <v>64</v>
      </c>
      <c r="G10" s="10">
        <v>2</v>
      </c>
      <c r="H10" s="13">
        <f t="shared" si="0"/>
        <v>642</v>
      </c>
    </row>
    <row r="11" spans="2:8" ht="18.75" customHeight="1" x14ac:dyDescent="0.25">
      <c r="B11" s="25" t="s">
        <v>46</v>
      </c>
      <c r="C11" s="26" t="s">
        <v>15</v>
      </c>
      <c r="D11" s="26" t="s">
        <v>40</v>
      </c>
      <c r="E11" s="9">
        <v>15</v>
      </c>
      <c r="F11" s="10">
        <v>81.099999999999994</v>
      </c>
      <c r="G11" s="10">
        <v>1.5</v>
      </c>
      <c r="H11" s="11">
        <f t="shared" si="0"/>
        <v>1218</v>
      </c>
    </row>
    <row r="12" spans="2:8" ht="18.75" customHeight="1" x14ac:dyDescent="0.25">
      <c r="B12" s="25" t="s">
        <v>47</v>
      </c>
      <c r="C12" s="26" t="s">
        <v>25</v>
      </c>
      <c r="D12" s="26" t="s">
        <v>40</v>
      </c>
      <c r="E12" s="9">
        <v>18</v>
      </c>
      <c r="F12" s="10">
        <v>41</v>
      </c>
      <c r="G12" s="10">
        <v>1.5</v>
      </c>
      <c r="H12" s="13">
        <f t="shared" si="0"/>
        <v>739.5</v>
      </c>
    </row>
    <row r="13" spans="2:8" ht="18.75" customHeight="1" x14ac:dyDescent="0.25">
      <c r="B13" s="25" t="s">
        <v>48</v>
      </c>
      <c r="C13" s="26" t="s">
        <v>17</v>
      </c>
      <c r="D13" s="26" t="s">
        <v>40</v>
      </c>
      <c r="E13" s="9">
        <v>10</v>
      </c>
      <c r="F13" s="10">
        <v>37.799999999999997</v>
      </c>
      <c r="G13" s="10">
        <v>1.5</v>
      </c>
      <c r="H13" s="11">
        <f t="shared" si="0"/>
        <v>379.5</v>
      </c>
    </row>
    <row r="14" spans="2:8" ht="18.75" customHeight="1" x14ac:dyDescent="0.25">
      <c r="B14" s="25" t="s">
        <v>49</v>
      </c>
      <c r="C14" s="26" t="s">
        <v>19</v>
      </c>
      <c r="D14" s="26" t="s">
        <v>50</v>
      </c>
      <c r="E14" s="9">
        <v>0</v>
      </c>
      <c r="F14" s="10">
        <v>41.25</v>
      </c>
      <c r="G14" s="10">
        <v>0</v>
      </c>
      <c r="H14" s="13">
        <f t="shared" si="0"/>
        <v>0</v>
      </c>
    </row>
    <row r="15" spans="2:8" ht="18.75" customHeight="1" x14ac:dyDescent="0.25">
      <c r="B15" s="25" t="s">
        <v>51</v>
      </c>
      <c r="C15" s="26" t="s">
        <v>21</v>
      </c>
      <c r="D15" s="26" t="s">
        <v>40</v>
      </c>
      <c r="E15" s="9">
        <v>30</v>
      </c>
      <c r="F15" s="10">
        <v>48.6</v>
      </c>
      <c r="G15" s="10">
        <v>1.5</v>
      </c>
      <c r="H15" s="11">
        <f t="shared" si="0"/>
        <v>1459.5</v>
      </c>
    </row>
    <row r="16" spans="2:8" ht="18.75" customHeight="1" x14ac:dyDescent="0.25">
      <c r="B16" s="25" t="s">
        <v>52</v>
      </c>
      <c r="C16" s="26" t="s">
        <v>25</v>
      </c>
      <c r="D16" s="26" t="s">
        <v>50</v>
      </c>
      <c r="E16" s="9">
        <v>0</v>
      </c>
      <c r="F16" s="10">
        <v>37.4</v>
      </c>
      <c r="G16" s="10">
        <v>0</v>
      </c>
      <c r="H16" s="13">
        <f t="shared" si="0"/>
        <v>0</v>
      </c>
    </row>
    <row r="18" spans="2:8" ht="21.75" customHeight="1" x14ac:dyDescent="0.25">
      <c r="B18" s="2" t="s">
        <v>53</v>
      </c>
      <c r="C18" s="2"/>
      <c r="D18" s="2"/>
      <c r="E18" s="2"/>
      <c r="F18" s="2"/>
      <c r="G18" s="2"/>
      <c r="H18" s="27">
        <f>SUMIF(D5:D17,"Kauf",H5:H17)</f>
        <v>10146</v>
      </c>
    </row>
  </sheetData>
  <mergeCells count="2">
    <mergeCell ref="B2:H2"/>
    <mergeCell ref="B18:G18"/>
  </mergeCells>
  <pageMargins left="0.75" right="0.75" top="1" bottom="1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D2B1F"/>
    <pageSetUpPr fitToPage="1"/>
  </sheetPr>
  <dimension ref="B2:E38"/>
  <sheetViews>
    <sheetView showGridLines="0" zoomScaleNormal="100" workbookViewId="0">
      <pane xSplit="1" ySplit="18" topLeftCell="B19" activePane="bottomRight" state="frozen"/>
      <selection pane="topRight" activeCell="B1" sqref="B1"/>
      <selection pane="bottomLeft" activeCell="A19" sqref="A19"/>
      <selection pane="bottomRight"/>
    </sheetView>
  </sheetViews>
  <sheetFormatPr baseColWidth="10" defaultColWidth="8.7109375" defaultRowHeight="15" x14ac:dyDescent="0.25"/>
  <cols>
    <col min="1" max="1" width="1.5703125" customWidth="1"/>
    <col min="2" max="2" width="30" customWidth="1"/>
    <col min="3" max="5" width="16" customWidth="1"/>
    <col min="6" max="6" width="1.5703125" customWidth="1"/>
  </cols>
  <sheetData>
    <row r="2" spans="2:5" ht="31.5" customHeight="1" x14ac:dyDescent="0.25">
      <c r="B2" s="6" t="s">
        <v>54</v>
      </c>
      <c r="C2" s="6"/>
      <c r="D2" s="6"/>
      <c r="E2" s="6"/>
    </row>
    <row r="3" spans="2:5" ht="6" customHeight="1" x14ac:dyDescent="0.25"/>
    <row r="4" spans="2:5" ht="24" customHeight="1" x14ac:dyDescent="0.25">
      <c r="B4" s="1" t="s">
        <v>55</v>
      </c>
      <c r="C4" s="1"/>
      <c r="D4" s="28">
        <v>300</v>
      </c>
    </row>
    <row r="5" spans="2:5" ht="24" customHeight="1" x14ac:dyDescent="0.25">
      <c r="B5" s="1" t="s">
        <v>56</v>
      </c>
      <c r="C5" s="1"/>
      <c r="D5" s="28">
        <v>5000</v>
      </c>
    </row>
    <row r="6" spans="2:5" ht="24" customHeight="1" x14ac:dyDescent="0.25">
      <c r="B6" s="1" t="s">
        <v>57</v>
      </c>
      <c r="C6" s="1"/>
      <c r="D6" s="29">
        <v>7.0000000000000007E-2</v>
      </c>
    </row>
    <row r="7" spans="2:5" ht="24" customHeight="1" x14ac:dyDescent="0.25">
      <c r="B7" s="1" t="s">
        <v>58</v>
      </c>
      <c r="C7" s="1"/>
      <c r="D7" s="29">
        <v>2.5000000000000001E-3</v>
      </c>
    </row>
    <row r="8" spans="2:5" ht="24" customHeight="1" x14ac:dyDescent="0.25">
      <c r="B8" s="1" t="s">
        <v>59</v>
      </c>
      <c r="C8" s="1"/>
      <c r="D8" s="30">
        <v>20</v>
      </c>
    </row>
    <row r="9" spans="2:5" ht="7.5" customHeight="1" x14ac:dyDescent="0.25"/>
    <row r="10" spans="2:5" ht="19.5" customHeight="1" x14ac:dyDescent="0.25">
      <c r="B10" s="5" t="s">
        <v>60</v>
      </c>
      <c r="C10" s="5"/>
      <c r="D10" s="5"/>
      <c r="E10" s="5"/>
    </row>
    <row r="11" spans="2:5" ht="24" customHeight="1" x14ac:dyDescent="0.25">
      <c r="B11" s="1" t="s">
        <v>61</v>
      </c>
      <c r="C11" s="1"/>
      <c r="D11" s="31">
        <f>D6-D7</f>
        <v>6.7500000000000004E-2</v>
      </c>
    </row>
    <row r="12" spans="2:5" ht="24" customHeight="1" x14ac:dyDescent="0.25">
      <c r="B12" s="1" t="s">
        <v>62</v>
      </c>
      <c r="C12" s="1"/>
      <c r="D12" s="32">
        <f>D5+D4*12*D8</f>
        <v>77000</v>
      </c>
    </row>
    <row r="13" spans="2:5" ht="24" customHeight="1" x14ac:dyDescent="0.25">
      <c r="B13" s="1" t="s">
        <v>63</v>
      </c>
      <c r="C13" s="1"/>
      <c r="D13" s="33">
        <f>D5*(1+D6-D7)^D8+D4*12*((1+((D6-D7)/12))^(D8*12)-1)/((D6-D7)/12)</f>
        <v>1837895.5191693937</v>
      </c>
    </row>
    <row r="14" spans="2:5" ht="24" customHeight="1" x14ac:dyDescent="0.25">
      <c r="B14" s="1" t="s">
        <v>64</v>
      </c>
      <c r="C14" s="1"/>
      <c r="D14" s="32">
        <f>D13-D12</f>
        <v>1760895.5191693937</v>
      </c>
    </row>
    <row r="15" spans="2:5" ht="24" customHeight="1" x14ac:dyDescent="0.25">
      <c r="B15" s="1" t="s">
        <v>65</v>
      </c>
      <c r="C15" s="1"/>
      <c r="D15" s="34">
        <f>IFERROR(D13/D12,0)</f>
        <v>23.868772976225891</v>
      </c>
    </row>
    <row r="16" spans="2:5" ht="7.5" customHeight="1" x14ac:dyDescent="0.25"/>
    <row r="17" spans="2:5" ht="19.5" customHeight="1" x14ac:dyDescent="0.25">
      <c r="B17" s="5" t="s">
        <v>66</v>
      </c>
      <c r="C17" s="5"/>
      <c r="D17" s="5"/>
      <c r="E17" s="5"/>
    </row>
    <row r="18" spans="2:5" ht="21.75" customHeight="1" x14ac:dyDescent="0.25">
      <c r="B18" s="7" t="s">
        <v>67</v>
      </c>
      <c r="C18" s="7" t="s">
        <v>68</v>
      </c>
      <c r="D18" s="7" t="s">
        <v>69</v>
      </c>
      <c r="E18" s="7" t="s">
        <v>1</v>
      </c>
    </row>
    <row r="19" spans="2:5" ht="18" customHeight="1" x14ac:dyDescent="0.25">
      <c r="B19" s="35">
        <v>1</v>
      </c>
      <c r="C19" s="18">
        <f>$D$5+$D$4*12*1</f>
        <v>8600</v>
      </c>
      <c r="D19" s="18">
        <f>$D$5*(1+(D6-D7))^1+$D$4*12*((1+((D6-D7)/12))^(1*12)-1)/((D6-D7)/12)-($D$5+$D$4*12*1)</f>
        <v>41299.379405957392</v>
      </c>
      <c r="E19" s="18">
        <f>$D$5*(1+(D6-D7))^1+$D$4*12*((1+((D6-D7)/12))^(1*12)-1)/((D6-D7)/12)</f>
        <v>49899.379405957392</v>
      </c>
    </row>
    <row r="20" spans="2:5" ht="18" customHeight="1" x14ac:dyDescent="0.25">
      <c r="B20" s="36">
        <v>2</v>
      </c>
      <c r="C20" s="23">
        <f>$D$5+$D$4*12*2</f>
        <v>12200</v>
      </c>
      <c r="D20" s="23">
        <f>$D$5*(1+(D6-D7))^2+$D$4*12*((1+((D6-D7)/12))^(2*12)-1)/((D6-D7)/12)-($D$5+$D$4*12*2)</f>
        <v>85724.291774713347</v>
      </c>
      <c r="E20" s="23">
        <f>$D$5*(1+(D6-D7))^2+$D$4*12*((1+((D6-D7)/12))^(2*12)-1)/((D6-D7)/12)</f>
        <v>97924.291774713347</v>
      </c>
    </row>
    <row r="21" spans="2:5" ht="18" customHeight="1" x14ac:dyDescent="0.25">
      <c r="B21" s="35">
        <v>3</v>
      </c>
      <c r="C21" s="18">
        <f>$D$5+$D$4*12*3</f>
        <v>15800</v>
      </c>
      <c r="D21" s="18">
        <f>$D$5*(1+(D6-D7))^3+$D$4*12*((1+((D6-D7)/12))^(3*12)-1)/((D6-D7)/12)-($D$5+$D$4*12*3)</f>
        <v>133492.31304009963</v>
      </c>
      <c r="E21" s="18">
        <f>$D$5*(1+(D6-D7))^3+$D$4*12*((1+((D6-D7)/12))^(3*12)-1)/((D6-D7)/12)</f>
        <v>149292.31304009963</v>
      </c>
    </row>
    <row r="22" spans="2:5" ht="18" customHeight="1" x14ac:dyDescent="0.25">
      <c r="B22" s="36">
        <v>4</v>
      </c>
      <c r="C22" s="23">
        <f>$D$5+$D$4*12*4</f>
        <v>19400</v>
      </c>
      <c r="D22" s="23">
        <f>$D$5*(1+(D6-D7))^4+$D$4*12*((1+((D6-D7)/12))^(4*12)-1)/((D6-D7)/12)-($D$5+$D$4*12*4)</f>
        <v>184836.16522706716</v>
      </c>
      <c r="E22" s="23">
        <f>$D$5*(1+(D6-D7))^4+$D$4*12*((1+((D6-D7)/12))^(4*12)-1)/((D6-D7)/12)</f>
        <v>204236.16522706716</v>
      </c>
    </row>
    <row r="23" spans="2:5" ht="18" customHeight="1" x14ac:dyDescent="0.25">
      <c r="B23" s="35">
        <v>5</v>
      </c>
      <c r="C23" s="18">
        <f>$D$5+$D$4*12*5</f>
        <v>23000</v>
      </c>
      <c r="D23" s="18">
        <f>$D$5*(1+(D6-D7))^5+$D$4*12*((1+((D6-D7)/12))^(5*12)-1)/((D6-D7)/12)-($D$5+$D$4*12*5)</f>
        <v>240004.7708218848</v>
      </c>
      <c r="E23" s="18">
        <f>$D$5*(1+(D6-D7))^5+$D$4*12*((1+((D6-D7)/12))^(5*12)-1)/((D6-D7)/12)</f>
        <v>263004.7708218848</v>
      </c>
    </row>
    <row r="24" spans="2:5" ht="18" customHeight="1" x14ac:dyDescent="0.25">
      <c r="B24" s="36">
        <v>6</v>
      </c>
      <c r="C24" s="23">
        <f>$D$5+$D$4*12*6</f>
        <v>26600</v>
      </c>
      <c r="D24" s="23">
        <f>$D$5*(1+(D6-D7))^6+$D$4*12*((1+((D6-D7)/12))^(6*12)-1)/((D6-D7)/12)-($D$5+$D$4*12*6)</f>
        <v>299264.38054104784</v>
      </c>
      <c r="E24" s="23">
        <f>$D$5*(1+(D6-D7))^6+$D$4*12*((1+((D6-D7)/12))^(6*12)-1)/((D6-D7)/12)</f>
        <v>325864.38054104784</v>
      </c>
    </row>
    <row r="25" spans="2:5" ht="18" customHeight="1" x14ac:dyDescent="0.25">
      <c r="B25" s="35">
        <v>7</v>
      </c>
      <c r="C25" s="18">
        <f>$D$5+$D$4*12*7</f>
        <v>30200</v>
      </c>
      <c r="D25" s="18">
        <f>$D$5*(1+(D6-D7))^7+$D$4*12*((1+((D6-D7)/12))^(7*12)-1)/((D6-D7)/12)-($D$5+$D$4*12*7)</f>
        <v>362899.77960849833</v>
      </c>
      <c r="E25" s="18">
        <f>$D$5*(1+(D6-D7))^7+$D$4*12*((1+((D6-D7)/12))^(7*12)-1)/((D6-D7)/12)</f>
        <v>393099.77960849833</v>
      </c>
    </row>
    <row r="26" spans="2:5" ht="18" customHeight="1" x14ac:dyDescent="0.25">
      <c r="B26" s="36">
        <v>8</v>
      </c>
      <c r="C26" s="23">
        <f>$D$5+$D$4*12*8</f>
        <v>33800</v>
      </c>
      <c r="D26" s="23">
        <f>$D$5*(1+(D6-D7))^8+$D$4*12*((1+((D6-D7)/12))^(8*12)-1)/((D6-D7)/12)-($D$5+$D$4*12*8)</f>
        <v>431215.57800644409</v>
      </c>
      <c r="E26" s="23">
        <f>$D$5*(1+(D6-D7))^8+$D$4*12*((1+((D6-D7)/12))^(8*12)-1)/((D6-D7)/12)</f>
        <v>465015.57800644409</v>
      </c>
    </row>
    <row r="27" spans="2:5" ht="18" customHeight="1" x14ac:dyDescent="0.25">
      <c r="B27" s="35">
        <v>9</v>
      </c>
      <c r="C27" s="18">
        <f>$D$5+$D$4*12*9</f>
        <v>37400</v>
      </c>
      <c r="D27" s="18">
        <f>$D$5*(1+(D6-D7))^9+$D$4*12*((1+((D6-D7)/12))^(9*12)-1)/((D6-D7)/12)-($D$5+$D$4*12*9)</f>
        <v>504537.59054554661</v>
      </c>
      <c r="E27" s="18">
        <f>$D$5*(1+(D6-D7))^9+$D$4*12*((1+((D6-D7)/12))^(9*12)-1)/((D6-D7)/12)</f>
        <v>541937.59054554661</v>
      </c>
    </row>
    <row r="28" spans="2:5" ht="18" customHeight="1" x14ac:dyDescent="0.25">
      <c r="B28" s="36">
        <v>10</v>
      </c>
      <c r="C28" s="23">
        <f>$D$5+$D$4*12*10</f>
        <v>41000</v>
      </c>
      <c r="D28" s="23">
        <f>$D$5*(1+(D6-D7))^10+$D$4*12*((1+((D6-D7)/12))^(10*12)-1)/((D6-D7)/12)-($D$5+$D$4*12*10)</f>
        <v>583214.31300718687</v>
      </c>
      <c r="E28" s="23">
        <f>$D$5*(1+(D6-D7))^10+$D$4*12*((1+((D6-D7)/12))^(10*12)-1)/((D6-D7)/12)</f>
        <v>624214.31300718687</v>
      </c>
    </row>
    <row r="29" spans="2:5" ht="18" customHeight="1" x14ac:dyDescent="0.25">
      <c r="B29" s="35">
        <v>11</v>
      </c>
      <c r="C29" s="18">
        <f>$D$5+$D$4*12*11</f>
        <v>44600</v>
      </c>
      <c r="D29" s="18">
        <f>$D$5*(1+(D6-D7))^11+$D$4*12*((1+((D6-D7)/12))^(11*12)-1)/((D6-D7)/12)-($D$5+$D$4*12*11)</f>
        <v>667618.50104580517</v>
      </c>
      <c r="E29" s="18">
        <f>$D$5*(1+(D6-D7))^11+$D$4*12*((1+((D6-D7)/12))^(11*12)-1)/((D6-D7)/12)</f>
        <v>712218.50104580517</v>
      </c>
    </row>
    <row r="30" spans="2:5" ht="18" customHeight="1" x14ac:dyDescent="0.25">
      <c r="B30" s="36">
        <v>12</v>
      </c>
      <c r="C30" s="23">
        <f>$D$5+$D$4*12*12</f>
        <v>48200</v>
      </c>
      <c r="D30" s="23">
        <f>$D$5*(1+(D6-D7))^12+$D$4*12*((1+((D6-D7)/12))^(12*12)-1)/((D6-D7)/12)-($D$5+$D$4*12*12)</f>
        <v>758148.85900488845</v>
      </c>
      <c r="E30" s="23">
        <f>$D$5*(1+(D6-D7))^12+$D$4*12*((1+((D6-D7)/12))^(12*12)-1)/((D6-D7)/12)</f>
        <v>806348.85900488845</v>
      </c>
    </row>
    <row r="31" spans="2:5" ht="18" customHeight="1" x14ac:dyDescent="0.25">
      <c r="B31" s="35">
        <v>13</v>
      </c>
      <c r="C31" s="18">
        <f>$D$5+$D$4*12*13</f>
        <v>51800</v>
      </c>
      <c r="D31" s="18">
        <f>$D$5*(1+(D6-D7))^13+$D$4*12*((1+((D6-D7)/12))^(13*12)-1)/((D6-D7)/12)-($D$5+$D$4*12*13)</f>
        <v>855231.84629817866</v>
      </c>
      <c r="E31" s="18">
        <f>$D$5*(1+(D6-D7))^13+$D$4*12*((1+((D6-D7)/12))^(13*12)-1)/((D6-D7)/12)</f>
        <v>907031.84629817866</v>
      </c>
    </row>
    <row r="32" spans="2:5" ht="18" customHeight="1" x14ac:dyDescent="0.25">
      <c r="B32" s="36">
        <v>14</v>
      </c>
      <c r="C32" s="23">
        <f>$D$5+$D$4*12*14</f>
        <v>55400</v>
      </c>
      <c r="D32" s="23">
        <f>$D$5*(1+(D6-D7))^14+$D$4*12*((1+((D6-D7)/12))^(14*12)-1)/((D6-D7)/12)-($D$5+$D$4*12*14)</f>
        <v>959323.60954033688</v>
      </c>
      <c r="E32" s="23">
        <f>$D$5*(1+(D6-D7))^14+$D$4*12*((1+((D6-D7)/12))^(14*12)-1)/((D6-D7)/12)</f>
        <v>1014723.6095403369</v>
      </c>
    </row>
    <row r="33" spans="2:5" ht="18" customHeight="1" x14ac:dyDescent="0.25">
      <c r="B33" s="35">
        <v>15</v>
      </c>
      <c r="C33" s="18">
        <f>$D$5+$D$4*12*15</f>
        <v>59000</v>
      </c>
      <c r="D33" s="18">
        <f>$D$5*(1+(D6-D7))^15+$D$4*12*((1+((D6-D7)/12))^(15*12)-1)/((D6-D7)/12)-($D$5+$D$4*12*15)</f>
        <v>1070912.0491810404</v>
      </c>
      <c r="E33" s="18">
        <f>$D$5*(1+(D6-D7))^15+$D$4*12*((1+((D6-D7)/12))^(15*12)-1)/((D6-D7)/12)</f>
        <v>1129912.0491810404</v>
      </c>
    </row>
    <row r="34" spans="2:5" ht="18" customHeight="1" x14ac:dyDescent="0.25">
      <c r="B34" s="36">
        <v>16</v>
      </c>
      <c r="C34" s="23">
        <f>$D$5+$D$4*12*16</f>
        <v>62600</v>
      </c>
      <c r="D34" s="23">
        <f>$D$5*(1+(D6-D7))^16+$D$4*12*((1+((D6-D7)/12))^(16*12)-1)/((D6-D7)/12)-($D$5+$D$4*12*16)</f>
        <v>1190519.0300058958</v>
      </c>
      <c r="E34" s="23">
        <f>$D$5*(1+(D6-D7))^16+$D$4*12*((1+((D6-D7)/12))^(16*12)-1)/((D6-D7)/12)</f>
        <v>1253119.0300058958</v>
      </c>
    </row>
    <row r="35" spans="2:5" ht="18" customHeight="1" x14ac:dyDescent="0.25">
      <c r="B35" s="35">
        <v>17</v>
      </c>
      <c r="C35" s="18">
        <f>$D$5+$D$4*12*17</f>
        <v>66200</v>
      </c>
      <c r="D35" s="18">
        <f>$D$5*(1+(D6-D7))^17+$D$4*12*((1+((D6-D7)/12))^(17*12)-1)/((D6-D7)/12)-($D$5+$D$4*12*17)</f>
        <v>1318702.7455193875</v>
      </c>
      <c r="E35" s="18">
        <f>$D$5*(1+(D6-D7))^17+$D$4*12*((1+((D6-D7)/12))^(17*12)-1)/((D6-D7)/12)</f>
        <v>1384902.7455193875</v>
      </c>
    </row>
    <row r="36" spans="2:5" ht="18" customHeight="1" x14ac:dyDescent="0.25">
      <c r="B36" s="36">
        <v>18</v>
      </c>
      <c r="C36" s="23">
        <f>$D$5+$D$4*12*18</f>
        <v>69800</v>
      </c>
      <c r="D36" s="23">
        <f>$D$5*(1+(D6-D7))^18+$D$4*12*((1+((D6-D7)/12))^(18*12)-1)/((D6-D7)/12)-($D$5+$D$4*12*18)</f>
        <v>1456060.2469222811</v>
      </c>
      <c r="E36" s="23">
        <f>$D$5*(1+(D6-D7))^18+$D$4*12*((1+((D6-D7)/12))^(18*12)-1)/((D6-D7)/12)</f>
        <v>1525860.2469222811</v>
      </c>
    </row>
    <row r="37" spans="2:5" ht="18" customHeight="1" x14ac:dyDescent="0.25">
      <c r="B37" s="35">
        <v>19</v>
      </c>
      <c r="C37" s="18">
        <f>$D$5+$D$4*12*19</f>
        <v>73400</v>
      </c>
      <c r="D37" s="18">
        <f>$D$5*(1+(D6-D7))^19+$D$4*12*((1+((D6-D7)/12))^(19*12)-1)/((D6-D7)/12)-($D$5+$D$4*12*19)</f>
        <v>1603230.148141657</v>
      </c>
      <c r="E37" s="18">
        <f>$D$5*(1+(D6-D7))^19+$D$4*12*((1+((D6-D7)/12))^(19*12)-1)/((D6-D7)/12)</f>
        <v>1676630.148141657</v>
      </c>
    </row>
    <row r="38" spans="2:5" ht="18" customHeight="1" x14ac:dyDescent="0.25">
      <c r="B38" s="36">
        <v>20</v>
      </c>
      <c r="C38" s="23">
        <f>$D$5+$D$4*12*20</f>
        <v>77000</v>
      </c>
      <c r="D38" s="23">
        <f>$D$5*(1+(D6-D7))^20+$D$4*12*((1+((D6-D7)/12))^(20*12)-1)/((D6-D7)/12)-($D$5+$D$4*12*20)</f>
        <v>1760895.5191693935</v>
      </c>
      <c r="E38" s="23">
        <f>$D$5*(1+(D6-D7))^20+$D$4*12*((1+((D6-D7)/12))^(20*12)-1)/((D6-D7)/12)</f>
        <v>1837895.5191693935</v>
      </c>
    </row>
  </sheetData>
  <mergeCells count="13">
    <mergeCell ref="B14:C14"/>
    <mergeCell ref="B15:C15"/>
    <mergeCell ref="B17:E17"/>
    <mergeCell ref="B8:C8"/>
    <mergeCell ref="B10:E10"/>
    <mergeCell ref="B11:C11"/>
    <mergeCell ref="B12:C12"/>
    <mergeCell ref="B13:C13"/>
    <mergeCell ref="B2:E2"/>
    <mergeCell ref="B4:C4"/>
    <mergeCell ref="B5:C5"/>
    <mergeCell ref="B6:C6"/>
    <mergeCell ref="B7:C7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Depot</vt:lpstr>
      <vt:lpstr>Transaktionen</vt:lpstr>
      <vt:lpstr>Sparplan-Rechner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2026-05-26T05:24:28Z</dcterms:created>
  <dcterms:modified xsi:type="dcterms:W3CDTF">2026-05-26T05:34:11Z</dcterms:modified>
  <dc:language>en-US</dc:language>
</cp:coreProperties>
</file>