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Generador\"/>
    </mc:Choice>
  </mc:AlternateContent>
  <xr:revisionPtr revIDLastSave="0" documentId="13_ncr:1_{CEDC39A6-FE3D-4B62-BECD-573474FE4A9A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Dienstplan" sheetId="1" r:id="rId1"/>
    <sheet name="Einstellungen" sheetId="2" r:id="rId2"/>
    <sheet name="Auswertung" sheetId="3" r:id="rId3"/>
  </sheets>
  <definedNames>
    <definedName name="Feiertage">Einstellungen!$J$7:$J$17</definedName>
    <definedName name="Schichtcodes">Einstellungen!$B$18:$B$25</definedName>
    <definedName name="Schichttabelle">Einstellungen!$B$18:$F$25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J7" i="1" l="1" a="1"/>
  <c r="AJ7" i="1" s="1"/>
  <c r="D13" i="3" s="1"/>
  <c r="AJ8" i="1" a="1"/>
  <c r="AJ8" i="1" s="1"/>
  <c r="D14" i="3" s="1"/>
  <c r="AJ9" i="1" a="1"/>
  <c r="AJ9" i="1" s="1"/>
  <c r="D15" i="3" s="1"/>
  <c r="AJ10" i="1" a="1"/>
  <c r="AJ10" i="1" s="1"/>
  <c r="D16" i="3" s="1"/>
  <c r="AJ11" i="1" a="1"/>
  <c r="AJ11" i="1" s="1"/>
  <c r="D17" i="3" s="1"/>
  <c r="AJ12" i="1" a="1"/>
  <c r="AJ12" i="1" s="1"/>
  <c r="D18" i="3" s="1"/>
  <c r="AJ13" i="1" a="1"/>
  <c r="AJ13" i="1" s="1"/>
  <c r="D19" i="3" s="1"/>
  <c r="AJ6" i="1" a="1"/>
  <c r="AJ6" i="1" s="1"/>
  <c r="D31" i="3"/>
  <c r="E31" i="3" s="1"/>
  <c r="D30" i="3"/>
  <c r="E30" i="3" s="1"/>
  <c r="D29" i="3"/>
  <c r="E29" i="3" s="1"/>
  <c r="D28" i="3"/>
  <c r="E28" i="3" s="1"/>
  <c r="D27" i="3"/>
  <c r="E27" i="3" s="1"/>
  <c r="D26" i="3"/>
  <c r="E26" i="3" s="1"/>
  <c r="D25" i="3"/>
  <c r="E25" i="3" s="1"/>
  <c r="D24" i="3"/>
  <c r="E24" i="3" s="1"/>
  <c r="E19" i="3"/>
  <c r="C19" i="3"/>
  <c r="B19" i="3"/>
  <c r="E18" i="3"/>
  <c r="C18" i="3"/>
  <c r="B18" i="3"/>
  <c r="E17" i="3"/>
  <c r="C17" i="3"/>
  <c r="B17" i="3"/>
  <c r="E16" i="3"/>
  <c r="C16" i="3"/>
  <c r="B16" i="3"/>
  <c r="E15" i="3"/>
  <c r="C15" i="3"/>
  <c r="B15" i="3"/>
  <c r="E14" i="3"/>
  <c r="C14" i="3"/>
  <c r="B14" i="3"/>
  <c r="E13" i="3"/>
  <c r="C13" i="3"/>
  <c r="B13" i="3"/>
  <c r="E12" i="3"/>
  <c r="C12" i="3"/>
  <c r="B12" i="3"/>
  <c r="B7" i="3"/>
  <c r="C14" i="2"/>
  <c r="E12" i="2"/>
  <c r="AO13" i="1"/>
  <c r="AN13" i="1"/>
  <c r="AM13" i="1"/>
  <c r="AL13" i="1"/>
  <c r="AK13" i="1"/>
  <c r="D13" i="1"/>
  <c r="C13" i="1"/>
  <c r="B13" i="1"/>
  <c r="AO12" i="1"/>
  <c r="AN12" i="1"/>
  <c r="AM12" i="1"/>
  <c r="AL12" i="1"/>
  <c r="AK12" i="1"/>
  <c r="D12" i="1"/>
  <c r="C12" i="1"/>
  <c r="B12" i="1"/>
  <c r="AO11" i="1"/>
  <c r="AN11" i="1"/>
  <c r="AM11" i="1"/>
  <c r="AL11" i="1"/>
  <c r="AK11" i="1"/>
  <c r="D11" i="1"/>
  <c r="C11" i="1"/>
  <c r="B11" i="1"/>
  <c r="AO10" i="1"/>
  <c r="AN10" i="1"/>
  <c r="AM10" i="1"/>
  <c r="AL10" i="1"/>
  <c r="AK10" i="1"/>
  <c r="D10" i="1"/>
  <c r="C10" i="1"/>
  <c r="B10" i="1"/>
  <c r="AO9" i="1"/>
  <c r="AN9" i="1"/>
  <c r="AM9" i="1"/>
  <c r="AL9" i="1"/>
  <c r="AK9" i="1"/>
  <c r="D9" i="1"/>
  <c r="C9" i="1"/>
  <c r="B9" i="1"/>
  <c r="AO8" i="1"/>
  <c r="AN8" i="1"/>
  <c r="AM8" i="1"/>
  <c r="AL8" i="1"/>
  <c r="AK8" i="1"/>
  <c r="D8" i="1"/>
  <c r="C8" i="1"/>
  <c r="B8" i="1"/>
  <c r="AO7" i="1"/>
  <c r="AN7" i="1"/>
  <c r="AM7" i="1"/>
  <c r="AL7" i="1"/>
  <c r="AK7" i="1"/>
  <c r="D7" i="1"/>
  <c r="C7" i="1"/>
  <c r="B7" i="1"/>
  <c r="AO6" i="1"/>
  <c r="AN6" i="1"/>
  <c r="AN14" i="1" s="1"/>
  <c r="AM6" i="1"/>
  <c r="AM14" i="1" s="1"/>
  <c r="AL6" i="1"/>
  <c r="AL14" i="1" s="1"/>
  <c r="AK6" i="1"/>
  <c r="D6" i="1"/>
  <c r="C6" i="1"/>
  <c r="B6" i="1"/>
  <c r="B2" i="1"/>
  <c r="AH14" i="1" l="1"/>
  <c r="AG14" i="1"/>
  <c r="AF14" i="1"/>
  <c r="AE14" i="1"/>
  <c r="AD14" i="1"/>
  <c r="AC14" i="1"/>
  <c r="AH5" i="1"/>
  <c r="AF5" i="1"/>
  <c r="P14" i="1"/>
  <c r="AB14" i="1"/>
  <c r="AA14" i="1"/>
  <c r="Z14" i="1"/>
  <c r="Y14" i="1"/>
  <c r="X14" i="1"/>
  <c r="W14" i="1"/>
  <c r="V14" i="1"/>
  <c r="U14" i="1"/>
  <c r="T14" i="1"/>
  <c r="S14" i="1"/>
  <c r="R14" i="1"/>
  <c r="Q14" i="1"/>
  <c r="O14" i="1"/>
  <c r="N14" i="1"/>
  <c r="M14" i="1"/>
  <c r="L14" i="1"/>
  <c r="K14" i="1"/>
  <c r="J14" i="1"/>
  <c r="I14" i="1"/>
  <c r="H14" i="1"/>
  <c r="G14" i="1"/>
  <c r="F14" i="1"/>
  <c r="E14" i="1"/>
  <c r="AI5" i="1"/>
  <c r="AG5" i="1"/>
  <c r="AE5" i="1"/>
  <c r="AD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AC5" i="1"/>
  <c r="F5" i="1"/>
  <c r="E5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Q4" i="1"/>
  <c r="P4" i="1"/>
  <c r="O4" i="1"/>
  <c r="N4" i="1"/>
  <c r="M4" i="1"/>
  <c r="L4" i="1"/>
  <c r="K4" i="1"/>
  <c r="J4" i="1"/>
  <c r="I4" i="1"/>
  <c r="H4" i="1"/>
  <c r="G4" i="1"/>
  <c r="F4" i="1"/>
  <c r="E4" i="1"/>
  <c r="R4" i="1"/>
  <c r="AI14" i="1"/>
  <c r="B3" i="3"/>
  <c r="B1" i="1"/>
  <c r="H7" i="3"/>
  <c r="AO14" i="1"/>
  <c r="F7" i="3"/>
  <c r="AK14" i="1"/>
  <c r="AJ14" i="1"/>
  <c r="D7" i="3" s="1"/>
  <c r="D1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C12" authorId="0" shapeId="0" xr:uid="{00000000-0006-0000-0100-000001000000}">
      <text>
        <r>
          <rPr>
            <sz val="10"/>
            <rFont val="Arial"/>
            <family val="2"/>
          </rPr>
          <t>Monatsnummer: 1=Januar ... 12=Dezember.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<sst xmlns="http://schemas.openxmlformats.org/spreadsheetml/2006/main" count="419" uniqueCount="126">
  <si>
    <t>Nr.</t>
  </si>
  <si>
    <t>Name</t>
  </si>
  <si>
    <t>Position</t>
  </si>
  <si>
    <t>Gesamt-
stunden</t>
  </si>
  <si>
    <t>Tage
F</t>
  </si>
  <si>
    <t>Tage
S</t>
  </si>
  <si>
    <t>Tage
N</t>
  </si>
  <si>
    <t>Frei-
tage</t>
  </si>
  <si>
    <t>Urlaubs-
tage</t>
  </si>
  <si>
    <t>X</t>
  </si>
  <si>
    <t>F</t>
  </si>
  <si>
    <t>S</t>
  </si>
  <si>
    <t>U</t>
  </si>
  <si>
    <t>K</t>
  </si>
  <si>
    <t>T</t>
  </si>
  <si>
    <t>MITARBEITER IM EINSATZ / TAG</t>
  </si>
  <si>
    <t>LEGENDE:</t>
  </si>
  <si>
    <t>Frühschicht</t>
  </si>
  <si>
    <t>Spätschicht</t>
  </si>
  <si>
    <t>N</t>
  </si>
  <si>
    <t>Nachtschicht</t>
  </si>
  <si>
    <t>Tagdienst</t>
  </si>
  <si>
    <t>FT</t>
  </si>
  <si>
    <t>Feiertag</t>
  </si>
  <si>
    <t>Urlaub</t>
  </si>
  <si>
    <t>Krank</t>
  </si>
  <si>
    <t>Frei</t>
  </si>
  <si>
    <t>EINSTELLUNGEN DER DIENSTPLANUNG</t>
  </si>
  <si>
    <t>Tragen Sie hier die Stammdaten ein. Das Blatt 'Dienstplan' aktualisiert sich automatisch.</t>
  </si>
  <si>
    <t>UNTERNEHMENSDATEN</t>
  </si>
  <si>
    <t>FEIERTAGE</t>
  </si>
  <si>
    <t>Unternehmen</t>
  </si>
  <si>
    <t>Bäckerei Sonnenkorn GmbH</t>
  </si>
  <si>
    <t>Datum</t>
  </si>
  <si>
    <t>Bezeichnung</t>
  </si>
  <si>
    <t>Abteilung</t>
  </si>
  <si>
    <t>Backstube und Verkauf</t>
  </si>
  <si>
    <t>Neujahr</t>
  </si>
  <si>
    <t>Verantwortlich</t>
  </si>
  <si>
    <t>Maria Hoffmann</t>
  </si>
  <si>
    <t>Heilige Drei Könige</t>
  </si>
  <si>
    <t>E-Mail</t>
  </si>
  <si>
    <t>dienstplan@sonnenkorn.beispiel</t>
  </si>
  <si>
    <t>Karfreitag</t>
  </si>
  <si>
    <t>Ostermontag</t>
  </si>
  <si>
    <t>PLANUNGSZEITRAUM</t>
  </si>
  <si>
    <t>Tag der Arbeit</t>
  </si>
  <si>
    <t>Monat (1-12)</t>
  </si>
  <si>
    <t>Monatsname:</t>
  </si>
  <si>
    <t>Christi Himmelfahrt</t>
  </si>
  <si>
    <t>Jahr</t>
  </si>
  <si>
    <t>Pfingstmontag</t>
  </si>
  <si>
    <t>Tage im Monat</t>
  </si>
  <si>
    <t>Tag der Deutschen Einheit</t>
  </si>
  <si>
    <t>Reformationstag</t>
  </si>
  <si>
    <t>SCHICHTCODES</t>
  </si>
  <si>
    <t>1. Weihnachtstag</t>
  </si>
  <si>
    <t>Code</t>
  </si>
  <si>
    <t>Beginn</t>
  </si>
  <si>
    <t>Ende</t>
  </si>
  <si>
    <t>Stunden</t>
  </si>
  <si>
    <t>Arbeitszeit</t>
  </si>
  <si>
    <t>Farbe</t>
  </si>
  <si>
    <t>2. Weihnachtstag</t>
  </si>
  <si>
    <t>06:00</t>
  </si>
  <si>
    <t>14:00</t>
  </si>
  <si>
    <t>Ja</t>
  </si>
  <si>
    <t>22:00</t>
  </si>
  <si>
    <t>Tagdienst (geteilt)</t>
  </si>
  <si>
    <t>09:00</t>
  </si>
  <si>
    <t>18:00</t>
  </si>
  <si>
    <t>Feiertagsdienst</t>
  </si>
  <si>
    <t>08:00</t>
  </si>
  <si>
    <t>16:00</t>
  </si>
  <si>
    <t>Nein</t>
  </si>
  <si>
    <t>MITARBEITER</t>
  </si>
  <si>
    <t>Vertragsart</t>
  </si>
  <si>
    <t>Wochenstunden</t>
  </si>
  <si>
    <t>Telefon</t>
  </si>
  <si>
    <t>Thomas Becker</t>
  </si>
  <si>
    <t>Backstubenleiter</t>
  </si>
  <si>
    <t>Vollzeit</t>
  </si>
  <si>
    <t>thomas.becker@sonnenkorn.beispiel</t>
  </si>
  <si>
    <t>0151 234 5678</t>
  </si>
  <si>
    <t>Anna Schmitt</t>
  </si>
  <si>
    <t>Bäckerin</t>
  </si>
  <si>
    <t>anna.schmitt@sonnenkorn.beispiel</t>
  </si>
  <si>
    <t>0152 345 6789</t>
  </si>
  <si>
    <t>Michael Weber</t>
  </si>
  <si>
    <t>Bäcker</t>
  </si>
  <si>
    <t>michael.weber@sonnenkorn.beispiel</t>
  </si>
  <si>
    <t>0153 456 7890</t>
  </si>
  <si>
    <t>Julia Wagner</t>
  </si>
  <si>
    <t>Verkäuferin</t>
  </si>
  <si>
    <t>julia.wagner@sonnenkorn.beispiel</t>
  </si>
  <si>
    <t>0154 567 8901</t>
  </si>
  <si>
    <t>Stefan Krüger</t>
  </si>
  <si>
    <t>Verkäufer</t>
  </si>
  <si>
    <t>Teilzeit</t>
  </si>
  <si>
    <t>stefan.krueger@sonnenkorn.beispiel</t>
  </si>
  <si>
    <t>0155 678 9012</t>
  </si>
  <si>
    <t>Lisa Schäfer</t>
  </si>
  <si>
    <t>lisa.schaefer@sonnenkorn.beispiel</t>
  </si>
  <si>
    <t>0156 789 0123</t>
  </si>
  <si>
    <t>Markus Hoffmann</t>
  </si>
  <si>
    <t>Fahrer/Lieferant</t>
  </si>
  <si>
    <t>markus.hoffmann@sonnenkorn.beispiel</t>
  </si>
  <si>
    <t>0157 890 1234</t>
  </si>
  <si>
    <t>Sandra Klein</t>
  </si>
  <si>
    <t>Hilfskraft Backstube</t>
  </si>
  <si>
    <t>Befristet</t>
  </si>
  <si>
    <t>sandra.klein@sonnenkorn.beispiel</t>
  </si>
  <si>
    <t>0158 901 2345</t>
  </si>
  <si>
    <t>MONATSAUSWERTUNG DIENSTPLAN</t>
  </si>
  <si>
    <t>Mitarbeiter</t>
  </si>
  <si>
    <t>Gesamtstunden</t>
  </si>
  <si>
    <t>Arbeitstage</t>
  </si>
  <si>
    <t>Urlaubstage</t>
  </si>
  <si>
    <t>STUNDEN PRO MITARBEITER</t>
  </si>
  <si>
    <t>Geplante Stunden</t>
  </si>
  <si>
    <t>Vertragsstunden (Monat)</t>
  </si>
  <si>
    <t>VERTEILUNG DER SCHICHTEN</t>
  </si>
  <si>
    <t>Schicht</t>
  </si>
  <si>
    <t>Anzahl Tage</t>
  </si>
  <si>
    <t>% am Gesamt</t>
  </si>
  <si>
    <t>ℹ️  Anleitung: 1) Stellen Sie Monat/Jahr, Mitarbeiter und Schichten im Blatt 'Einstellungen' ein. 2) Tragen Sie die Schichtcodes im 'Dienstplan' ein (Dropdown nutzen). 3) Diese Auswertung und die Diagramme aktualisieren sich automatisch.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</si>
</sst>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dd\.mm\.yyyy"/>
    <numFmt numFmtId="166" formatCode="0.0%"/>
  </numFmts>
  <fonts count="22" x14ac:knownFonts="1">
    <font>
      <sz val="11"/>
      <color theme="1"/>
      <name val="Calibri"/>
      <family val="2"/>
      <charset val="1"/>
    </font>
    <font>
      <b/>
      <sz val="18"/>
      <color rgb="FFFFFFFF"/>
      <name val="Calibri"/>
      <charset val="1"/>
    </font>
    <font>
      <i/>
      <sz val="10"/>
      <color rgb="FF404040"/>
      <name val="Calibri"/>
      <charset val="1"/>
    </font>
    <font>
      <b/>
      <sz val="11"/>
      <color rgb="FFFFFFFF"/>
      <name val="Calibri"/>
      <charset val="1"/>
    </font>
    <font>
      <b/>
      <sz val="10"/>
      <color rgb="FFFFFFFF"/>
      <name val="Calibri"/>
      <charset val="1"/>
    </font>
    <font>
      <b/>
      <sz val="9"/>
      <color rgb="FFFFFFFF"/>
      <name val="Calibri"/>
      <charset val="1"/>
    </font>
    <font>
      <b/>
      <sz val="11"/>
      <name val="Calibri"/>
      <charset val="1"/>
    </font>
    <font>
      <sz val="10"/>
      <name val="Calibri"/>
      <charset val="1"/>
    </font>
    <font>
      <b/>
      <sz val="10"/>
      <name val="Calibri"/>
      <charset val="1"/>
    </font>
    <font>
      <b/>
      <sz val="11"/>
      <color rgb="FF0000FF"/>
      <name val="Calibri"/>
      <charset val="1"/>
    </font>
    <font>
      <i/>
      <sz val="10"/>
      <color rgb="FF595959"/>
      <name val="Calibri"/>
      <charset val="1"/>
    </font>
    <font>
      <b/>
      <sz val="12"/>
      <color rgb="FFFFFFFF"/>
      <name val="Calibri"/>
      <charset val="1"/>
    </font>
    <font>
      <sz val="11"/>
      <color rgb="FF0000FF"/>
      <name val="Calibri"/>
      <charset val="1"/>
    </font>
    <font>
      <sz val="11"/>
      <name val="Calibri"/>
      <charset val="1"/>
    </font>
    <font>
      <b/>
      <sz val="12"/>
      <name val="Calibri"/>
      <charset val="1"/>
    </font>
    <font>
      <sz val="10"/>
      <name val="Arial"/>
      <family val="2"/>
    </font>
    <font>
      <i/>
      <sz val="11"/>
      <color rgb="FF595959"/>
      <name val="Calibri"/>
      <charset val="1"/>
    </font>
    <font>
      <b/>
      <sz val="24"/>
      <color rgb="FF1F3864"/>
      <name val="Calibri"/>
      <charset val="1"/>
    </font>
    <font>
      <b/>
      <sz val="24"/>
      <color rgb="FF2E5395"/>
      <name val="Calibri"/>
      <charset val="1"/>
    </font>
    <font>
      <b/>
      <sz val="24"/>
      <color rgb="FF4472C4"/>
      <name val="Calibri"/>
      <charset val="1"/>
    </font>
    <font>
      <b/>
      <sz val="24"/>
      <color rgb="FF70AD47"/>
      <name val="Calibri"/>
      <charset val="1"/>
    </font>
    <font>
      <sz val="10"/>
      <color rgb="FF595959"/>
      <name val="Calibri"/>
      <charset val="1"/>
    </font>
  </fonts>
  <fills count="17">
    <fill>
      <patternFill patternType="none"/>
    </fill>
    <fill>
      <patternFill patternType="gray125"/>
    </fill>
    <fill>
      <patternFill patternType="solid">
        <fgColor rgb="FF1F3864"/>
        <bgColor rgb="FF404040"/>
      </patternFill>
    </fill>
    <fill>
      <patternFill patternType="solid">
        <fgColor rgb="FFD9E2F3"/>
        <bgColor rgb="FFD9D9D9"/>
      </patternFill>
    </fill>
    <fill>
      <patternFill patternType="solid">
        <fgColor rgb="FF2E5395"/>
        <bgColor rgb="FF1F3864"/>
      </patternFill>
    </fill>
    <fill>
      <patternFill patternType="solid">
        <fgColor rgb="FFFFD966"/>
        <bgColor rgb="FFFFE699"/>
      </patternFill>
    </fill>
    <fill>
      <patternFill patternType="solid">
        <fgColor rgb="FFF4B084"/>
        <bgColor rgb="FFF8CBAD"/>
      </patternFill>
    </fill>
    <fill>
      <patternFill patternType="solid">
        <fgColor rgb="FF8FAADC"/>
        <bgColor rgb="FF93A9CE"/>
      </patternFill>
    </fill>
    <fill>
      <patternFill patternType="solid">
        <fgColor rgb="FFC6E0B4"/>
        <bgColor rgb="FFD9D9D9"/>
      </patternFill>
    </fill>
    <fill>
      <patternFill patternType="solid">
        <fgColor rgb="FFFFE699"/>
        <bgColor rgb="FFFFD966"/>
      </patternFill>
    </fill>
    <fill>
      <patternFill patternType="solid">
        <fgColor rgb="FFB4C7E7"/>
        <bgColor rgb="FFBFBFBF"/>
      </patternFill>
    </fill>
    <fill>
      <patternFill patternType="solid">
        <fgColor rgb="FFF8CBAD"/>
        <bgColor rgb="FFFFE699"/>
      </patternFill>
    </fill>
    <fill>
      <patternFill patternType="solid">
        <fgColor rgb="FFD9D9D9"/>
        <bgColor rgb="FFD9E2F3"/>
      </patternFill>
    </fill>
    <fill>
      <patternFill patternType="solid">
        <fgColor rgb="FF4472C4"/>
        <bgColor rgb="FF4672A8"/>
      </patternFill>
    </fill>
    <fill>
      <patternFill patternType="solid">
        <fgColor rgb="FFFFFF00"/>
        <bgColor rgb="FFFFFF00"/>
      </patternFill>
    </fill>
    <fill>
      <patternFill patternType="solid">
        <fgColor rgb="FF70AD47"/>
        <bgColor rgb="FF8AA64F"/>
      </patternFill>
    </fill>
    <fill>
      <patternFill patternType="solid">
        <fgColor rgb="FFFFFFFF"/>
        <bgColor rgb="FFF9F9F9"/>
      </patternFill>
    </fill>
  </fills>
  <borders count="19">
    <border>
      <left/>
      <right/>
      <top/>
      <bottom/>
      <diagonal/>
    </border>
    <border>
      <left style="medium">
        <color rgb="FF1F3864"/>
      </left>
      <right style="medium">
        <color rgb="FF1F3864"/>
      </right>
      <top style="medium">
        <color rgb="FF1F3864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rgb="FF1F3864"/>
      </left>
      <right/>
      <top style="medium">
        <color rgb="FF1F3864"/>
      </top>
      <bottom style="medium">
        <color rgb="FF1F3864"/>
      </bottom>
      <diagonal/>
    </border>
    <border>
      <left style="medium">
        <color rgb="FF1F3864"/>
      </left>
      <right style="medium">
        <color rgb="FF1F3864"/>
      </right>
      <top style="medium">
        <color rgb="FF1F3864"/>
      </top>
      <bottom style="medium">
        <color rgb="FF1F3864"/>
      </bottom>
      <diagonal/>
    </border>
    <border>
      <left style="medium">
        <color rgb="FF1F3864"/>
      </left>
      <right/>
      <top style="medium">
        <color rgb="FF1F3864"/>
      </top>
      <bottom/>
      <diagonal/>
    </border>
    <border>
      <left/>
      <right style="medium">
        <color rgb="FF1F3864"/>
      </right>
      <top style="medium">
        <color rgb="FF1F3864"/>
      </top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rgb="FFBFBFBF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BFBFBF"/>
      </top>
      <bottom style="thin">
        <color indexed="64"/>
      </bottom>
      <diagonal/>
    </border>
    <border>
      <left style="thin">
        <color rgb="FFBFBFBF"/>
      </left>
      <right/>
      <top style="thin">
        <color rgb="FFBFBFBF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6" fillId="3" borderId="0" xfId="0" applyFont="1" applyFill="1" applyAlignment="1">
      <alignment horizontal="center"/>
    </xf>
    <xf numFmtId="0" fontId="12" fillId="0" borderId="2" xfId="0" applyFont="1" applyBorder="1" applyAlignment="1">
      <alignment horizontal="left" indent="1"/>
    </xf>
    <xf numFmtId="0" fontId="11" fillId="4" borderId="0" xfId="0" applyFont="1" applyFill="1" applyAlignment="1">
      <alignment horizontal="left" vertical="center" indent="1"/>
    </xf>
    <xf numFmtId="0" fontId="10" fillId="0" borderId="0" xfId="0" applyFont="1" applyAlignment="1">
      <alignment horizontal="center"/>
    </xf>
    <xf numFmtId="0" fontId="7" fillId="0" borderId="0" xfId="0" applyFont="1" applyAlignment="1">
      <alignment horizontal="left" indent="1"/>
    </xf>
    <xf numFmtId="0" fontId="4" fillId="2" borderId="3" xfId="0" applyFont="1" applyFill="1" applyBorder="1" applyAlignment="1">
      <alignment horizontal="right" vertical="center" inden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 indent="1"/>
    </xf>
    <xf numFmtId="0" fontId="7" fillId="3" borderId="2" xfId="0" applyFont="1" applyFill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164" fontId="9" fillId="3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indent="1"/>
    </xf>
    <xf numFmtId="0" fontId="6" fillId="5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indent="1"/>
    </xf>
    <xf numFmtId="0" fontId="3" fillId="13" borderId="2" xfId="0" applyFont="1" applyFill="1" applyBorder="1" applyAlignment="1">
      <alignment horizontal="center" vertical="center"/>
    </xf>
    <xf numFmtId="165" fontId="13" fillId="0" borderId="2" xfId="0" applyNumberFormat="1" applyFont="1" applyBorder="1" applyAlignment="1">
      <alignment horizontal="center"/>
    </xf>
    <xf numFmtId="0" fontId="13" fillId="0" borderId="2" xfId="0" applyFont="1" applyBorder="1" applyAlignment="1">
      <alignment horizontal="left" indent="1"/>
    </xf>
    <xf numFmtId="0" fontId="9" fillId="14" borderId="2" xfId="0" applyFont="1" applyFill="1" applyBorder="1" applyAlignment="1">
      <alignment horizontal="center"/>
    </xf>
    <xf numFmtId="0" fontId="10" fillId="0" borderId="0" xfId="0" applyFont="1" applyAlignment="1">
      <alignment horizontal="right" indent="1"/>
    </xf>
    <xf numFmtId="1" fontId="9" fillId="14" borderId="2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4" fillId="5" borderId="2" xfId="0" applyFont="1" applyFill="1" applyBorder="1" applyAlignment="1">
      <alignment horizontal="center"/>
    </xf>
    <xf numFmtId="0" fontId="13" fillId="0" borderId="2" xfId="0" applyFont="1" applyBorder="1" applyAlignment="1">
      <alignment horizontal="center"/>
    </xf>
    <xf numFmtId="164" fontId="9" fillId="14" borderId="2" xfId="0" applyNumberFormat="1" applyFont="1" applyFill="1" applyBorder="1" applyAlignment="1">
      <alignment horizontal="center"/>
    </xf>
    <xf numFmtId="0" fontId="0" fillId="5" borderId="2" xfId="0" applyFill="1" applyBorder="1"/>
    <xf numFmtId="0" fontId="14" fillId="6" borderId="2" xfId="0" applyFont="1" applyFill="1" applyBorder="1" applyAlignment="1">
      <alignment horizontal="center"/>
    </xf>
    <xf numFmtId="0" fontId="0" fillId="6" borderId="2" xfId="0" applyFill="1" applyBorder="1"/>
    <xf numFmtId="0" fontId="14" fillId="7" borderId="2" xfId="0" applyFont="1" applyFill="1" applyBorder="1" applyAlignment="1">
      <alignment horizontal="center"/>
    </xf>
    <xf numFmtId="0" fontId="0" fillId="7" borderId="2" xfId="0" applyFill="1" applyBorder="1"/>
    <xf numFmtId="0" fontId="14" fillId="8" borderId="2" xfId="0" applyFont="1" applyFill="1" applyBorder="1" applyAlignment="1">
      <alignment horizontal="center"/>
    </xf>
    <xf numFmtId="0" fontId="0" fillId="8" borderId="2" xfId="0" applyFill="1" applyBorder="1"/>
    <xf numFmtId="0" fontId="14" fillId="9" borderId="2" xfId="0" applyFont="1" applyFill="1" applyBorder="1" applyAlignment="1">
      <alignment horizontal="center"/>
    </xf>
    <xf numFmtId="0" fontId="0" fillId="9" borderId="2" xfId="0" applyFill="1" applyBorder="1"/>
    <xf numFmtId="0" fontId="14" fillId="10" borderId="2" xfId="0" applyFont="1" applyFill="1" applyBorder="1" applyAlignment="1">
      <alignment horizontal="center"/>
    </xf>
    <xf numFmtId="0" fontId="0" fillId="10" borderId="2" xfId="0" applyFill="1" applyBorder="1"/>
    <xf numFmtId="0" fontId="14" fillId="11" borderId="2" xfId="0" applyFont="1" applyFill="1" applyBorder="1" applyAlignment="1">
      <alignment horizontal="center"/>
    </xf>
    <xf numFmtId="0" fontId="0" fillId="11" borderId="2" xfId="0" applyFill="1" applyBorder="1"/>
    <xf numFmtId="0" fontId="14" fillId="12" borderId="2" xfId="0" applyFont="1" applyFill="1" applyBorder="1" applyAlignment="1">
      <alignment horizontal="center"/>
    </xf>
    <xf numFmtId="0" fontId="0" fillId="12" borderId="2" xfId="0" applyFill="1" applyBorder="1"/>
    <xf numFmtId="1" fontId="13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 indent="1"/>
    </xf>
    <xf numFmtId="164" fontId="6" fillId="0" borderId="2" xfId="0" applyNumberFormat="1" applyFont="1" applyBorder="1" applyAlignment="1">
      <alignment horizontal="center"/>
    </xf>
    <xf numFmtId="164" fontId="21" fillId="0" borderId="2" xfId="0" applyNumberFormat="1" applyFont="1" applyBorder="1" applyAlignment="1">
      <alignment horizontal="center"/>
    </xf>
    <xf numFmtId="0" fontId="13" fillId="5" borderId="2" xfId="0" applyFont="1" applyFill="1" applyBorder="1" applyAlignment="1">
      <alignment horizontal="left" indent="1"/>
    </xf>
    <xf numFmtId="0" fontId="6" fillId="5" borderId="2" xfId="0" applyFont="1" applyFill="1" applyBorder="1" applyAlignment="1">
      <alignment horizontal="center"/>
    </xf>
    <xf numFmtId="1" fontId="6" fillId="0" borderId="2" xfId="0" applyNumberFormat="1" applyFont="1" applyBorder="1" applyAlignment="1">
      <alignment horizontal="center"/>
    </xf>
    <xf numFmtId="166" fontId="13" fillId="0" borderId="2" xfId="0" applyNumberFormat="1" applyFont="1" applyBorder="1" applyAlignment="1">
      <alignment horizontal="center"/>
    </xf>
    <xf numFmtId="0" fontId="13" fillId="6" borderId="2" xfId="0" applyFont="1" applyFill="1" applyBorder="1" applyAlignment="1">
      <alignment horizontal="left" indent="1"/>
    </xf>
    <xf numFmtId="0" fontId="6" fillId="6" borderId="2" xfId="0" applyFont="1" applyFill="1" applyBorder="1" applyAlignment="1">
      <alignment horizontal="center"/>
    </xf>
    <xf numFmtId="0" fontId="13" fillId="7" borderId="2" xfId="0" applyFont="1" applyFill="1" applyBorder="1" applyAlignment="1">
      <alignment horizontal="left" indent="1"/>
    </xf>
    <xf numFmtId="0" fontId="6" fillId="7" borderId="2" xfId="0" applyFont="1" applyFill="1" applyBorder="1" applyAlignment="1">
      <alignment horizontal="center"/>
    </xf>
    <xf numFmtId="0" fontId="13" fillId="8" borderId="2" xfId="0" applyFont="1" applyFill="1" applyBorder="1" applyAlignment="1">
      <alignment horizontal="left" indent="1"/>
    </xf>
    <xf numFmtId="0" fontId="6" fillId="8" borderId="2" xfId="0" applyFont="1" applyFill="1" applyBorder="1" applyAlignment="1">
      <alignment horizontal="center"/>
    </xf>
    <xf numFmtId="0" fontId="13" fillId="9" borderId="2" xfId="0" applyFont="1" applyFill="1" applyBorder="1" applyAlignment="1">
      <alignment horizontal="left" indent="1"/>
    </xf>
    <xf numFmtId="0" fontId="6" fillId="9" borderId="2" xfId="0" applyFont="1" applyFill="1" applyBorder="1" applyAlignment="1">
      <alignment horizontal="center"/>
    </xf>
    <xf numFmtId="0" fontId="13" fillId="10" borderId="2" xfId="0" applyFont="1" applyFill="1" applyBorder="1" applyAlignment="1">
      <alignment horizontal="left" indent="1"/>
    </xf>
    <xf numFmtId="0" fontId="6" fillId="10" borderId="2" xfId="0" applyFont="1" applyFill="1" applyBorder="1" applyAlignment="1">
      <alignment horizontal="center"/>
    </xf>
    <xf numFmtId="0" fontId="13" fillId="11" borderId="2" xfId="0" applyFont="1" applyFill="1" applyBorder="1" applyAlignment="1">
      <alignment horizontal="left" indent="1"/>
    </xf>
    <xf numFmtId="0" fontId="6" fillId="11" borderId="2" xfId="0" applyFont="1" applyFill="1" applyBorder="1" applyAlignment="1">
      <alignment horizontal="center"/>
    </xf>
    <xf numFmtId="0" fontId="13" fillId="12" borderId="2" xfId="0" applyFont="1" applyFill="1" applyBorder="1" applyAlignment="1">
      <alignment horizontal="left" indent="1"/>
    </xf>
    <xf numFmtId="0" fontId="6" fillId="12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 vertical="center" wrapText="1" inden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13" borderId="15" xfId="0" applyFont="1" applyFill="1" applyBorder="1" applyAlignment="1">
      <alignment horizontal="center" vertical="center"/>
    </xf>
    <xf numFmtId="0" fontId="3" fillId="15" borderId="15" xfId="0" applyFont="1" applyFill="1" applyBorder="1" applyAlignment="1">
      <alignment horizontal="center" vertical="center"/>
    </xf>
    <xf numFmtId="0" fontId="3" fillId="15" borderId="16" xfId="0" applyFont="1" applyFill="1" applyBorder="1" applyAlignment="1">
      <alignment horizontal="center" vertical="center"/>
    </xf>
    <xf numFmtId="1" fontId="17" fillId="16" borderId="17" xfId="0" applyNumberFormat="1" applyFont="1" applyFill="1" applyBorder="1" applyAlignment="1">
      <alignment horizontal="center" vertical="center"/>
    </xf>
    <xf numFmtId="1" fontId="17" fillId="16" borderId="18" xfId="0" applyNumberFormat="1" applyFont="1" applyFill="1" applyBorder="1" applyAlignment="1">
      <alignment horizontal="center" vertical="center"/>
    </xf>
    <xf numFmtId="164" fontId="18" fillId="16" borderId="18" xfId="0" applyNumberFormat="1" applyFont="1" applyFill="1" applyBorder="1" applyAlignment="1">
      <alignment horizontal="center" vertical="center"/>
    </xf>
    <xf numFmtId="1" fontId="19" fillId="16" borderId="18" xfId="0" applyNumberFormat="1" applyFont="1" applyFill="1" applyBorder="1" applyAlignment="1">
      <alignment horizontal="center" vertical="center"/>
    </xf>
    <xf numFmtId="1" fontId="20" fillId="16" borderId="18" xfId="0" applyNumberFormat="1" applyFont="1" applyFill="1" applyBorder="1" applyAlignment="1">
      <alignment horizontal="center" vertical="center"/>
    </xf>
    <xf numFmtId="1" fontId="20" fillId="16" borderId="13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72">
    <dxf>
      <font>
        <b/>
        <sz val="11"/>
        <color rgb="FF9C5700"/>
        <name val="Calibri"/>
        <charset val="1"/>
      </font>
      <fill>
        <patternFill>
          <bgColor rgb="FFFFE699"/>
        </patternFill>
      </fill>
    </dxf>
    <dxf>
      <font>
        <b/>
        <sz val="11"/>
        <color rgb="FFC00000"/>
        <name val="Calibri"/>
        <charset val="1"/>
      </font>
      <fill>
        <patternFill>
          <bgColor rgb="FFF8CBAD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  <dxf>
      <font>
        <b/>
        <sz val="10"/>
        <name val="Calibri"/>
        <charset val="1"/>
      </font>
      <fill>
        <patternFill>
          <bgColor rgb="FFFFD966"/>
        </patternFill>
      </fill>
    </dxf>
    <dxf>
      <font>
        <b/>
        <sz val="10"/>
        <name val="Calibri"/>
        <charset val="1"/>
      </font>
      <fill>
        <patternFill>
          <bgColor rgb="FFD9D9D9"/>
        </patternFill>
      </fill>
    </dxf>
    <dxf>
      <font>
        <b/>
        <sz val="10"/>
        <name val="Calibri"/>
        <charset val="1"/>
      </font>
      <fill>
        <patternFill>
          <bgColor rgb="FFF8CBAD"/>
        </patternFill>
      </fill>
    </dxf>
    <dxf>
      <font>
        <b/>
        <sz val="10"/>
        <name val="Calibri"/>
        <charset val="1"/>
      </font>
      <fill>
        <patternFill>
          <bgColor rgb="FFB4C7E7"/>
        </patternFill>
      </fill>
    </dxf>
    <dxf>
      <font>
        <b/>
        <sz val="10"/>
        <name val="Calibri"/>
        <charset val="1"/>
      </font>
      <fill>
        <patternFill>
          <bgColor rgb="FFFFE699"/>
        </patternFill>
      </fill>
    </dxf>
    <dxf>
      <font>
        <b/>
        <sz val="10"/>
        <name val="Calibri"/>
        <charset val="1"/>
      </font>
      <fill>
        <patternFill>
          <bgColor rgb="FFC6E0B4"/>
        </patternFill>
      </fill>
    </dxf>
    <dxf>
      <font>
        <b/>
        <sz val="10"/>
        <name val="Calibri"/>
        <charset val="1"/>
      </font>
      <fill>
        <patternFill>
          <bgColor rgb="FF8FAADC"/>
        </patternFill>
      </fill>
    </dxf>
    <dxf>
      <font>
        <b/>
        <sz val="10"/>
        <name val="Calibri"/>
        <charset val="1"/>
      </font>
      <fill>
        <patternFill>
          <bgColor rgb="FFF4B084"/>
        </patternFill>
      </fill>
    </dxf>
    <dxf>
      <font>
        <b/>
        <sz val="11"/>
        <color rgb="FFFFFFFF"/>
        <name val="Calibri"/>
        <charset val="1"/>
      </font>
      <fill>
        <patternFill>
          <bgColor rgb="FFC00000"/>
        </patternFill>
      </fill>
    </dxf>
    <dxf>
      <font>
        <b/>
        <sz val="11"/>
        <color rgb="FFFFE699"/>
        <name val="Calibri"/>
        <charset val="1"/>
      </font>
      <fill>
        <patternFill>
          <bgColor rgb="FF2E5395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AA64F"/>
      <rgbColor rgb="FF800080"/>
      <rgbColor rgb="FF4F81BD"/>
      <rgbColor rgb="FFBFBFBF"/>
      <rgbColor rgb="FF878787"/>
      <rgbColor rgb="FF8FAADC"/>
      <rgbColor rgb="FFAB4744"/>
      <rgbColor rgb="FFF9F9F9"/>
      <rgbColor rgb="FFD9E2F3"/>
      <rgbColor rgb="FF660066"/>
      <rgbColor rgb="FFDC853E"/>
      <rgbColor rgb="FF4672A8"/>
      <rgbColor rgb="FFB4C7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D9D9"/>
      <rgbColor rgb="FFC6E0B4"/>
      <rgbColor rgb="FFFFE699"/>
      <rgbColor rgb="FF99CCFF"/>
      <rgbColor rgb="FFF4B084"/>
      <rgbColor rgb="FFD09493"/>
      <rgbColor rgb="FFF8CBAD"/>
      <rgbColor rgb="FF4472C4"/>
      <rgbColor rgb="FF33CCCC"/>
      <rgbColor rgb="FF70AD47"/>
      <rgbColor rgb="FFFFD966"/>
      <rgbColor rgb="FFFF9900"/>
      <rgbColor rgb="FFFF6600"/>
      <rgbColor rgb="FF725990"/>
      <rgbColor rgb="FF93A9CE"/>
      <rgbColor rgb="FF1F3864"/>
      <rgbColor rgb="FF4299B0"/>
      <rgbColor rgb="FF003300"/>
      <rgbColor rgb="FF333300"/>
      <rgbColor rgb="FF9C5700"/>
      <rgbColor rgb="FF595959"/>
      <rgbColor rgb="FF2E5395"/>
      <rgbColor rgb="FF40404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de-DE" sz="1800" b="1" strike="noStrike" spc="-1">
                <a:solidFill>
                  <a:srgbClr val="000000"/>
                </a:solidFill>
                <a:latin typeface="Calibri"/>
              </a:rPr>
              <a:t>Geplante Stunden pro Mitarbeiter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700654169497849"/>
          <c:y val="0.16454550224864417"/>
          <c:w val="0.51622953222217782"/>
          <c:h val="0.7372500177483926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Auswertung!$D$11</c:f>
              <c:strCache>
                <c:ptCount val="1"/>
                <c:pt idx="0">
                  <c:v>Geplante Stunden</c:v>
                </c:pt>
              </c:strCache>
            </c:strRef>
          </c:tx>
          <c:spPr>
            <a:solidFill>
              <a:srgbClr val="4F81BD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dLbl>
              <c:idx val="0"/>
              <c:dLblPos val="outEnd"/>
              <c:showLegendKey val="1"/>
              <c:showVal val="1"/>
              <c:showCatName val="1"/>
              <c:showSerName val="1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1840867607285128"/>
                      <c:h val="0.10744938621428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1ACD-4A7E-84D9-564D2BAAAF29}"/>
                </c:ext>
              </c:extLst>
            </c:dLbl>
            <c:dLbl>
              <c:idx val="1"/>
              <c:dLblPos val="outEnd"/>
              <c:showLegendKey val="1"/>
              <c:showVal val="1"/>
              <c:showCatName val="1"/>
              <c:showSerName val="1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1842546331454763"/>
                      <c:h val="0.10744938621428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1ACD-4A7E-84D9-564D2BAAAF29}"/>
                </c:ext>
              </c:extLst>
            </c:dLbl>
            <c:dLbl>
              <c:idx val="2"/>
              <c:dLblPos val="outEnd"/>
              <c:showLegendKey val="1"/>
              <c:showVal val="1"/>
              <c:showCatName val="1"/>
              <c:showSerName val="1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1212265345004464"/>
                      <c:h val="0.10744938621428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1ACD-4A7E-84D9-564D2BAAAF29}"/>
                </c:ext>
              </c:extLst>
            </c:dLbl>
            <c:dLbl>
              <c:idx val="3"/>
              <c:dLblPos val="outEnd"/>
              <c:showLegendKey val="1"/>
              <c:showVal val="1"/>
              <c:showCatName val="1"/>
              <c:showSerName val="1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1458464900009325"/>
                      <c:h val="0.10744938621428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1ACD-4A7E-84D9-564D2BAAAF29}"/>
                </c:ext>
              </c:extLst>
            </c:dLbl>
            <c:dLbl>
              <c:idx val="4"/>
              <c:dLblPos val="outEnd"/>
              <c:showLegendKey val="1"/>
              <c:showVal val="1"/>
              <c:showCatName val="1"/>
              <c:showSerName val="1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3519378605593075"/>
                      <c:h val="0.10744938621428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1ACD-4A7E-84D9-564D2BAAAF29}"/>
                </c:ext>
              </c:extLst>
            </c:dLbl>
            <c:dLbl>
              <c:idx val="5"/>
              <c:dLblPos val="outEnd"/>
              <c:showLegendKey val="1"/>
              <c:showVal val="1"/>
              <c:showCatName val="1"/>
              <c:showSerName val="1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69964160571305"/>
                      <c:h val="0.10744938621428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1ACD-4A7E-84D9-564D2BAAAF29}"/>
                </c:ext>
              </c:extLst>
            </c:dLbl>
            <c:dLbl>
              <c:idx val="6"/>
              <c:dLblPos val="outEnd"/>
              <c:showLegendKey val="1"/>
              <c:showVal val="1"/>
              <c:showCatName val="1"/>
              <c:showSerName val="1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2592136642818126"/>
                      <c:h val="0.10744938621428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ACD-4A7E-84D9-564D2BAAAF29}"/>
                </c:ext>
              </c:extLst>
            </c:dLbl>
            <c:dLbl>
              <c:idx val="7"/>
              <c:dLblPos val="outEnd"/>
              <c:showLegendKey val="1"/>
              <c:showVal val="1"/>
              <c:showCatName val="1"/>
              <c:showSerName val="1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2022756038743888"/>
                      <c:h val="0.107449386214283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1ACD-4A7E-84D9-564D2BAAAF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de-DE"/>
              </a:p>
            </c:txPr>
            <c:dLblPos val="outEnd"/>
            <c:showLegendKey val="1"/>
            <c:showVal val="1"/>
            <c:showCatName val="1"/>
            <c:showSerName val="1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Auswertung!$B$12:$B$19</c:f>
              <c:strCache>
                <c:ptCount val="8"/>
                <c:pt idx="0">
                  <c:v>Thomas Becker</c:v>
                </c:pt>
                <c:pt idx="1">
                  <c:v>Anna Schmitt</c:v>
                </c:pt>
                <c:pt idx="2">
                  <c:v>Michael Weber</c:v>
                </c:pt>
                <c:pt idx="3">
                  <c:v>Julia Wagner</c:v>
                </c:pt>
                <c:pt idx="4">
                  <c:v>Stefan Krüger</c:v>
                </c:pt>
                <c:pt idx="5">
                  <c:v>Lisa Schäfer</c:v>
                </c:pt>
                <c:pt idx="6">
                  <c:v>Markus Hoffmann</c:v>
                </c:pt>
                <c:pt idx="7">
                  <c:v>Sandra Klein</c:v>
                </c:pt>
              </c:strCache>
            </c:strRef>
          </c:cat>
          <c:val>
            <c:numRef>
              <c:f>Auswertung!$D$12:$D$19</c:f>
              <c:numCache>
                <c:formatCode>0.0</c:formatCode>
                <c:ptCount val="8"/>
                <c:pt idx="0">
                  <c:v>184</c:v>
                </c:pt>
                <c:pt idx="1">
                  <c:v>168</c:v>
                </c:pt>
                <c:pt idx="2">
                  <c:v>184</c:v>
                </c:pt>
                <c:pt idx="3">
                  <c:v>184</c:v>
                </c:pt>
                <c:pt idx="4">
                  <c:v>152</c:v>
                </c:pt>
                <c:pt idx="5">
                  <c:v>176</c:v>
                </c:pt>
                <c:pt idx="6">
                  <c:v>157.5</c:v>
                </c:pt>
                <c:pt idx="7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CD-4A7E-84D9-564D2BAAA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254938"/>
        <c:axId val="91276667"/>
      </c:barChart>
      <c:catAx>
        <c:axId val="78254938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de-DE" sz="1000" b="1" strike="noStrike" spc="-1">
                    <a:solidFill>
                      <a:srgbClr val="000000"/>
                    </a:solidFill>
                    <a:latin typeface="Calibri"/>
                  </a:rPr>
                  <a:t>Stunden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de-DE"/>
          </a:p>
        </c:txPr>
        <c:crossAx val="91276667"/>
        <c:crosses val="autoZero"/>
        <c:auto val="1"/>
        <c:lblAlgn val="ctr"/>
        <c:lblOffset val="100"/>
        <c:noMultiLvlLbl val="0"/>
      </c:catAx>
      <c:valAx>
        <c:axId val="91276667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.0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de-DE"/>
          </a:p>
        </c:txPr>
        <c:crossAx val="78254938"/>
        <c:crosses val="autoZero"/>
        <c:crossBetween val="between"/>
      </c:valAx>
      <c:spPr>
        <a:noFill/>
        <a:ln w="0">
          <a:noFill/>
        </a:ln>
      </c:spPr>
    </c:plotArea>
    <c:plotVisOnly val="1"/>
    <c:dispBlanksAs val="gap"/>
    <c:showDLblsOverMax val="1"/>
  </c:chart>
  <c:spPr>
    <a:solidFill>
      <a:schemeClr val="accent3">
        <a:lumMod val="20000"/>
        <a:lumOff val="80000"/>
      </a:schemeClr>
    </a:solidFill>
    <a:ln w="9360">
      <a:solidFill>
        <a:srgbClr val="D9D9D9"/>
      </a:solidFill>
      <a:round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de-DE" sz="1800" b="1" strike="noStrike" spc="-1">
                <a:solidFill>
                  <a:srgbClr val="000000"/>
                </a:solidFill>
                <a:latin typeface="Calibri"/>
              </a:rPr>
              <a:t>Verteilung der Schichtarten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Auswertung!$D$23</c:f>
              <c:strCache>
                <c:ptCount val="1"/>
                <c:pt idx="0">
                  <c:v>Anzahl Tage</c:v>
                </c:pt>
              </c:strCache>
            </c:strRef>
          </c:tx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4672A8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1-2CDE-4816-9A63-34DDBECA45E2}"/>
              </c:ext>
            </c:extLst>
          </c:dPt>
          <c:dPt>
            <c:idx val="1"/>
            <c:bubble3D val="0"/>
            <c:spPr>
              <a:solidFill>
                <a:srgbClr val="AB4744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2CDE-4816-9A63-34DDBECA45E2}"/>
              </c:ext>
            </c:extLst>
          </c:dPt>
          <c:dPt>
            <c:idx val="2"/>
            <c:bubble3D val="0"/>
            <c:spPr>
              <a:solidFill>
                <a:srgbClr val="8AA64F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2CDE-4816-9A63-34DDBECA45E2}"/>
              </c:ext>
            </c:extLst>
          </c:dPt>
          <c:dPt>
            <c:idx val="3"/>
            <c:bubble3D val="0"/>
            <c:spPr>
              <a:solidFill>
                <a:srgbClr val="725990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2CDE-4816-9A63-34DDBECA45E2}"/>
              </c:ext>
            </c:extLst>
          </c:dPt>
          <c:dPt>
            <c:idx val="4"/>
            <c:bubble3D val="0"/>
            <c:spPr>
              <a:solidFill>
                <a:srgbClr val="4299B0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2CDE-4816-9A63-34DDBECA45E2}"/>
              </c:ext>
            </c:extLst>
          </c:dPt>
          <c:dPt>
            <c:idx val="5"/>
            <c:bubble3D val="0"/>
            <c:spPr>
              <a:solidFill>
                <a:srgbClr val="DC853E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B-2CDE-4816-9A63-34DDBECA45E2}"/>
              </c:ext>
            </c:extLst>
          </c:dPt>
          <c:dPt>
            <c:idx val="6"/>
            <c:bubble3D val="0"/>
            <c:spPr>
              <a:solidFill>
                <a:srgbClr val="93A9CE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D-2CDE-4816-9A63-34DDBECA45E2}"/>
              </c:ext>
            </c:extLst>
          </c:dPt>
          <c:dPt>
            <c:idx val="7"/>
            <c:bubble3D val="0"/>
            <c:spPr>
              <a:solidFill>
                <a:srgbClr val="D09493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F-2CDE-4816-9A63-34DDBECA45E2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de-DE"/>
                </a:p>
              </c:txPr>
              <c:dLblPos val="bestFit"/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6="http://schemas.microsoft.com/office/drawing/2014/chart" uri="{C3380CC4-5D6E-409C-BE32-E72D297353CC}">
                  <c16:uniqueId val="{00000001-2CDE-4816-9A63-34DDBECA45E2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de-DE"/>
                </a:p>
              </c:txPr>
              <c:dLblPos val="bestFit"/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6="http://schemas.microsoft.com/office/drawing/2014/chart" uri="{C3380CC4-5D6E-409C-BE32-E72D297353CC}">
                  <c16:uniqueId val="{00000003-2CDE-4816-9A63-34DDBECA45E2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de-DE"/>
                </a:p>
              </c:txPr>
              <c:dLblPos val="bestFit"/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6="http://schemas.microsoft.com/office/drawing/2014/chart" uri="{C3380CC4-5D6E-409C-BE32-E72D297353CC}">
                  <c16:uniqueId val="{00000005-2CDE-4816-9A63-34DDBECA45E2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de-DE"/>
                </a:p>
              </c:txPr>
              <c:dLblPos val="bestFit"/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6="http://schemas.microsoft.com/office/drawing/2014/chart" uri="{C3380CC4-5D6E-409C-BE32-E72D297353CC}">
                  <c16:uniqueId val="{00000007-2CDE-4816-9A63-34DDBECA45E2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de-DE"/>
                </a:p>
              </c:txPr>
              <c:dLblPos val="bestFit"/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6="http://schemas.microsoft.com/office/drawing/2014/chart" uri="{C3380CC4-5D6E-409C-BE32-E72D297353CC}">
                  <c16:uniqueId val="{00000009-2CDE-4816-9A63-34DDBECA45E2}"/>
                </c:ext>
              </c:extLst>
            </c:dLbl>
            <c:dLbl>
              <c:idx val="5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de-DE"/>
                </a:p>
              </c:txPr>
              <c:dLblPos val="bestFit"/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6="http://schemas.microsoft.com/office/drawing/2014/chart" uri="{C3380CC4-5D6E-409C-BE32-E72D297353CC}">
                  <c16:uniqueId val="{0000000B-2CDE-4816-9A63-34DDBECA45E2}"/>
                </c:ext>
              </c:extLst>
            </c:dLbl>
            <c:dLbl>
              <c:idx val="6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de-DE"/>
                </a:p>
              </c:txPr>
              <c:dLblPos val="bestFit"/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6="http://schemas.microsoft.com/office/drawing/2014/chart" uri="{C3380CC4-5D6E-409C-BE32-E72D297353CC}">
                  <c16:uniqueId val="{0000000D-2CDE-4816-9A63-34DDBECA45E2}"/>
                </c:ext>
              </c:extLst>
            </c:dLbl>
            <c:dLbl>
              <c:idx val="7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de-DE"/>
                </a:p>
              </c:txPr>
              <c:dLblPos val="bestFit"/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6="http://schemas.microsoft.com/office/drawing/2014/chart" uri="{C3380CC4-5D6E-409C-BE32-E72D297353CC}">
                  <c16:uniqueId val="{0000000F-2CDE-4816-9A63-34DDBECA45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de-DE"/>
              </a:p>
            </c:txPr>
            <c:dLblPos val="bestFit"/>
            <c:showLegendKey val="1"/>
            <c:showVal val="1"/>
            <c:showCatName val="1"/>
            <c:showSerName val="1"/>
            <c:showPercent val="1"/>
            <c:showBubbleSize val="1"/>
            <c:separator>;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Auswertung!$B$24:$B$31</c:f>
              <c:strCache>
                <c:ptCount val="8"/>
                <c:pt idx="0">
                  <c:v>Frühschicht</c:v>
                </c:pt>
                <c:pt idx="1">
                  <c:v>Spätschicht</c:v>
                </c:pt>
                <c:pt idx="2">
                  <c:v>Nachtschicht</c:v>
                </c:pt>
                <c:pt idx="3">
                  <c:v>Tagdienst</c:v>
                </c:pt>
                <c:pt idx="4">
                  <c:v>Feiertagsdienst</c:v>
                </c:pt>
                <c:pt idx="5">
                  <c:v>Urlaub</c:v>
                </c:pt>
                <c:pt idx="6">
                  <c:v>Krank</c:v>
                </c:pt>
                <c:pt idx="7">
                  <c:v>Frei</c:v>
                </c:pt>
              </c:strCache>
            </c:strRef>
          </c:cat>
          <c:val>
            <c:numRef>
              <c:f>Auswertung!$D$24:$D$31</c:f>
              <c:numCache>
                <c:formatCode>0</c:formatCode>
                <c:ptCount val="8"/>
                <c:pt idx="0">
                  <c:v>79</c:v>
                </c:pt>
                <c:pt idx="1">
                  <c:v>69</c:v>
                </c:pt>
                <c:pt idx="2">
                  <c:v>0</c:v>
                </c:pt>
                <c:pt idx="3">
                  <c:v>21</c:v>
                </c:pt>
                <c:pt idx="4">
                  <c:v>0</c:v>
                </c:pt>
                <c:pt idx="5">
                  <c:v>7</c:v>
                </c:pt>
                <c:pt idx="6">
                  <c:v>5</c:v>
                </c:pt>
                <c:pt idx="7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CDE-4816-9A63-34DDBECA4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de-DE"/>
        </a:p>
      </c:txPr>
    </c:legend>
    <c:plotVisOnly val="1"/>
    <c:dispBlanksAs val="gap"/>
    <c:showDLblsOverMax val="1"/>
  </c:chart>
  <c:spPr>
    <a:solidFill>
      <a:schemeClr val="accent5">
        <a:lumMod val="20000"/>
        <a:lumOff val="80000"/>
      </a:schemeClr>
    </a:solidFill>
    <a:ln w="9360">
      <a:solidFill>
        <a:srgbClr val="D9D9D9"/>
      </a:solidFill>
      <a:round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7</xdr:row>
      <xdr:rowOff>38099</xdr:rowOff>
    </xdr:from>
    <xdr:to>
      <xdr:col>16</xdr:col>
      <xdr:colOff>381000</xdr:colOff>
      <xdr:row>21</xdr:row>
      <xdr:rowOff>286979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0</xdr:colOff>
      <xdr:row>22</xdr:row>
      <xdr:rowOff>0</xdr:rowOff>
    </xdr:from>
    <xdr:to>
      <xdr:col>11</xdr:col>
      <xdr:colOff>90720</xdr:colOff>
      <xdr:row>37</xdr:row>
      <xdr:rowOff>29520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O16"/>
  <sheetViews>
    <sheetView showGridLines="0"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M17" sqref="M17"/>
    </sheetView>
  </sheetViews>
  <sheetFormatPr baseColWidth="10" defaultColWidth="8.7109375" defaultRowHeight="15" x14ac:dyDescent="0.25"/>
  <cols>
    <col min="1" max="1" width="1" customWidth="1"/>
    <col min="2" max="2" width="5" customWidth="1"/>
    <col min="3" max="3" width="26" customWidth="1"/>
    <col min="4" max="4" width="20" customWidth="1"/>
    <col min="5" max="35" width="4.85546875" customWidth="1"/>
    <col min="36" max="36" width="10" customWidth="1"/>
    <col min="37" max="39" width="6" customWidth="1"/>
    <col min="40" max="40" width="7" customWidth="1"/>
    <col min="41" max="41" width="8" customWidth="1"/>
  </cols>
  <sheetData>
    <row r="1" spans="2:41" ht="33.75" customHeight="1" x14ac:dyDescent="0.25">
      <c r="B1" s="10" t="str">
        <f>"DIENSTPLAN MONATSPLANUNG  —  " &amp; UPPER(Einstellungen!E12) &amp; " " &amp; Einstellungen!C13</f>
        <v>DIENSTPLAN MONATSPLANUNG  —  JUNI 2026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2:41" ht="19.5" customHeight="1" x14ac:dyDescent="0.25">
      <c r="B2" s="9" t="str">
        <f>"Unternehmen: " &amp; Einstellungen!C6 &amp; "  |  Abteilung: " &amp; Einstellungen!C7 &amp; "  |  Verantwortlich: " &amp; Einstellungen!C8</f>
        <v>Unternehmen: Bäckerei Sonnenkorn GmbH  |  Abteilung: Backstube und Verkauf  |  Verantwortlich: Maria Hoffmann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4" spans="2:41" ht="21.75" customHeight="1" x14ac:dyDescent="0.25">
      <c r="B4" s="8" t="s">
        <v>0</v>
      </c>
      <c r="C4" s="8" t="s">
        <v>1</v>
      </c>
      <c r="D4" s="77" t="s">
        <v>2</v>
      </c>
      <c r="E4" s="80">
        <f>IF(1&lt;=Einstellungen!$C$14,1,"")</f>
        <v>1</v>
      </c>
      <c r="F4" s="81">
        <f>IF(2&lt;=Einstellungen!$C$14,2,"")</f>
        <v>2</v>
      </c>
      <c r="G4" s="81">
        <f>IF(3&lt;=Einstellungen!$C$14,3,"")</f>
        <v>3</v>
      </c>
      <c r="H4" s="81">
        <f>IF(4&lt;=Einstellungen!$C$14,4,"")</f>
        <v>4</v>
      </c>
      <c r="I4" s="81">
        <f>IF(5&lt;=Einstellungen!$C$14,5,"")</f>
        <v>5</v>
      </c>
      <c r="J4" s="81">
        <f>IF(6&lt;=Einstellungen!$C$14,6,"")</f>
        <v>6</v>
      </c>
      <c r="K4" s="81">
        <f>IF(7&lt;=Einstellungen!$C$14,7,"")</f>
        <v>7</v>
      </c>
      <c r="L4" s="81">
        <f>IF(8&lt;=Einstellungen!$C$14,8,"")</f>
        <v>8</v>
      </c>
      <c r="M4" s="81">
        <f>IF(9&lt;=Einstellungen!$C$14,9,"")</f>
        <v>9</v>
      </c>
      <c r="N4" s="81">
        <f>IF(10&lt;=Einstellungen!$C$14,10,"")</f>
        <v>10</v>
      </c>
      <c r="O4" s="81">
        <f>IF(11&lt;=Einstellungen!$C$14,11,"")</f>
        <v>11</v>
      </c>
      <c r="P4" s="81">
        <f>IF(12&lt;=Einstellungen!$C$14,12,"")</f>
        <v>12</v>
      </c>
      <c r="Q4" s="81">
        <f>IF(13&lt;=Einstellungen!$C$14,13,"")</f>
        <v>13</v>
      </c>
      <c r="R4" s="81">
        <f>IF(14&lt;=Einstellungen!$C$14,14,"")</f>
        <v>14</v>
      </c>
      <c r="S4" s="81">
        <f>IF(15&lt;=Einstellungen!$C$14,15,"")</f>
        <v>15</v>
      </c>
      <c r="T4" s="81">
        <f>IF(16&lt;=Einstellungen!$C$14,16,"")</f>
        <v>16</v>
      </c>
      <c r="U4" s="81">
        <f>IF(17&lt;=Einstellungen!$C$14,17,"")</f>
        <v>17</v>
      </c>
      <c r="V4" s="81">
        <f>IF(18&lt;=Einstellungen!$C$14,18,"")</f>
        <v>18</v>
      </c>
      <c r="W4" s="81">
        <f>IF(19&lt;=Einstellungen!$C$14,19,"")</f>
        <v>19</v>
      </c>
      <c r="X4" s="81">
        <f>IF(20&lt;=Einstellungen!$C$14,20,"")</f>
        <v>20</v>
      </c>
      <c r="Y4" s="81">
        <f>IF(21&lt;=Einstellungen!$C$14,21,"")</f>
        <v>21</v>
      </c>
      <c r="Z4" s="81">
        <f>IF(22&lt;=Einstellungen!$C$14,22,"")</f>
        <v>22</v>
      </c>
      <c r="AA4" s="81">
        <f>IF(23&lt;=Einstellungen!$C$14,23,"")</f>
        <v>23</v>
      </c>
      <c r="AB4" s="81">
        <f>IF(24&lt;=Einstellungen!$C$14,24,"")</f>
        <v>24</v>
      </c>
      <c r="AC4" s="81">
        <f>IF(25&lt;=Einstellungen!$C$14,25,"")</f>
        <v>25</v>
      </c>
      <c r="AD4" s="81">
        <f>IF(26&lt;=Einstellungen!$C$14,26,"")</f>
        <v>26</v>
      </c>
      <c r="AE4" s="81">
        <f>IF(27&lt;=Einstellungen!$C$14,27,"")</f>
        <v>27</v>
      </c>
      <c r="AF4" s="81">
        <f>IF(28&lt;=Einstellungen!$C$14,28,"")</f>
        <v>28</v>
      </c>
      <c r="AG4" s="81">
        <f>IF(29&lt;=Einstellungen!$C$14,29,"")</f>
        <v>29</v>
      </c>
      <c r="AH4" s="81">
        <f>IF(30&lt;=Einstellungen!$C$14,30,"")</f>
        <v>30</v>
      </c>
      <c r="AI4" s="82" t="str">
        <f>IF(31&lt;=Einstellungen!$C$14,31,"")</f>
        <v/>
      </c>
      <c r="AJ4" s="78" t="s">
        <v>3</v>
      </c>
      <c r="AK4" s="7" t="s">
        <v>4</v>
      </c>
      <c r="AL4" s="7" t="s">
        <v>5</v>
      </c>
      <c r="AM4" s="7" t="s">
        <v>6</v>
      </c>
      <c r="AN4" s="7" t="s">
        <v>7</v>
      </c>
      <c r="AO4" s="7" t="s">
        <v>8</v>
      </c>
    </row>
    <row r="5" spans="2:41" ht="18" customHeight="1" x14ac:dyDescent="0.25">
      <c r="B5" s="8"/>
      <c r="C5" s="8"/>
      <c r="D5" s="77"/>
      <c r="E5" s="83" t="str">
        <f>IF(1&lt;=Einstellungen!$C$14,CHOOSE(WEEKDAY(DATE(Einstellungen!$C$13,Einstellungen!$C$12,1),2),"Mo","Di","Mi","Do","Fr","Sa","So"),"")</f>
        <v>Mo</v>
      </c>
      <c r="F5" s="84" t="str">
        <f>IF(2&lt;=Einstellungen!$C$14,CHOOSE(WEEKDAY(DATE(Einstellungen!$C$13,Einstellungen!$C$12,2),2),"Mo","Di","Mi","Do","Fr","Sa","So"),"")</f>
        <v>Di</v>
      </c>
      <c r="G5" s="84" t="str">
        <f>IF(3&lt;=Einstellungen!$C$14,CHOOSE(WEEKDAY(DATE(Einstellungen!$C$13,Einstellungen!$C$12,3),2),"Mo","Di","Mi","Do","Fr","Sa","So"),"")</f>
        <v>Mi</v>
      </c>
      <c r="H5" s="84" t="str">
        <f>IF(4&lt;=Einstellungen!$C$14,CHOOSE(WEEKDAY(DATE(Einstellungen!$C$13,Einstellungen!$C$12,4),2),"Mo","Di","Mi","Do","Fr","Sa","So"),"")</f>
        <v>Do</v>
      </c>
      <c r="I5" s="84" t="str">
        <f>IF(5&lt;=Einstellungen!$C$14,CHOOSE(WEEKDAY(DATE(Einstellungen!$C$13,Einstellungen!$C$12,5),2),"Mo","Di","Mi","Do","Fr","Sa","So"),"")</f>
        <v>Fr</v>
      </c>
      <c r="J5" s="84" t="str">
        <f>IF(6&lt;=Einstellungen!$C$14,CHOOSE(WEEKDAY(DATE(Einstellungen!$C$13,Einstellungen!$C$12,6),2),"Mo","Di","Mi","Do","Fr","Sa","So"),"")</f>
        <v>Sa</v>
      </c>
      <c r="K5" s="84" t="str">
        <f>IF(7&lt;=Einstellungen!$C$14,CHOOSE(WEEKDAY(DATE(Einstellungen!$C$13,Einstellungen!$C$12,7),2),"Mo","Di","Mi","Do","Fr","Sa","So"),"")</f>
        <v>So</v>
      </c>
      <c r="L5" s="84" t="str">
        <f>IF(8&lt;=Einstellungen!$C$14,CHOOSE(WEEKDAY(DATE(Einstellungen!$C$13,Einstellungen!$C$12,8),2),"Mo","Di","Mi","Do","Fr","Sa","So"),"")</f>
        <v>Mo</v>
      </c>
      <c r="M5" s="84" t="str">
        <f>IF(9&lt;=Einstellungen!$C$14,CHOOSE(WEEKDAY(DATE(Einstellungen!$C$13,Einstellungen!$C$12,9),2),"Mo","Di","Mi","Do","Fr","Sa","So"),"")</f>
        <v>Di</v>
      </c>
      <c r="N5" s="84" t="str">
        <f>IF(10&lt;=Einstellungen!$C$14,CHOOSE(WEEKDAY(DATE(Einstellungen!$C$13,Einstellungen!$C$12,10),2),"Mo","Di","Mi","Do","Fr","Sa","So"),"")</f>
        <v>Mi</v>
      </c>
      <c r="O5" s="84" t="str">
        <f>IF(11&lt;=Einstellungen!$C$14,CHOOSE(WEEKDAY(DATE(Einstellungen!$C$13,Einstellungen!$C$12,11),2),"Mo","Di","Mi","Do","Fr","Sa","So"),"")</f>
        <v>Do</v>
      </c>
      <c r="P5" s="84" t="str">
        <f>IF(12&lt;=Einstellungen!$C$14,CHOOSE(WEEKDAY(DATE(Einstellungen!$C$13,Einstellungen!$C$12,12),2),"Mo","Di","Mi","Do","Fr","Sa","So"),"")</f>
        <v>Fr</v>
      </c>
      <c r="Q5" s="84" t="str">
        <f>IF(13&lt;=Einstellungen!$C$14,CHOOSE(WEEKDAY(DATE(Einstellungen!$C$13,Einstellungen!$C$12,13),2),"Mo","Di","Mi","Do","Fr","Sa","So"),"")</f>
        <v>Sa</v>
      </c>
      <c r="R5" s="84" t="str">
        <f>IF(14&lt;=Einstellungen!$C$14,CHOOSE(WEEKDAY(DATE(Einstellungen!$C$13,Einstellungen!$C$12,14),2),"Mo","Di","Mi","Do","Fr","Sa","So"),"")</f>
        <v>So</v>
      </c>
      <c r="S5" s="84" t="str">
        <f>IF(15&lt;=Einstellungen!$C$14,CHOOSE(WEEKDAY(DATE(Einstellungen!$C$13,Einstellungen!$C$12,15),2),"Mo","Di","Mi","Do","Fr","Sa","So"),"")</f>
        <v>Mo</v>
      </c>
      <c r="T5" s="84" t="str">
        <f>IF(16&lt;=Einstellungen!$C$14,CHOOSE(WEEKDAY(DATE(Einstellungen!$C$13,Einstellungen!$C$12,16),2),"Mo","Di","Mi","Do","Fr","Sa","So"),"")</f>
        <v>Di</v>
      </c>
      <c r="U5" s="84" t="str">
        <f>IF(17&lt;=Einstellungen!$C$14,CHOOSE(WEEKDAY(DATE(Einstellungen!$C$13,Einstellungen!$C$12,17),2),"Mo","Di","Mi","Do","Fr","Sa","So"),"")</f>
        <v>Mi</v>
      </c>
      <c r="V5" s="84" t="str">
        <f>IF(18&lt;=Einstellungen!$C$14,CHOOSE(WEEKDAY(DATE(Einstellungen!$C$13,Einstellungen!$C$12,18),2),"Mo","Di","Mi","Do","Fr","Sa","So"),"")</f>
        <v>Do</v>
      </c>
      <c r="W5" s="84" t="str">
        <f>IF(19&lt;=Einstellungen!$C$14,CHOOSE(WEEKDAY(DATE(Einstellungen!$C$13,Einstellungen!$C$12,19),2),"Mo","Di","Mi","Do","Fr","Sa","So"),"")</f>
        <v>Fr</v>
      </c>
      <c r="X5" s="84" t="str">
        <f>IF(20&lt;=Einstellungen!$C$14,CHOOSE(WEEKDAY(DATE(Einstellungen!$C$13,Einstellungen!$C$12,20),2),"Mo","Di","Mi","Do","Fr","Sa","So"),"")</f>
        <v>Sa</v>
      </c>
      <c r="Y5" s="84" t="str">
        <f>IF(21&lt;=Einstellungen!$C$14,CHOOSE(WEEKDAY(DATE(Einstellungen!$C$13,Einstellungen!$C$12,21),2),"Mo","Di","Mi","Do","Fr","Sa","So"),"")</f>
        <v>So</v>
      </c>
      <c r="Z5" s="84" t="str">
        <f>IF(22&lt;=Einstellungen!$C$14,CHOOSE(WEEKDAY(DATE(Einstellungen!$C$13,Einstellungen!$C$12,22),2),"Mo","Di","Mi","Do","Fr","Sa","So"),"")</f>
        <v>Mo</v>
      </c>
      <c r="AA5" s="84" t="str">
        <f>IF(23&lt;=Einstellungen!$C$14,CHOOSE(WEEKDAY(DATE(Einstellungen!$C$13,Einstellungen!$C$12,23),2),"Mo","Di","Mi","Do","Fr","Sa","So"),"")</f>
        <v>Di</v>
      </c>
      <c r="AB5" s="84" t="str">
        <f>IF(24&lt;=Einstellungen!$C$14,CHOOSE(WEEKDAY(DATE(Einstellungen!$C$13,Einstellungen!$C$12,24),2),"Mo","Di","Mi","Do","Fr","Sa","So"),"")</f>
        <v>Mi</v>
      </c>
      <c r="AC5" s="84" t="str">
        <f>IF(25&lt;=Einstellungen!$C$14,CHOOSE(WEEKDAY(DATE(Einstellungen!$C$13,Einstellungen!$C$12,25),2),"Mo","Di","Mi","Do","Fr","Sa","So"),"")</f>
        <v>Do</v>
      </c>
      <c r="AD5" s="84" t="str">
        <f>IF(26&lt;=Einstellungen!$C$14,CHOOSE(WEEKDAY(DATE(Einstellungen!$C$13,Einstellungen!$C$12,26),2),"Mo","Di","Mi","Do","Fr","Sa","So"),"")</f>
        <v>Fr</v>
      </c>
      <c r="AE5" s="84" t="str">
        <f>IF(27&lt;=Einstellungen!$C$14,CHOOSE(WEEKDAY(DATE(Einstellungen!$C$13,Einstellungen!$C$12,27),2),"Mo","Di","Mi","Do","Fr","Sa","So"),"")</f>
        <v>Sa</v>
      </c>
      <c r="AF5" s="84" t="str">
        <f>IF(28&lt;=Einstellungen!$C$14,CHOOSE(WEEKDAY(DATE(Einstellungen!$C$13,Einstellungen!$C$12,28),2),"Mo","Di","Mi","Do","Fr","Sa","So"),"")</f>
        <v>So</v>
      </c>
      <c r="AG5" s="84" t="str">
        <f>IF(29&lt;=Einstellungen!$C$14,CHOOSE(WEEKDAY(DATE(Einstellungen!$C$13,Einstellungen!$C$12,29),2),"Mo","Di","Mi","Do","Fr","Sa","So"),"")</f>
        <v>Mo</v>
      </c>
      <c r="AH5" s="84" t="str">
        <f>IF(30&lt;=Einstellungen!$C$14,CHOOSE(WEEKDAY(DATE(Einstellungen!$C$13,Einstellungen!$C$12,30),2),"Mo","Di","Mi","Do","Fr","Sa","So"),"")</f>
        <v>Di</v>
      </c>
      <c r="AI5" s="85" t="str">
        <f>IF(31&lt;=Einstellungen!$C$14,CHOOSE(WEEKDAY(DATE(Einstellungen!$C$13,Einstellungen!$C$12,31),2),"Mo","Di","Mi","Do","Fr","Sa","So"),"")</f>
        <v/>
      </c>
      <c r="AJ5" s="78"/>
      <c r="AK5" s="7"/>
      <c r="AL5" s="7"/>
      <c r="AM5" s="7"/>
      <c r="AN5" s="7"/>
      <c r="AO5" s="7"/>
    </row>
    <row r="6" spans="2:41" ht="21.75" customHeight="1" x14ac:dyDescent="0.25">
      <c r="B6" s="11">
        <f>Einstellungen!B29</f>
        <v>1</v>
      </c>
      <c r="C6" s="12" t="str">
        <f>Einstellungen!C29</f>
        <v>Thomas Becker</v>
      </c>
      <c r="D6" s="13" t="str">
        <f>Einstellungen!D29</f>
        <v>Backstubenleiter</v>
      </c>
      <c r="E6" s="79" t="s">
        <v>9</v>
      </c>
      <c r="F6" s="79" t="s">
        <v>10</v>
      </c>
      <c r="G6" s="79" t="s">
        <v>10</v>
      </c>
      <c r="H6" s="79" t="s">
        <v>10</v>
      </c>
      <c r="I6" s="79" t="s">
        <v>10</v>
      </c>
      <c r="J6" s="79" t="s">
        <v>10</v>
      </c>
      <c r="K6" s="79" t="s">
        <v>10</v>
      </c>
      <c r="L6" s="79" t="s">
        <v>10</v>
      </c>
      <c r="M6" s="79" t="s">
        <v>10</v>
      </c>
      <c r="N6" s="79" t="s">
        <v>10</v>
      </c>
      <c r="O6" s="79" t="s">
        <v>10</v>
      </c>
      <c r="P6" s="79" t="s">
        <v>10</v>
      </c>
      <c r="Q6" s="79" t="s">
        <v>9</v>
      </c>
      <c r="R6" s="79" t="s">
        <v>9</v>
      </c>
      <c r="S6" s="79" t="s">
        <v>9</v>
      </c>
      <c r="T6" s="79" t="s">
        <v>10</v>
      </c>
      <c r="U6" s="79" t="s">
        <v>10</v>
      </c>
      <c r="V6" s="79" t="s">
        <v>10</v>
      </c>
      <c r="W6" s="79" t="s">
        <v>10</v>
      </c>
      <c r="X6" s="79" t="s">
        <v>10</v>
      </c>
      <c r="Y6" s="79" t="s">
        <v>10</v>
      </c>
      <c r="Z6" s="79" t="s">
        <v>10</v>
      </c>
      <c r="AA6" s="79" t="s">
        <v>10</v>
      </c>
      <c r="AB6" s="79" t="s">
        <v>10</v>
      </c>
      <c r="AC6" s="79" t="s">
        <v>10</v>
      </c>
      <c r="AD6" s="79" t="s">
        <v>10</v>
      </c>
      <c r="AE6" s="79" t="s">
        <v>9</v>
      </c>
      <c r="AF6" s="79" t="s">
        <v>9</v>
      </c>
      <c r="AG6" s="79" t="s">
        <v>9</v>
      </c>
      <c r="AH6" s="79" t="s">
        <v>10</v>
      </c>
      <c r="AI6" s="79"/>
      <c r="AJ6" s="15" cm="1">
        <f t="array" ref="AJ6">SUMPRODUCT((E6:AI6=Einstellungen!$B$18:$B$25)*Einstellungen!$F$18:$F$25)</f>
        <v>184</v>
      </c>
      <c r="AK6" s="16">
        <f t="shared" ref="AK6:AK13" si="0">COUNTIF(E6:AI6,"F")</f>
        <v>23</v>
      </c>
      <c r="AL6" s="16">
        <f t="shared" ref="AL6:AL13" si="1">COUNTIF(E6:AI6,"S")</f>
        <v>0</v>
      </c>
      <c r="AM6" s="16">
        <f t="shared" ref="AM6:AM13" si="2">COUNTIF(E6:AI6,"N")</f>
        <v>0</v>
      </c>
      <c r="AN6" s="16">
        <f t="shared" ref="AN6:AN13" si="3">COUNTIF(E6:AI6,"X")</f>
        <v>7</v>
      </c>
      <c r="AO6" s="16">
        <f t="shared" ref="AO6:AO13" si="4">COUNTIF(E6:AI6,"U")</f>
        <v>0</v>
      </c>
    </row>
    <row r="7" spans="2:41" ht="21.75" customHeight="1" x14ac:dyDescent="0.25">
      <c r="B7" s="11">
        <f>Einstellungen!B30</f>
        <v>2</v>
      </c>
      <c r="C7" s="12" t="str">
        <f>Einstellungen!C30</f>
        <v>Anna Schmitt</v>
      </c>
      <c r="D7" s="13" t="str">
        <f>Einstellungen!D30</f>
        <v>Bäckerin</v>
      </c>
      <c r="E7" s="14" t="s">
        <v>10</v>
      </c>
      <c r="F7" s="14" t="s">
        <v>10</v>
      </c>
      <c r="G7" s="14" t="s">
        <v>10</v>
      </c>
      <c r="H7" s="14" t="s">
        <v>10</v>
      </c>
      <c r="I7" s="14" t="s">
        <v>11</v>
      </c>
      <c r="J7" s="14" t="s">
        <v>11</v>
      </c>
      <c r="K7" s="14" t="s">
        <v>10</v>
      </c>
      <c r="L7" s="14" t="s">
        <v>10</v>
      </c>
      <c r="M7" s="14" t="s">
        <v>10</v>
      </c>
      <c r="N7" s="14" t="s">
        <v>10</v>
      </c>
      <c r="O7" s="14" t="s">
        <v>10</v>
      </c>
      <c r="P7" s="14" t="s">
        <v>11</v>
      </c>
      <c r="Q7" s="14" t="s">
        <v>11</v>
      </c>
      <c r="R7" s="14" t="s">
        <v>9</v>
      </c>
      <c r="S7" s="14" t="s">
        <v>10</v>
      </c>
      <c r="T7" s="14" t="s">
        <v>10</v>
      </c>
      <c r="U7" s="14" t="s">
        <v>10</v>
      </c>
      <c r="V7" s="14" t="s">
        <v>10</v>
      </c>
      <c r="W7" s="14" t="s">
        <v>11</v>
      </c>
      <c r="X7" s="14" t="s">
        <v>11</v>
      </c>
      <c r="Y7" s="14" t="s">
        <v>9</v>
      </c>
      <c r="Z7" s="14" t="s">
        <v>10</v>
      </c>
      <c r="AA7" s="14" t="s">
        <v>10</v>
      </c>
      <c r="AB7" s="14" t="s">
        <v>12</v>
      </c>
      <c r="AC7" s="14" t="s">
        <v>12</v>
      </c>
      <c r="AD7" s="14" t="s">
        <v>12</v>
      </c>
      <c r="AE7" s="14" t="s">
        <v>12</v>
      </c>
      <c r="AF7" s="14" t="s">
        <v>12</v>
      </c>
      <c r="AG7" s="14" t="s">
        <v>12</v>
      </c>
      <c r="AH7" s="14" t="s">
        <v>12</v>
      </c>
      <c r="AI7" s="14"/>
      <c r="AJ7" s="15" cm="1">
        <f t="array" ref="AJ7">SUMPRODUCT((E7:AI7=Einstellungen!$B$18:$B$25)*Einstellungen!$F$18:$F$25)</f>
        <v>168</v>
      </c>
      <c r="AK7" s="16">
        <f t="shared" si="0"/>
        <v>15</v>
      </c>
      <c r="AL7" s="16">
        <f t="shared" si="1"/>
        <v>6</v>
      </c>
      <c r="AM7" s="16">
        <f t="shared" si="2"/>
        <v>0</v>
      </c>
      <c r="AN7" s="16">
        <f t="shared" si="3"/>
        <v>2</v>
      </c>
      <c r="AO7" s="16">
        <f t="shared" si="4"/>
        <v>7</v>
      </c>
    </row>
    <row r="8" spans="2:41" ht="21.75" customHeight="1" x14ac:dyDescent="0.25">
      <c r="B8" s="11">
        <f>Einstellungen!B31</f>
        <v>3</v>
      </c>
      <c r="C8" s="12" t="str">
        <f>Einstellungen!C31</f>
        <v>Michael Weber</v>
      </c>
      <c r="D8" s="13" t="str">
        <f>Einstellungen!D31</f>
        <v>Bäcker</v>
      </c>
      <c r="E8" s="14" t="s">
        <v>9</v>
      </c>
      <c r="F8" s="14" t="s">
        <v>11</v>
      </c>
      <c r="G8" s="14" t="s">
        <v>11</v>
      </c>
      <c r="H8" s="14" t="s">
        <v>11</v>
      </c>
      <c r="I8" s="14" t="s">
        <v>11</v>
      </c>
      <c r="J8" s="14" t="s">
        <v>10</v>
      </c>
      <c r="K8" s="14" t="s">
        <v>9</v>
      </c>
      <c r="L8" s="14" t="s">
        <v>9</v>
      </c>
      <c r="M8" s="14" t="s">
        <v>11</v>
      </c>
      <c r="N8" s="14" t="s">
        <v>11</v>
      </c>
      <c r="O8" s="14" t="s">
        <v>11</v>
      </c>
      <c r="P8" s="14" t="s">
        <v>11</v>
      </c>
      <c r="Q8" s="14" t="s">
        <v>10</v>
      </c>
      <c r="R8" s="14" t="s">
        <v>10</v>
      </c>
      <c r="S8" s="14" t="s">
        <v>9</v>
      </c>
      <c r="T8" s="14" t="s">
        <v>11</v>
      </c>
      <c r="U8" s="14" t="s">
        <v>11</v>
      </c>
      <c r="V8" s="14" t="s">
        <v>11</v>
      </c>
      <c r="W8" s="14" t="s">
        <v>11</v>
      </c>
      <c r="X8" s="14" t="s">
        <v>10</v>
      </c>
      <c r="Y8" s="14" t="s">
        <v>9</v>
      </c>
      <c r="Z8" s="14" t="s">
        <v>9</v>
      </c>
      <c r="AA8" s="14" t="s">
        <v>11</v>
      </c>
      <c r="AB8" s="14" t="s">
        <v>11</v>
      </c>
      <c r="AC8" s="14" t="s">
        <v>11</v>
      </c>
      <c r="AD8" s="14" t="s">
        <v>11</v>
      </c>
      <c r="AE8" s="14" t="s">
        <v>10</v>
      </c>
      <c r="AF8" s="14" t="s">
        <v>10</v>
      </c>
      <c r="AG8" s="14" t="s">
        <v>9</v>
      </c>
      <c r="AH8" s="14" t="s">
        <v>11</v>
      </c>
      <c r="AI8" s="14"/>
      <c r="AJ8" s="15" cm="1">
        <f t="array" ref="AJ8">SUMPRODUCT((E8:AI8=Einstellungen!$B$18:$B$25)*Einstellungen!$F$18:$F$25)</f>
        <v>184</v>
      </c>
      <c r="AK8" s="16">
        <f t="shared" si="0"/>
        <v>6</v>
      </c>
      <c r="AL8" s="16">
        <f t="shared" si="1"/>
        <v>17</v>
      </c>
      <c r="AM8" s="16">
        <f t="shared" si="2"/>
        <v>0</v>
      </c>
      <c r="AN8" s="16">
        <f t="shared" si="3"/>
        <v>7</v>
      </c>
      <c r="AO8" s="16">
        <f t="shared" si="4"/>
        <v>0</v>
      </c>
    </row>
    <row r="9" spans="2:41" ht="21.75" customHeight="1" x14ac:dyDescent="0.25">
      <c r="B9" s="11">
        <f>Einstellungen!B32</f>
        <v>4</v>
      </c>
      <c r="C9" s="12" t="str">
        <f>Einstellungen!C32</f>
        <v>Julia Wagner</v>
      </c>
      <c r="D9" s="13" t="str">
        <f>Einstellungen!D32</f>
        <v>Verkäuferin</v>
      </c>
      <c r="E9" s="14" t="s">
        <v>10</v>
      </c>
      <c r="F9" s="14" t="s">
        <v>10</v>
      </c>
      <c r="G9" s="14" t="s">
        <v>9</v>
      </c>
      <c r="H9" s="14" t="s">
        <v>10</v>
      </c>
      <c r="I9" s="14" t="s">
        <v>10</v>
      </c>
      <c r="J9" s="14" t="s">
        <v>10</v>
      </c>
      <c r="K9" s="14" t="s">
        <v>9</v>
      </c>
      <c r="L9" s="14" t="s">
        <v>10</v>
      </c>
      <c r="M9" s="14" t="s">
        <v>10</v>
      </c>
      <c r="N9" s="14" t="s">
        <v>9</v>
      </c>
      <c r="O9" s="14" t="s">
        <v>10</v>
      </c>
      <c r="P9" s="14" t="s">
        <v>10</v>
      </c>
      <c r="Q9" s="14" t="s">
        <v>10</v>
      </c>
      <c r="R9" s="14" t="s">
        <v>9</v>
      </c>
      <c r="S9" s="14" t="s">
        <v>10</v>
      </c>
      <c r="T9" s="14" t="s">
        <v>10</v>
      </c>
      <c r="U9" s="14" t="s">
        <v>9</v>
      </c>
      <c r="V9" s="14" t="s">
        <v>10</v>
      </c>
      <c r="W9" s="14" t="s">
        <v>10</v>
      </c>
      <c r="X9" s="14" t="s">
        <v>10</v>
      </c>
      <c r="Y9" s="14" t="s">
        <v>10</v>
      </c>
      <c r="Z9" s="14" t="s">
        <v>10</v>
      </c>
      <c r="AA9" s="14" t="s">
        <v>10</v>
      </c>
      <c r="AB9" s="14" t="s">
        <v>9</v>
      </c>
      <c r="AC9" s="14" t="s">
        <v>10</v>
      </c>
      <c r="AD9" s="14" t="s">
        <v>10</v>
      </c>
      <c r="AE9" s="14" t="s">
        <v>10</v>
      </c>
      <c r="AF9" s="14" t="s">
        <v>9</v>
      </c>
      <c r="AG9" s="14" t="s">
        <v>10</v>
      </c>
      <c r="AH9" s="14" t="s">
        <v>10</v>
      </c>
      <c r="AI9" s="14"/>
      <c r="AJ9" s="15" cm="1">
        <f t="array" ref="AJ9">SUMPRODUCT((E9:AI9=Einstellungen!$B$18:$B$25)*Einstellungen!$F$18:$F$25)</f>
        <v>184</v>
      </c>
      <c r="AK9" s="16">
        <f t="shared" si="0"/>
        <v>23</v>
      </c>
      <c r="AL9" s="16">
        <f t="shared" si="1"/>
        <v>0</v>
      </c>
      <c r="AM9" s="16">
        <f t="shared" si="2"/>
        <v>0</v>
      </c>
      <c r="AN9" s="16">
        <f t="shared" si="3"/>
        <v>7</v>
      </c>
      <c r="AO9" s="16">
        <f t="shared" si="4"/>
        <v>0</v>
      </c>
    </row>
    <row r="10" spans="2:41" ht="21.75" customHeight="1" x14ac:dyDescent="0.25">
      <c r="B10" s="11">
        <f>Einstellungen!B33</f>
        <v>5</v>
      </c>
      <c r="C10" s="12" t="str">
        <f>Einstellungen!C33</f>
        <v>Stefan Krüger</v>
      </c>
      <c r="D10" s="13" t="str">
        <f>Einstellungen!D33</f>
        <v>Verkäufer</v>
      </c>
      <c r="E10" s="14" t="s">
        <v>9</v>
      </c>
      <c r="F10" s="14" t="s">
        <v>11</v>
      </c>
      <c r="G10" s="14" t="s">
        <v>9</v>
      </c>
      <c r="H10" s="14" t="s">
        <v>11</v>
      </c>
      <c r="I10" s="14" t="s">
        <v>11</v>
      </c>
      <c r="J10" s="14" t="s">
        <v>11</v>
      </c>
      <c r="K10" s="14" t="s">
        <v>10</v>
      </c>
      <c r="L10" s="14" t="s">
        <v>9</v>
      </c>
      <c r="M10" s="14" t="s">
        <v>11</v>
      </c>
      <c r="N10" s="14" t="s">
        <v>9</v>
      </c>
      <c r="O10" s="14" t="s">
        <v>9</v>
      </c>
      <c r="P10" s="14" t="s">
        <v>11</v>
      </c>
      <c r="Q10" s="14" t="s">
        <v>11</v>
      </c>
      <c r="R10" s="14" t="s">
        <v>10</v>
      </c>
      <c r="S10" s="14" t="s">
        <v>9</v>
      </c>
      <c r="T10" s="14" t="s">
        <v>11</v>
      </c>
      <c r="U10" s="14" t="s">
        <v>9</v>
      </c>
      <c r="V10" s="14" t="s">
        <v>11</v>
      </c>
      <c r="W10" s="14" t="s">
        <v>11</v>
      </c>
      <c r="X10" s="14" t="s">
        <v>11</v>
      </c>
      <c r="Y10" s="14" t="s">
        <v>10</v>
      </c>
      <c r="Z10" s="14" t="s">
        <v>9</v>
      </c>
      <c r="AA10" s="14" t="s">
        <v>11</v>
      </c>
      <c r="AB10" s="14" t="s">
        <v>9</v>
      </c>
      <c r="AC10" s="14" t="s">
        <v>9</v>
      </c>
      <c r="AD10" s="14" t="s">
        <v>11</v>
      </c>
      <c r="AE10" s="14" t="s">
        <v>11</v>
      </c>
      <c r="AF10" s="14" t="s">
        <v>10</v>
      </c>
      <c r="AG10" s="14" t="s">
        <v>9</v>
      </c>
      <c r="AH10" s="14" t="s">
        <v>11</v>
      </c>
      <c r="AI10" s="14"/>
      <c r="AJ10" s="15" cm="1">
        <f t="array" ref="AJ10">SUMPRODUCT((E10:AI10=Einstellungen!$B$18:$B$25)*Einstellungen!$F$18:$F$25)</f>
        <v>152</v>
      </c>
      <c r="AK10" s="16">
        <f t="shared" si="0"/>
        <v>4</v>
      </c>
      <c r="AL10" s="16">
        <f t="shared" si="1"/>
        <v>15</v>
      </c>
      <c r="AM10" s="16">
        <f t="shared" si="2"/>
        <v>0</v>
      </c>
      <c r="AN10" s="16">
        <f t="shared" si="3"/>
        <v>11</v>
      </c>
      <c r="AO10" s="16">
        <f t="shared" si="4"/>
        <v>0</v>
      </c>
    </row>
    <row r="11" spans="2:41" ht="21.75" customHeight="1" x14ac:dyDescent="0.25">
      <c r="B11" s="11">
        <f>Einstellungen!B34</f>
        <v>6</v>
      </c>
      <c r="C11" s="12" t="str">
        <f>Einstellungen!C34</f>
        <v>Lisa Schäfer</v>
      </c>
      <c r="D11" s="13" t="str">
        <f>Einstellungen!D34</f>
        <v>Verkäuferin</v>
      </c>
      <c r="E11" s="14" t="s">
        <v>11</v>
      </c>
      <c r="F11" s="14" t="s">
        <v>11</v>
      </c>
      <c r="G11" s="14" t="s">
        <v>11</v>
      </c>
      <c r="H11" s="14" t="s">
        <v>11</v>
      </c>
      <c r="I11" s="14" t="s">
        <v>11</v>
      </c>
      <c r="J11" s="14" t="s">
        <v>11</v>
      </c>
      <c r="K11" s="14" t="s">
        <v>9</v>
      </c>
      <c r="L11" s="14" t="s">
        <v>11</v>
      </c>
      <c r="M11" s="14" t="s">
        <v>11</v>
      </c>
      <c r="N11" s="14" t="s">
        <v>13</v>
      </c>
      <c r="O11" s="14" t="s">
        <v>13</v>
      </c>
      <c r="P11" s="14" t="s">
        <v>13</v>
      </c>
      <c r="Q11" s="14" t="s">
        <v>13</v>
      </c>
      <c r="R11" s="14" t="s">
        <v>13</v>
      </c>
      <c r="S11" s="14" t="s">
        <v>11</v>
      </c>
      <c r="T11" s="14" t="s">
        <v>11</v>
      </c>
      <c r="U11" s="14" t="s">
        <v>11</v>
      </c>
      <c r="V11" s="14" t="s">
        <v>11</v>
      </c>
      <c r="W11" s="14" t="s">
        <v>11</v>
      </c>
      <c r="X11" s="14" t="s">
        <v>11</v>
      </c>
      <c r="Y11" s="14" t="s">
        <v>9</v>
      </c>
      <c r="Z11" s="14" t="s">
        <v>11</v>
      </c>
      <c r="AA11" s="14" t="s">
        <v>11</v>
      </c>
      <c r="AB11" s="14" t="s">
        <v>11</v>
      </c>
      <c r="AC11" s="14" t="s">
        <v>11</v>
      </c>
      <c r="AD11" s="14" t="s">
        <v>11</v>
      </c>
      <c r="AE11" s="14" t="s">
        <v>11</v>
      </c>
      <c r="AF11" s="14" t="s">
        <v>9</v>
      </c>
      <c r="AG11" s="14" t="s">
        <v>11</v>
      </c>
      <c r="AH11" s="14" t="s">
        <v>11</v>
      </c>
      <c r="AI11" s="14"/>
      <c r="AJ11" s="15" cm="1">
        <f t="array" ref="AJ11">SUMPRODUCT((E11:AI11=Einstellungen!$B$18:$B$25)*Einstellungen!$F$18:$F$25)</f>
        <v>176</v>
      </c>
      <c r="AK11" s="16">
        <f t="shared" si="0"/>
        <v>0</v>
      </c>
      <c r="AL11" s="16">
        <f t="shared" si="1"/>
        <v>22</v>
      </c>
      <c r="AM11" s="16">
        <f t="shared" si="2"/>
        <v>0</v>
      </c>
      <c r="AN11" s="16">
        <f t="shared" si="3"/>
        <v>3</v>
      </c>
      <c r="AO11" s="16">
        <f t="shared" si="4"/>
        <v>0</v>
      </c>
    </row>
    <row r="12" spans="2:41" ht="21.75" customHeight="1" x14ac:dyDescent="0.25">
      <c r="B12" s="11">
        <f>Einstellungen!B35</f>
        <v>7</v>
      </c>
      <c r="C12" s="12" t="str">
        <f>Einstellungen!C35</f>
        <v>Markus Hoffmann</v>
      </c>
      <c r="D12" s="13" t="str">
        <f>Einstellungen!D35</f>
        <v>Fahrer/Lieferant</v>
      </c>
      <c r="E12" s="14" t="s">
        <v>9</v>
      </c>
      <c r="F12" s="14" t="s">
        <v>14</v>
      </c>
      <c r="G12" s="14" t="s">
        <v>14</v>
      </c>
      <c r="H12" s="14" t="s">
        <v>14</v>
      </c>
      <c r="I12" s="14" t="s">
        <v>14</v>
      </c>
      <c r="J12" s="14" t="s">
        <v>14</v>
      </c>
      <c r="K12" s="14" t="s">
        <v>9</v>
      </c>
      <c r="L12" s="14" t="s">
        <v>9</v>
      </c>
      <c r="M12" s="14" t="s">
        <v>14</v>
      </c>
      <c r="N12" s="14" t="s">
        <v>14</v>
      </c>
      <c r="O12" s="14" t="s">
        <v>14</v>
      </c>
      <c r="P12" s="14" t="s">
        <v>14</v>
      </c>
      <c r="Q12" s="14" t="s">
        <v>14</v>
      </c>
      <c r="R12" s="14" t="s">
        <v>9</v>
      </c>
      <c r="S12" s="14" t="s">
        <v>9</v>
      </c>
      <c r="T12" s="14" t="s">
        <v>14</v>
      </c>
      <c r="U12" s="14" t="s">
        <v>14</v>
      </c>
      <c r="V12" s="14" t="s">
        <v>14</v>
      </c>
      <c r="W12" s="14" t="s">
        <v>14</v>
      </c>
      <c r="X12" s="14" t="s">
        <v>14</v>
      </c>
      <c r="Y12" s="14" t="s">
        <v>9</v>
      </c>
      <c r="Z12" s="14" t="s">
        <v>9</v>
      </c>
      <c r="AA12" s="14" t="s">
        <v>14</v>
      </c>
      <c r="AB12" s="14" t="s">
        <v>14</v>
      </c>
      <c r="AC12" s="14" t="s">
        <v>14</v>
      </c>
      <c r="AD12" s="14" t="s">
        <v>14</v>
      </c>
      <c r="AE12" s="14" t="s">
        <v>14</v>
      </c>
      <c r="AF12" s="14" t="s">
        <v>9</v>
      </c>
      <c r="AG12" s="14" t="s">
        <v>9</v>
      </c>
      <c r="AH12" s="14" t="s">
        <v>14</v>
      </c>
      <c r="AI12" s="14"/>
      <c r="AJ12" s="15" cm="1">
        <f t="array" ref="AJ12">SUMPRODUCT((E12:AI12=Einstellungen!$B$18:$B$25)*Einstellungen!$F$18:$F$25)</f>
        <v>157.5</v>
      </c>
      <c r="AK12" s="16">
        <f t="shared" si="0"/>
        <v>0</v>
      </c>
      <c r="AL12" s="16">
        <f t="shared" si="1"/>
        <v>0</v>
      </c>
      <c r="AM12" s="16">
        <f t="shared" si="2"/>
        <v>0</v>
      </c>
      <c r="AN12" s="16">
        <f t="shared" si="3"/>
        <v>9</v>
      </c>
      <c r="AO12" s="16">
        <f t="shared" si="4"/>
        <v>0</v>
      </c>
    </row>
    <row r="13" spans="2:41" ht="21.75" customHeight="1" x14ac:dyDescent="0.25">
      <c r="B13" s="11">
        <f>Einstellungen!B36</f>
        <v>8</v>
      </c>
      <c r="C13" s="12" t="str">
        <f>Einstellungen!C36</f>
        <v>Sandra Klein</v>
      </c>
      <c r="D13" s="13" t="str">
        <f>Einstellungen!D36</f>
        <v>Hilfskraft Backstube</v>
      </c>
      <c r="E13" s="14" t="s">
        <v>9</v>
      </c>
      <c r="F13" s="14" t="s">
        <v>11</v>
      </c>
      <c r="G13" s="14" t="s">
        <v>10</v>
      </c>
      <c r="H13" s="14" t="s">
        <v>9</v>
      </c>
      <c r="I13" s="14" t="s">
        <v>11</v>
      </c>
      <c r="J13" s="14" t="s">
        <v>10</v>
      </c>
      <c r="K13" s="14" t="s">
        <v>9</v>
      </c>
      <c r="L13" s="14" t="s">
        <v>10</v>
      </c>
      <c r="M13" s="14" t="s">
        <v>9</v>
      </c>
      <c r="N13" s="14" t="s">
        <v>11</v>
      </c>
      <c r="O13" s="14" t="s">
        <v>9</v>
      </c>
      <c r="P13" s="14" t="s">
        <v>10</v>
      </c>
      <c r="Q13" s="14" t="s">
        <v>11</v>
      </c>
      <c r="R13" s="14" t="s">
        <v>9</v>
      </c>
      <c r="S13" s="14" t="s">
        <v>11</v>
      </c>
      <c r="T13" s="14" t="s">
        <v>9</v>
      </c>
      <c r="U13" s="14" t="s">
        <v>10</v>
      </c>
      <c r="V13" s="14" t="s">
        <v>9</v>
      </c>
      <c r="W13" s="14" t="s">
        <v>11</v>
      </c>
      <c r="X13" s="14" t="s">
        <v>10</v>
      </c>
      <c r="Y13" s="14" t="s">
        <v>9</v>
      </c>
      <c r="Z13" s="14" t="s">
        <v>10</v>
      </c>
      <c r="AA13" s="14" t="s">
        <v>9</v>
      </c>
      <c r="AB13" s="14" t="s">
        <v>11</v>
      </c>
      <c r="AC13" s="14" t="s">
        <v>9</v>
      </c>
      <c r="AD13" s="14" t="s">
        <v>10</v>
      </c>
      <c r="AE13" s="14" t="s">
        <v>11</v>
      </c>
      <c r="AF13" s="14" t="s">
        <v>9</v>
      </c>
      <c r="AG13" s="14" t="s">
        <v>11</v>
      </c>
      <c r="AH13" s="14" t="s">
        <v>9</v>
      </c>
      <c r="AI13" s="14"/>
      <c r="AJ13" s="15" cm="1">
        <f t="array" ref="AJ13">SUMPRODUCT((E13:AI13=Einstellungen!$B$18:$B$25)*Einstellungen!$F$18:$F$25)</f>
        <v>136</v>
      </c>
      <c r="AK13" s="16">
        <f t="shared" si="0"/>
        <v>8</v>
      </c>
      <c r="AL13" s="16">
        <f t="shared" si="1"/>
        <v>9</v>
      </c>
      <c r="AM13" s="16">
        <f t="shared" si="2"/>
        <v>0</v>
      </c>
      <c r="AN13" s="16">
        <f t="shared" si="3"/>
        <v>13</v>
      </c>
      <c r="AO13" s="16">
        <f t="shared" si="4"/>
        <v>0</v>
      </c>
    </row>
    <row r="14" spans="2:41" ht="24" customHeight="1" x14ac:dyDescent="0.25">
      <c r="B14" s="6" t="s">
        <v>15</v>
      </c>
      <c r="C14" s="6"/>
      <c r="D14" s="6"/>
      <c r="E14" s="17">
        <f>IF(1&lt;=Einstellungen!$C$14,COUNTIF(E6:E13,"F")+COUNTIF(E6:E13,"S")+COUNTIF(E6:E13,"N")+COUNTIF(E6:E13,"T")+COUNTIF(E6:E13,"FT"),"")</f>
        <v>3</v>
      </c>
      <c r="F14" s="17">
        <f>IF(2&lt;=Einstellungen!$C$14,COUNTIF(F6:F13,"F")+COUNTIF(F6:F13,"S")+COUNTIF(F6:F13,"N")+COUNTIF(F6:F13,"T")+COUNTIF(F6:F13,"FT"),"")</f>
        <v>8</v>
      </c>
      <c r="G14" s="17">
        <f>IF(3&lt;=Einstellungen!$C$14,COUNTIF(G6:G13,"F")+COUNTIF(G6:G13,"S")+COUNTIF(G6:G13,"N")+COUNTIF(G6:G13,"T")+COUNTIF(G6:G13,"FT"),"")</f>
        <v>6</v>
      </c>
      <c r="H14" s="17">
        <f>IF(4&lt;=Einstellungen!$C$14,COUNTIF(H6:H13,"F")+COUNTIF(H6:H13,"S")+COUNTIF(H6:H13,"N")+COUNTIF(H6:H13,"T")+COUNTIF(H6:H13,"FT"),"")</f>
        <v>7</v>
      </c>
      <c r="I14" s="17">
        <f>IF(5&lt;=Einstellungen!$C$14,COUNTIF(I6:I13,"F")+COUNTIF(I6:I13,"S")+COUNTIF(I6:I13,"N")+COUNTIF(I6:I13,"T")+COUNTIF(I6:I13,"FT"),"")</f>
        <v>8</v>
      </c>
      <c r="J14" s="17">
        <f>IF(6&lt;=Einstellungen!$C$14,COUNTIF(J6:J13,"F")+COUNTIF(J6:J13,"S")+COUNTIF(J6:J13,"N")+COUNTIF(J6:J13,"T")+COUNTIF(J6:J13,"FT"),"")</f>
        <v>8</v>
      </c>
      <c r="K14" s="17">
        <f>IF(7&lt;=Einstellungen!$C$14,COUNTIF(K6:K13,"F")+COUNTIF(K6:K13,"S")+COUNTIF(K6:K13,"N")+COUNTIF(K6:K13,"T")+COUNTIF(K6:K13,"FT"),"")</f>
        <v>3</v>
      </c>
      <c r="L14" s="17">
        <f>IF(8&lt;=Einstellungen!$C$14,COUNTIF(L6:L13,"F")+COUNTIF(L6:L13,"S")+COUNTIF(L6:L13,"N")+COUNTIF(L6:L13,"T")+COUNTIF(L6:L13,"FT"),"")</f>
        <v>5</v>
      </c>
      <c r="M14" s="17">
        <f>IF(9&lt;=Einstellungen!$C$14,COUNTIF(M6:M13,"F")+COUNTIF(M6:M13,"S")+COUNTIF(M6:M13,"N")+COUNTIF(M6:M13,"T")+COUNTIF(M6:M13,"FT"),"")</f>
        <v>7</v>
      </c>
      <c r="N14" s="17">
        <f>IF(10&lt;=Einstellungen!$C$14,COUNTIF(N6:N13,"F")+COUNTIF(N6:N13,"S")+COUNTIF(N6:N13,"N")+COUNTIF(N6:N13,"T")+COUNTIF(N6:N13,"FT"),"")</f>
        <v>5</v>
      </c>
      <c r="O14" s="17">
        <f>IF(11&lt;=Einstellungen!$C$14,COUNTIF(O6:O13,"F")+COUNTIF(O6:O13,"S")+COUNTIF(O6:O13,"N")+COUNTIF(O6:O13,"T")+COUNTIF(O6:O13,"FT"),"")</f>
        <v>5</v>
      </c>
      <c r="P14" s="17">
        <f>IF(12&lt;=Einstellungen!$C$14,COUNTIF(P6:P13,"F")+COUNTIF(P6:P13,"S")+COUNTIF(P6:P13,"N")+COUNTIF(P6:P13,"T")+COUNTIF(P6:P13,"FT"),"")</f>
        <v>7</v>
      </c>
      <c r="Q14" s="17">
        <f>IF(13&lt;=Einstellungen!$C$14,COUNTIF(Q6:Q13,"F")+COUNTIF(Q6:Q13,"S")+COUNTIF(Q6:Q13,"N")+COUNTIF(Q6:Q13,"T")+COUNTIF(Q6:Q13,"FT"),"")</f>
        <v>6</v>
      </c>
      <c r="R14" s="17">
        <f>IF(14&lt;=Einstellungen!$C$14,COUNTIF(R6:R13,"F")+COUNTIF(R6:R13,"S")+COUNTIF(R6:R13,"N")+COUNTIF(R6:R13,"T")+COUNTIF(R6:R13,"FT"),"")</f>
        <v>2</v>
      </c>
      <c r="S14" s="17">
        <f>IF(15&lt;=Einstellungen!$C$14,COUNTIF(S6:S13,"F")+COUNTIF(S6:S13,"S")+COUNTIF(S6:S13,"N")+COUNTIF(S6:S13,"T")+COUNTIF(S6:S13,"FT"),"")</f>
        <v>4</v>
      </c>
      <c r="T14" s="17">
        <f>IF(16&lt;=Einstellungen!$C$14,COUNTIF(T6:T13,"F")+COUNTIF(T6:T13,"S")+COUNTIF(T6:T13,"N")+COUNTIF(T6:T13,"T")+COUNTIF(T6:T13,"FT"),"")</f>
        <v>7</v>
      </c>
      <c r="U14" s="17">
        <f>IF(17&lt;=Einstellungen!$C$14,COUNTIF(U6:U13,"F")+COUNTIF(U6:U13,"S")+COUNTIF(U6:U13,"N")+COUNTIF(U6:U13,"T")+COUNTIF(U6:U13,"FT"),"")</f>
        <v>6</v>
      </c>
      <c r="V14" s="17">
        <f>IF(18&lt;=Einstellungen!$C$14,COUNTIF(V6:V13,"F")+COUNTIF(V6:V13,"S")+COUNTIF(V6:V13,"N")+COUNTIF(V6:V13,"T")+COUNTIF(V6:V13,"FT"),"")</f>
        <v>7</v>
      </c>
      <c r="W14" s="17">
        <f>IF(19&lt;=Einstellungen!$C$14,COUNTIF(W6:W13,"F")+COUNTIF(W6:W13,"S")+COUNTIF(W6:W13,"N")+COUNTIF(W6:W13,"T")+COUNTIF(W6:W13,"FT"),"")</f>
        <v>8</v>
      </c>
      <c r="X14" s="17">
        <f>IF(20&lt;=Einstellungen!$C$14,COUNTIF(X6:X13,"F")+COUNTIF(X6:X13,"S")+COUNTIF(X6:X13,"N")+COUNTIF(X6:X13,"T")+COUNTIF(X6:X13,"FT"),"")</f>
        <v>8</v>
      </c>
      <c r="Y14" s="17">
        <f>IF(21&lt;=Einstellungen!$C$14,COUNTIF(Y6:Y13,"F")+COUNTIF(Y6:Y13,"S")+COUNTIF(Y6:Y13,"N")+COUNTIF(Y6:Y13,"T")+COUNTIF(Y6:Y13,"FT"),"")</f>
        <v>3</v>
      </c>
      <c r="Z14" s="17">
        <f>IF(22&lt;=Einstellungen!$C$14,COUNTIF(Z6:Z13,"F")+COUNTIF(Z6:Z13,"S")+COUNTIF(Z6:Z13,"N")+COUNTIF(Z6:Z13,"T")+COUNTIF(Z6:Z13,"FT"),"")</f>
        <v>5</v>
      </c>
      <c r="AA14" s="17">
        <f>IF(23&lt;=Einstellungen!$C$14,COUNTIF(AA6:AA13,"F")+COUNTIF(AA6:AA13,"S")+COUNTIF(AA6:AA13,"N")+COUNTIF(AA6:AA13,"T")+COUNTIF(AA6:AA13,"FT"),"")</f>
        <v>7</v>
      </c>
      <c r="AB14" s="17">
        <f>IF(24&lt;=Einstellungen!$C$14,COUNTIF(AB6:AB13,"F")+COUNTIF(AB6:AB13,"S")+COUNTIF(AB6:AB13,"N")+COUNTIF(AB6:AB13,"T")+COUNTIF(AB6:AB13,"FT"),"")</f>
        <v>5</v>
      </c>
      <c r="AC14" s="17">
        <f>IF(25&lt;=Einstellungen!$C$14,COUNTIF(AC6:AC13,"F")+COUNTIF(AC6:AC13,"S")+COUNTIF(AC6:AC13,"N")+COUNTIF(AC6:AC13,"T")+COUNTIF(AC6:AC13,"FT"),"")</f>
        <v>5</v>
      </c>
      <c r="AD14" s="17">
        <f>IF(26&lt;=Einstellungen!$C$14,COUNTIF(AD6:AD13,"F")+COUNTIF(AD6:AD13,"S")+COUNTIF(AD6:AD13,"N")+COUNTIF(AD6:AD13,"T")+COUNTIF(AD6:AD13,"FT"),"")</f>
        <v>7</v>
      </c>
      <c r="AE14" s="17">
        <f>IF(27&lt;=Einstellungen!$C$14,COUNTIF(AE6:AE13,"F")+COUNTIF(AE6:AE13,"S")+COUNTIF(AE6:AE13,"N")+COUNTIF(AE6:AE13,"T")+COUNTIF(AE6:AE13,"FT"),"")</f>
        <v>6</v>
      </c>
      <c r="AF14" s="17">
        <f>IF(28&lt;=Einstellungen!$C$14,COUNTIF(AF6:AF13,"F")+COUNTIF(AF6:AF13,"S")+COUNTIF(AF6:AF13,"N")+COUNTIF(AF6:AF13,"T")+COUNTIF(AF6:AF13,"FT"),"")</f>
        <v>2</v>
      </c>
      <c r="AG14" s="17">
        <f>IF(29&lt;=Einstellungen!$C$14,COUNTIF(AG6:AG13,"F")+COUNTIF(AG6:AG13,"S")+COUNTIF(AG6:AG13,"N")+COUNTIF(AG6:AG13,"T")+COUNTIF(AG6:AG13,"FT"),"")</f>
        <v>3</v>
      </c>
      <c r="AH14" s="17">
        <f>IF(30&lt;=Einstellungen!$C$14,COUNTIF(AH6:AH13,"F")+COUNTIF(AH6:AH13,"S")+COUNTIF(AH6:AH13,"N")+COUNTIF(AH6:AH13,"T")+COUNTIF(AH6:AH13,"FT"),"")</f>
        <v>6</v>
      </c>
      <c r="AI14" s="17" t="str">
        <f>IF(31&lt;=Einstellungen!$C$14,COUNTIF(AI6:AI13,"F")+COUNTIF(AI6:AI13,"S")+COUNTIF(AI6:AI13,"N")+COUNTIF(AI6:AI13,"T")+COUNTIF(AI6:AI13,"FT"),"")</f>
        <v/>
      </c>
      <c r="AJ14" s="18">
        <f t="shared" ref="AJ14:AO14" si="5">SUM(AJ6:AJ13)</f>
        <v>1341.5</v>
      </c>
      <c r="AK14" s="17">
        <f t="shared" si="5"/>
        <v>79</v>
      </c>
      <c r="AL14" s="17">
        <f t="shared" si="5"/>
        <v>69</v>
      </c>
      <c r="AM14" s="17">
        <f t="shared" si="5"/>
        <v>0</v>
      </c>
      <c r="AN14" s="17">
        <f t="shared" si="5"/>
        <v>59</v>
      </c>
      <c r="AO14" s="17">
        <f t="shared" si="5"/>
        <v>7</v>
      </c>
    </row>
    <row r="16" spans="2:41" ht="21.75" customHeight="1" x14ac:dyDescent="0.25">
      <c r="B16" s="19" t="s">
        <v>16</v>
      </c>
      <c r="C16" s="20" t="s">
        <v>10</v>
      </c>
      <c r="D16" s="5" t="s">
        <v>17</v>
      </c>
      <c r="E16" s="5"/>
      <c r="F16" s="5"/>
      <c r="H16" s="21" t="s">
        <v>11</v>
      </c>
      <c r="I16" s="5" t="s">
        <v>18</v>
      </c>
      <c r="J16" s="5"/>
      <c r="K16" s="5"/>
      <c r="M16" s="22" t="s">
        <v>19</v>
      </c>
      <c r="N16" s="5" t="s">
        <v>20</v>
      </c>
      <c r="O16" s="5"/>
      <c r="P16" s="5"/>
      <c r="R16" s="23" t="s">
        <v>14</v>
      </c>
      <c r="S16" s="5" t="s">
        <v>21</v>
      </c>
      <c r="T16" s="5"/>
      <c r="U16" s="5"/>
      <c r="W16" s="24" t="s">
        <v>22</v>
      </c>
      <c r="X16" s="5" t="s">
        <v>23</v>
      </c>
      <c r="Y16" s="5"/>
      <c r="Z16" s="5"/>
      <c r="AB16" s="25" t="s">
        <v>12</v>
      </c>
      <c r="AC16" s="5" t="s">
        <v>24</v>
      </c>
      <c r="AD16" s="5"/>
      <c r="AE16" s="5"/>
      <c r="AG16" s="26" t="s">
        <v>13</v>
      </c>
      <c r="AH16" s="5" t="s">
        <v>25</v>
      </c>
      <c r="AI16" s="5"/>
      <c r="AJ16" s="5"/>
      <c r="AL16" s="27" t="s">
        <v>9</v>
      </c>
      <c r="AM16" s="5" t="s">
        <v>26</v>
      </c>
      <c r="AN16" s="5"/>
      <c r="AO16" s="5"/>
    </row>
  </sheetData>
  <mergeCells count="20">
    <mergeCell ref="X16:Z16"/>
    <mergeCell ref="AC16:AE16"/>
    <mergeCell ref="AH16:AJ16"/>
    <mergeCell ref="AM16:AO16"/>
    <mergeCell ref="B14:D14"/>
    <mergeCell ref="D16:F16"/>
    <mergeCell ref="I16:K16"/>
    <mergeCell ref="N16:P16"/>
    <mergeCell ref="S16:U16"/>
    <mergeCell ref="B1:AO1"/>
    <mergeCell ref="B2:AO2"/>
    <mergeCell ref="B4:B5"/>
    <mergeCell ref="C4:C5"/>
    <mergeCell ref="D4:D5"/>
    <mergeCell ref="AJ4:AJ5"/>
    <mergeCell ref="AK4:AK5"/>
    <mergeCell ref="AL4:AL5"/>
    <mergeCell ref="AM4:AM5"/>
    <mergeCell ref="AN4:AN5"/>
    <mergeCell ref="AO4:AO5"/>
  </mergeCells>
  <conditionalFormatting sqref="E6:AI13">
    <cfRule type="cellIs" dxfId="69" priority="3" operator="equal">
      <formula>"S"</formula>
    </cfRule>
    <cfRule type="cellIs" dxfId="68" priority="4" operator="equal">
      <formula>"N"</formula>
    </cfRule>
    <cfRule type="cellIs" dxfId="67" priority="5" operator="equal">
      <formula>"T"</formula>
    </cfRule>
    <cfRule type="cellIs" dxfId="66" priority="6" operator="equal">
      <formula>"FT"</formula>
    </cfRule>
    <cfRule type="cellIs" dxfId="65" priority="7" operator="equal">
      <formula>"U"</formula>
    </cfRule>
    <cfRule type="cellIs" dxfId="64" priority="8" operator="equal">
      <formula>"K"</formula>
    </cfRule>
    <cfRule type="cellIs" dxfId="63" priority="9" operator="equal">
      <formula>"X"</formula>
    </cfRule>
    <cfRule type="cellIs" dxfId="62" priority="2" operator="equal">
      <formula>"F"</formula>
    </cfRule>
  </conditionalFormatting>
  <dataValidations count="1">
    <dataValidation type="list" allowBlank="1" errorTitle="Ungültiger Code" error="Bitte wählen Sie einen Code aus der Liste (F, S, N, T, FT, U, K, X) oder lassen Sie die Zelle leer." promptTitle="Schicht" prompt="Wählen oder geben Sie einen Schichtcode ein." sqref="E6:AI13" xr:uid="{00000000-0002-0000-0000-000000000000}">
      <formula1>Schichtcodes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00000000-000E-0000-0000-00000A000000}">
            <xm:f>AND(1&lt;=Einstellungen!$C$14,WEEKDAY(DATE(Einstellungen!$C$13,Einstellungen!$C$12,1),2)&gt;=6)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11" id="{00000000-000E-0000-0000-00000B000000}">
            <xm:f>AND(1&lt;=Einstellungen!$C$14,NOT(ISERROR(MATCH(DATE(Einstellungen!$C$13,Einstellungen!$C$12,1),Feiertage,0))))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E4:E5</xm:sqref>
        </x14:conditionalFormatting>
        <x14:conditionalFormatting xmlns:xm="http://schemas.microsoft.com/office/excel/2006/main">
          <x14:cfRule type="expression" priority="12" id="{00000000-000E-0000-0000-00000C000000}">
            <xm:f>AND(2&lt;=Einstellungen!$C$14,WEEKDAY(DATE(Einstellungen!$C$13,Einstellungen!$C$12,2),2)&gt;=6)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13" id="{00000000-000E-0000-0000-00000D000000}">
            <xm:f>AND(2&lt;=Einstellungen!$C$14,NOT(ISERROR(MATCH(DATE(Einstellungen!$C$13,Einstellungen!$C$12,2),Feiertage,0))))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F4:F5</xm:sqref>
        </x14:conditionalFormatting>
        <x14:conditionalFormatting xmlns:xm="http://schemas.microsoft.com/office/excel/2006/main">
          <x14:cfRule type="expression" priority="14" id="{00000000-000E-0000-0000-00000E000000}">
            <xm:f>AND(3&lt;=Einstellungen!$C$14,WEEKDAY(DATE(Einstellungen!$C$13,Einstellungen!$C$12,3),2)&gt;=6)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15" id="{00000000-000E-0000-0000-00000F000000}">
            <xm:f>AND(3&lt;=Einstellungen!$C$14,NOT(ISERROR(MATCH(DATE(Einstellungen!$C$13,Einstellungen!$C$12,3),Feiertage,0))))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G4:G5</xm:sqref>
        </x14:conditionalFormatting>
        <x14:conditionalFormatting xmlns:xm="http://schemas.microsoft.com/office/excel/2006/main">
          <x14:cfRule type="expression" priority="16" id="{00000000-000E-0000-0000-000010000000}">
            <xm:f>AND(4&lt;=Einstellungen!$C$14,WEEKDAY(DATE(Einstellungen!$C$13,Einstellungen!$C$12,4),2)&gt;=6)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17" id="{00000000-000E-0000-0000-000011000000}">
            <xm:f>AND(4&lt;=Einstellungen!$C$14,NOT(ISERROR(MATCH(DATE(Einstellungen!$C$13,Einstellungen!$C$12,4),Feiertage,0))))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H4:H5</xm:sqref>
        </x14:conditionalFormatting>
        <x14:conditionalFormatting xmlns:xm="http://schemas.microsoft.com/office/excel/2006/main">
          <x14:cfRule type="expression" priority="18" id="{00000000-000E-0000-0000-000012000000}">
            <xm:f>AND(5&lt;=Einstellungen!$C$14,WEEKDAY(DATE(Einstellungen!$C$13,Einstellungen!$C$12,5),2)&gt;=6)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19" id="{00000000-000E-0000-0000-000013000000}">
            <xm:f>AND(5&lt;=Einstellungen!$C$14,NOT(ISERROR(MATCH(DATE(Einstellungen!$C$13,Einstellungen!$C$12,5),Feiertage,0))))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I4:I5</xm:sqref>
        </x14:conditionalFormatting>
        <x14:conditionalFormatting xmlns:xm="http://schemas.microsoft.com/office/excel/2006/main">
          <x14:cfRule type="expression" priority="20" id="{00000000-000E-0000-0000-000014000000}">
            <xm:f>AND(6&lt;=Einstellungen!$C$14,WEEKDAY(DATE(Einstellungen!$C$13,Einstellungen!$C$12,6),2)&gt;=6)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21" id="{00000000-000E-0000-0000-000015000000}">
            <xm:f>AND(6&lt;=Einstellungen!$C$14,NOT(ISERROR(MATCH(DATE(Einstellungen!$C$13,Einstellungen!$C$12,6),Feiertage,0))))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J4:J5</xm:sqref>
        </x14:conditionalFormatting>
        <x14:conditionalFormatting xmlns:xm="http://schemas.microsoft.com/office/excel/2006/main">
          <x14:cfRule type="expression" priority="22" id="{00000000-000E-0000-0000-000016000000}">
            <xm:f>AND(7&lt;=Einstellungen!$C$14,WEEKDAY(DATE(Einstellungen!$C$13,Einstellungen!$C$12,7),2)&gt;=6)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23" id="{00000000-000E-0000-0000-000017000000}">
            <xm:f>AND(7&lt;=Einstellungen!$C$14,NOT(ISERROR(MATCH(DATE(Einstellungen!$C$13,Einstellungen!$C$12,7),Feiertage,0))))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K4:K5</xm:sqref>
        </x14:conditionalFormatting>
        <x14:conditionalFormatting xmlns:xm="http://schemas.microsoft.com/office/excel/2006/main">
          <x14:cfRule type="expression" priority="24" id="{00000000-000E-0000-0000-000018000000}">
            <xm:f>AND(8&lt;=Einstellungen!$C$14,WEEKDAY(DATE(Einstellungen!$C$13,Einstellungen!$C$12,8),2)&gt;=6)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25" id="{00000000-000E-0000-0000-000019000000}">
            <xm:f>AND(8&lt;=Einstellungen!$C$14,NOT(ISERROR(MATCH(DATE(Einstellungen!$C$13,Einstellungen!$C$12,8),Feiertage,0))))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L4:L5</xm:sqref>
        </x14:conditionalFormatting>
        <x14:conditionalFormatting xmlns:xm="http://schemas.microsoft.com/office/excel/2006/main">
          <x14:cfRule type="expression" priority="26" id="{00000000-000E-0000-0000-00001A000000}">
            <xm:f>AND(9&lt;=Einstellungen!$C$14,WEEKDAY(DATE(Einstellungen!$C$13,Einstellungen!$C$12,9),2)&gt;=6)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27" id="{00000000-000E-0000-0000-00001B000000}">
            <xm:f>AND(9&lt;=Einstellungen!$C$14,NOT(ISERROR(MATCH(DATE(Einstellungen!$C$13,Einstellungen!$C$12,9),Feiertage,0))))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M4:M5</xm:sqref>
        </x14:conditionalFormatting>
        <x14:conditionalFormatting xmlns:xm="http://schemas.microsoft.com/office/excel/2006/main">
          <x14:cfRule type="expression" priority="28" id="{00000000-000E-0000-0000-00001C000000}">
            <xm:f>AND(10&lt;=Einstellungen!$C$14,WEEKDAY(DATE(Einstellungen!$C$13,Einstellungen!$C$12,10),2)&gt;=6)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29" id="{00000000-000E-0000-0000-00001D000000}">
            <xm:f>AND(10&lt;=Einstellungen!$C$14,NOT(ISERROR(MATCH(DATE(Einstellungen!$C$13,Einstellungen!$C$12,10),Feiertage,0))))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N4:N5</xm:sqref>
        </x14:conditionalFormatting>
        <x14:conditionalFormatting xmlns:xm="http://schemas.microsoft.com/office/excel/2006/main">
          <x14:cfRule type="expression" priority="30" id="{00000000-000E-0000-0000-00001E000000}">
            <xm:f>AND(11&lt;=Einstellungen!$C$14,WEEKDAY(DATE(Einstellungen!$C$13,Einstellungen!$C$12,11),2)&gt;=6)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31" id="{00000000-000E-0000-0000-00001F000000}">
            <xm:f>AND(11&lt;=Einstellungen!$C$14,NOT(ISERROR(MATCH(DATE(Einstellungen!$C$13,Einstellungen!$C$12,11),Feiertage,0))))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O4:O5</xm:sqref>
        </x14:conditionalFormatting>
        <x14:conditionalFormatting xmlns:xm="http://schemas.microsoft.com/office/excel/2006/main">
          <x14:cfRule type="expression" priority="32" id="{00000000-000E-0000-0000-000020000000}">
            <xm:f>AND(12&lt;=Einstellungen!$C$14,WEEKDAY(DATE(Einstellungen!$C$13,Einstellungen!$C$12,12),2)&gt;=6)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33" id="{00000000-000E-0000-0000-000021000000}">
            <xm:f>AND(12&lt;=Einstellungen!$C$14,NOT(ISERROR(MATCH(DATE(Einstellungen!$C$13,Einstellungen!$C$12,12),Feiertage,0))))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P4:P5</xm:sqref>
        </x14:conditionalFormatting>
        <x14:conditionalFormatting xmlns:xm="http://schemas.microsoft.com/office/excel/2006/main">
          <x14:cfRule type="expression" priority="34" id="{00000000-000E-0000-0000-000022000000}">
            <xm:f>AND(13&lt;=Einstellungen!$C$14,WEEKDAY(DATE(Einstellungen!$C$13,Einstellungen!$C$12,13),2)&gt;=6)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35" id="{00000000-000E-0000-0000-000023000000}">
            <xm:f>AND(13&lt;=Einstellungen!$C$14,NOT(ISERROR(MATCH(DATE(Einstellungen!$C$13,Einstellungen!$C$12,13),Feiertage,0))))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Q4:Q5</xm:sqref>
        </x14:conditionalFormatting>
        <x14:conditionalFormatting xmlns:xm="http://schemas.microsoft.com/office/excel/2006/main">
          <x14:cfRule type="expression" priority="36" id="{00000000-000E-0000-0000-000024000000}">
            <xm:f>AND(14&lt;=Einstellungen!$C$14,WEEKDAY(DATE(Einstellungen!$C$13,Einstellungen!$C$12,14),2)&gt;=6)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37" id="{00000000-000E-0000-0000-000025000000}">
            <xm:f>AND(14&lt;=Einstellungen!$C$14,NOT(ISERROR(MATCH(DATE(Einstellungen!$C$13,Einstellungen!$C$12,14),Feiertage,0))))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R4:R5</xm:sqref>
        </x14:conditionalFormatting>
        <x14:conditionalFormatting xmlns:xm="http://schemas.microsoft.com/office/excel/2006/main">
          <x14:cfRule type="expression" priority="38" id="{00000000-000E-0000-0000-000026000000}">
            <xm:f>AND(15&lt;=Einstellungen!$C$14,WEEKDAY(DATE(Einstellungen!$C$13,Einstellungen!$C$12,15),2)&gt;=6)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39" id="{00000000-000E-0000-0000-000027000000}">
            <xm:f>AND(15&lt;=Einstellungen!$C$14,NOT(ISERROR(MATCH(DATE(Einstellungen!$C$13,Einstellungen!$C$12,15),Feiertage,0))))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S4:S5</xm:sqref>
        </x14:conditionalFormatting>
        <x14:conditionalFormatting xmlns:xm="http://schemas.microsoft.com/office/excel/2006/main">
          <x14:cfRule type="expression" priority="40" id="{00000000-000E-0000-0000-000028000000}">
            <xm:f>AND(16&lt;=Einstellungen!$C$14,WEEKDAY(DATE(Einstellungen!$C$13,Einstellungen!$C$12,16),2)&gt;=6)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41" id="{00000000-000E-0000-0000-000029000000}">
            <xm:f>AND(16&lt;=Einstellungen!$C$14,NOT(ISERROR(MATCH(DATE(Einstellungen!$C$13,Einstellungen!$C$12,16),Feiertage,0))))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T4:T5</xm:sqref>
        </x14:conditionalFormatting>
        <x14:conditionalFormatting xmlns:xm="http://schemas.microsoft.com/office/excel/2006/main">
          <x14:cfRule type="expression" priority="42" id="{00000000-000E-0000-0000-00002A000000}">
            <xm:f>AND(17&lt;=Einstellungen!$C$14,WEEKDAY(DATE(Einstellungen!$C$13,Einstellungen!$C$12,17),2)&gt;=6)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43" id="{00000000-000E-0000-0000-00002B000000}">
            <xm:f>AND(17&lt;=Einstellungen!$C$14,NOT(ISERROR(MATCH(DATE(Einstellungen!$C$13,Einstellungen!$C$12,17),Feiertage,0))))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U4:U5</xm:sqref>
        </x14:conditionalFormatting>
        <x14:conditionalFormatting xmlns:xm="http://schemas.microsoft.com/office/excel/2006/main">
          <x14:cfRule type="expression" priority="44" id="{00000000-000E-0000-0000-00002C000000}">
            <xm:f>AND(18&lt;=Einstellungen!$C$14,WEEKDAY(DATE(Einstellungen!$C$13,Einstellungen!$C$12,18),2)&gt;=6)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45" id="{00000000-000E-0000-0000-00002D000000}">
            <xm:f>AND(18&lt;=Einstellungen!$C$14,NOT(ISERROR(MATCH(DATE(Einstellungen!$C$13,Einstellungen!$C$12,18),Feiertage,0))))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V4:V5</xm:sqref>
        </x14:conditionalFormatting>
        <x14:conditionalFormatting xmlns:xm="http://schemas.microsoft.com/office/excel/2006/main">
          <x14:cfRule type="expression" priority="46" id="{00000000-000E-0000-0000-00002E000000}">
            <xm:f>AND(19&lt;=Einstellungen!$C$14,WEEKDAY(DATE(Einstellungen!$C$13,Einstellungen!$C$12,19),2)&gt;=6)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47" id="{00000000-000E-0000-0000-00002F000000}">
            <xm:f>AND(19&lt;=Einstellungen!$C$14,NOT(ISERROR(MATCH(DATE(Einstellungen!$C$13,Einstellungen!$C$12,19),Feiertage,0))))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W4:W5</xm:sqref>
        </x14:conditionalFormatting>
        <x14:conditionalFormatting xmlns:xm="http://schemas.microsoft.com/office/excel/2006/main">
          <x14:cfRule type="expression" priority="48" id="{00000000-000E-0000-0000-000030000000}">
            <xm:f>AND(20&lt;=Einstellungen!$C$14,WEEKDAY(DATE(Einstellungen!$C$13,Einstellungen!$C$12,20),2)&gt;=6)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49" id="{00000000-000E-0000-0000-000031000000}">
            <xm:f>AND(20&lt;=Einstellungen!$C$14,NOT(ISERROR(MATCH(DATE(Einstellungen!$C$13,Einstellungen!$C$12,20),Feiertage,0))))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X4:X5</xm:sqref>
        </x14:conditionalFormatting>
        <x14:conditionalFormatting xmlns:xm="http://schemas.microsoft.com/office/excel/2006/main">
          <x14:cfRule type="expression" priority="50" id="{00000000-000E-0000-0000-000032000000}">
            <xm:f>AND(21&lt;=Einstellungen!$C$14,WEEKDAY(DATE(Einstellungen!$C$13,Einstellungen!$C$12,21),2)&gt;=6)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51" id="{00000000-000E-0000-0000-000033000000}">
            <xm:f>AND(21&lt;=Einstellungen!$C$14,NOT(ISERROR(MATCH(DATE(Einstellungen!$C$13,Einstellungen!$C$12,21),Feiertage,0))))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Y4:Y5</xm:sqref>
        </x14:conditionalFormatting>
        <x14:conditionalFormatting xmlns:xm="http://schemas.microsoft.com/office/excel/2006/main">
          <x14:cfRule type="expression" priority="52" id="{00000000-000E-0000-0000-000034000000}">
            <xm:f>AND(22&lt;=Einstellungen!$C$14,WEEKDAY(DATE(Einstellungen!$C$13,Einstellungen!$C$12,22),2)&gt;=6)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53" id="{00000000-000E-0000-0000-000035000000}">
            <xm:f>AND(22&lt;=Einstellungen!$C$14,NOT(ISERROR(MATCH(DATE(Einstellungen!$C$13,Einstellungen!$C$12,22),Feiertage,0))))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Z4:Z5</xm:sqref>
        </x14:conditionalFormatting>
        <x14:conditionalFormatting xmlns:xm="http://schemas.microsoft.com/office/excel/2006/main">
          <x14:cfRule type="expression" priority="54" id="{00000000-000E-0000-0000-000036000000}">
            <xm:f>AND(23&lt;=Einstellungen!$C$14,WEEKDAY(DATE(Einstellungen!$C$13,Einstellungen!$C$12,23),2)&gt;=6)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55" id="{00000000-000E-0000-0000-000037000000}">
            <xm:f>AND(23&lt;=Einstellungen!$C$14,NOT(ISERROR(MATCH(DATE(Einstellungen!$C$13,Einstellungen!$C$12,23),Feiertage,0))))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AA4:AA5</xm:sqref>
        </x14:conditionalFormatting>
        <x14:conditionalFormatting xmlns:xm="http://schemas.microsoft.com/office/excel/2006/main">
          <x14:cfRule type="expression" priority="56" id="{00000000-000E-0000-0000-000038000000}">
            <xm:f>AND(24&lt;=Einstellungen!$C$14,WEEKDAY(DATE(Einstellungen!$C$13,Einstellungen!$C$12,24),2)&gt;=6)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57" id="{00000000-000E-0000-0000-000039000000}">
            <xm:f>AND(24&lt;=Einstellungen!$C$14,NOT(ISERROR(MATCH(DATE(Einstellungen!$C$13,Einstellungen!$C$12,24),Feiertage,0))))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AB4:AB5</xm:sqref>
        </x14:conditionalFormatting>
        <x14:conditionalFormatting xmlns:xm="http://schemas.microsoft.com/office/excel/2006/main">
          <x14:cfRule type="expression" priority="58" id="{00000000-000E-0000-0000-00003A000000}">
            <xm:f>AND(25&lt;=Einstellungen!$C$14,WEEKDAY(DATE(Einstellungen!$C$13,Einstellungen!$C$12,25),2)&gt;=6)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59" id="{00000000-000E-0000-0000-00003B000000}">
            <xm:f>AND(25&lt;=Einstellungen!$C$14,NOT(ISERROR(MATCH(DATE(Einstellungen!$C$13,Einstellungen!$C$12,25),Feiertage,0))))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AC4:AC5</xm:sqref>
        </x14:conditionalFormatting>
        <x14:conditionalFormatting xmlns:xm="http://schemas.microsoft.com/office/excel/2006/main">
          <x14:cfRule type="expression" priority="60" id="{00000000-000E-0000-0000-00003C000000}">
            <xm:f>AND(26&lt;=Einstellungen!$C$14,WEEKDAY(DATE(Einstellungen!$C$13,Einstellungen!$C$12,26),2)&gt;=6)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61" id="{00000000-000E-0000-0000-00003D000000}">
            <xm:f>AND(26&lt;=Einstellungen!$C$14,NOT(ISERROR(MATCH(DATE(Einstellungen!$C$13,Einstellungen!$C$12,26),Feiertage,0))))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AD4:AD5</xm:sqref>
        </x14:conditionalFormatting>
        <x14:conditionalFormatting xmlns:xm="http://schemas.microsoft.com/office/excel/2006/main">
          <x14:cfRule type="expression" priority="62" id="{00000000-000E-0000-0000-00003E000000}">
            <xm:f>AND(27&lt;=Einstellungen!$C$14,WEEKDAY(DATE(Einstellungen!$C$13,Einstellungen!$C$12,27),2)&gt;=6)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63" id="{00000000-000E-0000-0000-00003F000000}">
            <xm:f>AND(27&lt;=Einstellungen!$C$14,NOT(ISERROR(MATCH(DATE(Einstellungen!$C$13,Einstellungen!$C$12,27),Feiertage,0))))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AE4:AE5</xm:sqref>
        </x14:conditionalFormatting>
        <x14:conditionalFormatting xmlns:xm="http://schemas.microsoft.com/office/excel/2006/main">
          <x14:cfRule type="expression" priority="64" id="{00000000-000E-0000-0000-000040000000}">
            <xm:f>AND(28&lt;=Einstellungen!$C$14,WEEKDAY(DATE(Einstellungen!$C$13,Einstellungen!$C$12,28),2)&gt;=6)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65" id="{00000000-000E-0000-0000-000041000000}">
            <xm:f>AND(28&lt;=Einstellungen!$C$14,NOT(ISERROR(MATCH(DATE(Einstellungen!$C$13,Einstellungen!$C$12,28),Feiertage,0))))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AF4:AF5</xm:sqref>
        </x14:conditionalFormatting>
        <x14:conditionalFormatting xmlns:xm="http://schemas.microsoft.com/office/excel/2006/main">
          <x14:cfRule type="expression" priority="66" id="{00000000-000E-0000-0000-000042000000}">
            <xm:f>AND(29&lt;=Einstellungen!$C$14,WEEKDAY(DATE(Einstellungen!$C$13,Einstellungen!$C$12,29),2)&gt;=6)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67" id="{00000000-000E-0000-0000-000043000000}">
            <xm:f>AND(29&lt;=Einstellungen!$C$14,NOT(ISERROR(MATCH(DATE(Einstellungen!$C$13,Einstellungen!$C$12,29),Feiertage,0))))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AG4:AG5</xm:sqref>
        </x14:conditionalFormatting>
        <x14:conditionalFormatting xmlns:xm="http://schemas.microsoft.com/office/excel/2006/main">
          <x14:cfRule type="expression" priority="68" id="{00000000-000E-0000-0000-000044000000}">
            <xm:f>AND(30&lt;=Einstellungen!$C$14,WEEKDAY(DATE(Einstellungen!$C$13,Einstellungen!$C$12,30),2)&gt;=6)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69" id="{00000000-000E-0000-0000-000045000000}">
            <xm:f>AND(30&lt;=Einstellungen!$C$14,NOT(ISERROR(MATCH(DATE(Einstellungen!$C$13,Einstellungen!$C$12,30),Feiertage,0))))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AH4:AH5</xm:sqref>
        </x14:conditionalFormatting>
        <x14:conditionalFormatting xmlns:xm="http://schemas.microsoft.com/office/excel/2006/main">
          <x14:cfRule type="expression" priority="70" id="{00000000-000E-0000-0000-000046000000}">
            <xm:f>AND(31&lt;=Einstellungen!$C$14,WEEKDAY(DATE(Einstellungen!$C$13,Einstellungen!$C$12,31),2)&gt;=6)</xm:f>
            <x14:dxf>
              <font>
                <b/>
                <sz val="11"/>
                <color rgb="FFFFE699"/>
                <name val="Calibri"/>
                <charset val="1"/>
              </font>
              <fill>
                <patternFill>
                  <bgColor rgb="FF2E5395"/>
                </patternFill>
              </fill>
            </x14:dxf>
          </x14:cfRule>
          <x14:cfRule type="expression" priority="71" id="{00000000-000E-0000-0000-000047000000}">
            <xm:f>AND(31&lt;=Einstellungen!$C$14,NOT(ISERROR(MATCH(DATE(Einstellungen!$C$13,Einstellungen!$C$12,31),Feiertage,0))))</xm:f>
            <x14:dxf>
              <font>
                <b/>
                <sz val="11"/>
                <color rgb="FFFFFFFF"/>
                <name val="Calibri"/>
                <charset val="1"/>
              </font>
              <fill>
                <patternFill>
                  <bgColor rgb="FFC00000"/>
                </patternFill>
              </fill>
            </x14:dxf>
          </x14:cfRule>
          <xm:sqref>AI4:AI5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36"/>
  <sheetViews>
    <sheetView showGridLines="0" zoomScaleNormal="100" workbookViewId="0">
      <selection activeCell="E13" sqref="E13"/>
    </sheetView>
  </sheetViews>
  <sheetFormatPr baseColWidth="10" defaultColWidth="8.7109375" defaultRowHeight="15" x14ac:dyDescent="0.25"/>
  <cols>
    <col min="1" max="1" width="2" customWidth="1"/>
    <col min="2" max="2" width="22" customWidth="1"/>
    <col min="3" max="3" width="28" customWidth="1"/>
    <col min="4" max="4" width="20" customWidth="1"/>
    <col min="5" max="5" width="14" customWidth="1"/>
    <col min="6" max="6" width="18" customWidth="1"/>
    <col min="7" max="7" width="22" customWidth="1"/>
    <col min="8" max="8" width="14.140625" bestFit="1" customWidth="1"/>
    <col min="9" max="9" width="2" customWidth="1"/>
    <col min="10" max="10" width="14" customWidth="1"/>
    <col min="11" max="11" width="26" customWidth="1"/>
  </cols>
  <sheetData>
    <row r="2" spans="2:11" ht="31.5" customHeight="1" x14ac:dyDescent="0.25">
      <c r="B2" s="10" t="s">
        <v>27</v>
      </c>
      <c r="C2" s="10"/>
      <c r="D2" s="10"/>
      <c r="E2" s="10"/>
      <c r="F2" s="10"/>
      <c r="G2" s="10"/>
      <c r="H2" s="10"/>
    </row>
    <row r="3" spans="2:11" ht="19.5" customHeight="1" x14ac:dyDescent="0.25">
      <c r="B3" s="4" t="s">
        <v>28</v>
      </c>
      <c r="C3" s="4"/>
      <c r="D3" s="4"/>
      <c r="E3" s="4"/>
      <c r="F3" s="4"/>
      <c r="G3" s="4"/>
      <c r="H3" s="4"/>
    </row>
    <row r="5" spans="2:11" ht="24" customHeight="1" x14ac:dyDescent="0.25">
      <c r="B5" s="3" t="s">
        <v>29</v>
      </c>
      <c r="C5" s="3"/>
      <c r="D5" s="3"/>
      <c r="J5" s="3" t="s">
        <v>30</v>
      </c>
      <c r="K5" s="3"/>
    </row>
    <row r="6" spans="2:11" x14ac:dyDescent="0.25">
      <c r="B6" s="28" t="s">
        <v>31</v>
      </c>
      <c r="C6" s="2" t="s">
        <v>32</v>
      </c>
      <c r="D6" s="2"/>
      <c r="J6" s="29" t="s">
        <v>33</v>
      </c>
      <c r="K6" s="29" t="s">
        <v>34</v>
      </c>
    </row>
    <row r="7" spans="2:11" x14ac:dyDescent="0.25">
      <c r="B7" s="28" t="s">
        <v>35</v>
      </c>
      <c r="C7" s="2" t="s">
        <v>36</v>
      </c>
      <c r="D7" s="2"/>
      <c r="J7" s="30">
        <v>46023</v>
      </c>
      <c r="K7" s="31" t="s">
        <v>37</v>
      </c>
    </row>
    <row r="8" spans="2:11" x14ac:dyDescent="0.25">
      <c r="B8" s="28" t="s">
        <v>38</v>
      </c>
      <c r="C8" s="2" t="s">
        <v>39</v>
      </c>
      <c r="D8" s="2"/>
      <c r="J8" s="30">
        <v>46028</v>
      </c>
      <c r="K8" s="31" t="s">
        <v>40</v>
      </c>
    </row>
    <row r="9" spans="2:11" x14ac:dyDescent="0.25">
      <c r="B9" s="28" t="s">
        <v>41</v>
      </c>
      <c r="C9" s="2" t="s">
        <v>42</v>
      </c>
      <c r="D9" s="2"/>
      <c r="J9" s="30">
        <v>46115</v>
      </c>
      <c r="K9" s="31" t="s">
        <v>43</v>
      </c>
    </row>
    <row r="10" spans="2:11" x14ac:dyDescent="0.25">
      <c r="J10" s="30">
        <v>46118</v>
      </c>
      <c r="K10" s="31" t="s">
        <v>44</v>
      </c>
    </row>
    <row r="11" spans="2:11" ht="24" customHeight="1" x14ac:dyDescent="0.25">
      <c r="B11" s="3" t="s">
        <v>45</v>
      </c>
      <c r="C11" s="3"/>
      <c r="D11" s="3"/>
      <c r="J11" s="30">
        <v>46143</v>
      </c>
      <c r="K11" s="31" t="s">
        <v>46</v>
      </c>
    </row>
    <row r="12" spans="2:11" x14ac:dyDescent="0.25">
      <c r="B12" s="28" t="s">
        <v>47</v>
      </c>
      <c r="C12" s="32">
        <v>6</v>
      </c>
      <c r="D12" s="33" t="s">
        <v>48</v>
      </c>
      <c r="E12" s="19" t="str">
        <f>CHOOSE(C12,"Januar","Februar","März","April","Mai","Juni","Juli","August","September","Oktober","November","Dezember")</f>
        <v>Juni</v>
      </c>
      <c r="J12" s="30">
        <v>46156</v>
      </c>
      <c r="K12" s="31" t="s">
        <v>49</v>
      </c>
    </row>
    <row r="13" spans="2:11" x14ac:dyDescent="0.25">
      <c r="B13" s="28" t="s">
        <v>50</v>
      </c>
      <c r="C13" s="34">
        <v>2026</v>
      </c>
      <c r="J13" s="30">
        <v>46167</v>
      </c>
      <c r="K13" s="31" t="s">
        <v>51</v>
      </c>
    </row>
    <row r="14" spans="2:11" x14ac:dyDescent="0.25">
      <c r="B14" s="28" t="s">
        <v>52</v>
      </c>
      <c r="C14" s="35">
        <f>DAY(DATE(C13,C12+1,1)-1)</f>
        <v>30</v>
      </c>
      <c r="J14" s="30">
        <v>46298</v>
      </c>
      <c r="K14" s="31" t="s">
        <v>53</v>
      </c>
    </row>
    <row r="15" spans="2:11" x14ac:dyDescent="0.25">
      <c r="J15" s="30">
        <v>46326</v>
      </c>
      <c r="K15" s="31" t="s">
        <v>54</v>
      </c>
    </row>
    <row r="16" spans="2:11" ht="24" customHeight="1" x14ac:dyDescent="0.25">
      <c r="B16" s="3" t="s">
        <v>55</v>
      </c>
      <c r="C16" s="3"/>
      <c r="D16" s="3"/>
      <c r="E16" s="3"/>
      <c r="F16" s="3"/>
      <c r="G16" s="3"/>
      <c r="H16" s="3"/>
      <c r="J16" s="30">
        <v>46381</v>
      </c>
      <c r="K16" s="31" t="s">
        <v>56</v>
      </c>
    </row>
    <row r="17" spans="2:11" ht="21.75" customHeight="1" x14ac:dyDescent="0.25">
      <c r="B17" s="29" t="s">
        <v>57</v>
      </c>
      <c r="C17" s="29" t="s">
        <v>34</v>
      </c>
      <c r="D17" s="29" t="s">
        <v>58</v>
      </c>
      <c r="E17" s="29" t="s">
        <v>59</v>
      </c>
      <c r="F17" s="29" t="s">
        <v>60</v>
      </c>
      <c r="G17" s="29" t="s">
        <v>61</v>
      </c>
      <c r="H17" s="29" t="s">
        <v>62</v>
      </c>
      <c r="J17" s="30">
        <v>46382</v>
      </c>
      <c r="K17" s="31" t="s">
        <v>63</v>
      </c>
    </row>
    <row r="18" spans="2:11" ht="15.75" x14ac:dyDescent="0.25">
      <c r="B18" s="36" t="s">
        <v>10</v>
      </c>
      <c r="C18" s="31" t="s">
        <v>17</v>
      </c>
      <c r="D18" s="37" t="s">
        <v>64</v>
      </c>
      <c r="E18" s="37" t="s">
        <v>65</v>
      </c>
      <c r="F18" s="38">
        <v>8</v>
      </c>
      <c r="G18" s="37" t="s">
        <v>66</v>
      </c>
      <c r="H18" s="39"/>
    </row>
    <row r="19" spans="2:11" ht="15.75" x14ac:dyDescent="0.25">
      <c r="B19" s="40" t="s">
        <v>11</v>
      </c>
      <c r="C19" s="31" t="s">
        <v>18</v>
      </c>
      <c r="D19" s="37" t="s">
        <v>65</v>
      </c>
      <c r="E19" s="37" t="s">
        <v>67</v>
      </c>
      <c r="F19" s="38">
        <v>8</v>
      </c>
      <c r="G19" s="37" t="s">
        <v>66</v>
      </c>
      <c r="H19" s="41"/>
    </row>
    <row r="20" spans="2:11" ht="15.75" x14ac:dyDescent="0.25">
      <c r="B20" s="42" t="s">
        <v>19</v>
      </c>
      <c r="C20" s="31" t="s">
        <v>20</v>
      </c>
      <c r="D20" s="37" t="s">
        <v>67</v>
      </c>
      <c r="E20" s="37" t="s">
        <v>64</v>
      </c>
      <c r="F20" s="38">
        <v>8</v>
      </c>
      <c r="G20" s="37" t="s">
        <v>66</v>
      </c>
      <c r="H20" s="43"/>
    </row>
    <row r="21" spans="2:11" ht="15.75" x14ac:dyDescent="0.25">
      <c r="B21" s="44" t="s">
        <v>14</v>
      </c>
      <c r="C21" s="31" t="s">
        <v>68</v>
      </c>
      <c r="D21" s="37" t="s">
        <v>69</v>
      </c>
      <c r="E21" s="37" t="s">
        <v>70</v>
      </c>
      <c r="F21" s="38">
        <v>7.5</v>
      </c>
      <c r="G21" s="37" t="s">
        <v>66</v>
      </c>
      <c r="H21" s="45"/>
    </row>
    <row r="22" spans="2:11" ht="15.75" x14ac:dyDescent="0.25">
      <c r="B22" s="46" t="s">
        <v>22</v>
      </c>
      <c r="C22" s="31" t="s">
        <v>71</v>
      </c>
      <c r="D22" s="37" t="s">
        <v>72</v>
      </c>
      <c r="E22" s="37" t="s">
        <v>73</v>
      </c>
      <c r="F22" s="38">
        <v>8</v>
      </c>
      <c r="G22" s="37" t="s">
        <v>66</v>
      </c>
      <c r="H22" s="47"/>
    </row>
    <row r="23" spans="2:11" ht="15.75" x14ac:dyDescent="0.25">
      <c r="B23" s="48" t="s">
        <v>12</v>
      </c>
      <c r="C23" s="31" t="s">
        <v>24</v>
      </c>
      <c r="D23" s="37"/>
      <c r="E23" s="37"/>
      <c r="F23" s="38">
        <v>0</v>
      </c>
      <c r="G23" s="37" t="s">
        <v>74</v>
      </c>
      <c r="H23" s="49"/>
    </row>
    <row r="24" spans="2:11" ht="15.75" x14ac:dyDescent="0.25">
      <c r="B24" s="50" t="s">
        <v>13</v>
      </c>
      <c r="C24" s="31" t="s">
        <v>25</v>
      </c>
      <c r="D24" s="37"/>
      <c r="E24" s="37"/>
      <c r="F24" s="38">
        <v>0</v>
      </c>
      <c r="G24" s="37" t="s">
        <v>74</v>
      </c>
      <c r="H24" s="51"/>
    </row>
    <row r="25" spans="2:11" ht="15.75" x14ac:dyDescent="0.25">
      <c r="B25" s="52" t="s">
        <v>9</v>
      </c>
      <c r="C25" s="31" t="s">
        <v>26</v>
      </c>
      <c r="D25" s="37"/>
      <c r="E25" s="37"/>
      <c r="F25" s="38">
        <v>0</v>
      </c>
      <c r="G25" s="37" t="s">
        <v>74</v>
      </c>
      <c r="H25" s="53"/>
    </row>
    <row r="27" spans="2:11" ht="24" customHeight="1" x14ac:dyDescent="0.25">
      <c r="B27" s="3" t="s">
        <v>75</v>
      </c>
      <c r="C27" s="3"/>
      <c r="D27" s="3"/>
      <c r="E27" s="3"/>
      <c r="F27" s="3"/>
      <c r="G27" s="3"/>
      <c r="H27" s="3"/>
    </row>
    <row r="28" spans="2:11" ht="21.75" customHeight="1" x14ac:dyDescent="0.25">
      <c r="B28" s="29" t="s">
        <v>0</v>
      </c>
      <c r="C28" s="29" t="s">
        <v>1</v>
      </c>
      <c r="D28" s="29" t="s">
        <v>2</v>
      </c>
      <c r="E28" s="29" t="s">
        <v>76</v>
      </c>
      <c r="F28" s="29" t="s">
        <v>77</v>
      </c>
      <c r="G28" s="29" t="s">
        <v>41</v>
      </c>
      <c r="H28" s="29" t="s">
        <v>78</v>
      </c>
    </row>
    <row r="29" spans="2:11" x14ac:dyDescent="0.25">
      <c r="B29" s="35">
        <v>1</v>
      </c>
      <c r="C29" s="31" t="s">
        <v>79</v>
      </c>
      <c r="D29" s="31" t="s">
        <v>80</v>
      </c>
      <c r="E29" s="37" t="s">
        <v>81</v>
      </c>
      <c r="F29" s="54">
        <v>40</v>
      </c>
      <c r="G29" s="31" t="s">
        <v>82</v>
      </c>
      <c r="H29" s="31" t="s">
        <v>83</v>
      </c>
    </row>
    <row r="30" spans="2:11" x14ac:dyDescent="0.25">
      <c r="B30" s="35">
        <v>2</v>
      </c>
      <c r="C30" s="31" t="s">
        <v>84</v>
      </c>
      <c r="D30" s="31" t="s">
        <v>85</v>
      </c>
      <c r="E30" s="37" t="s">
        <v>81</v>
      </c>
      <c r="F30" s="54">
        <v>40</v>
      </c>
      <c r="G30" s="31" t="s">
        <v>86</v>
      </c>
      <c r="H30" s="31" t="s">
        <v>87</v>
      </c>
    </row>
    <row r="31" spans="2:11" x14ac:dyDescent="0.25">
      <c r="B31" s="35">
        <v>3</v>
      </c>
      <c r="C31" s="31" t="s">
        <v>88</v>
      </c>
      <c r="D31" s="31" t="s">
        <v>89</v>
      </c>
      <c r="E31" s="37" t="s">
        <v>81</v>
      </c>
      <c r="F31" s="54">
        <v>40</v>
      </c>
      <c r="G31" s="31" t="s">
        <v>90</v>
      </c>
      <c r="H31" s="31" t="s">
        <v>91</v>
      </c>
    </row>
    <row r="32" spans="2:11" x14ac:dyDescent="0.25">
      <c r="B32" s="35">
        <v>4</v>
      </c>
      <c r="C32" s="31" t="s">
        <v>92</v>
      </c>
      <c r="D32" s="31" t="s">
        <v>93</v>
      </c>
      <c r="E32" s="37" t="s">
        <v>81</v>
      </c>
      <c r="F32" s="54">
        <v>40</v>
      </c>
      <c r="G32" s="31" t="s">
        <v>94</v>
      </c>
      <c r="H32" s="31" t="s">
        <v>95</v>
      </c>
    </row>
    <row r="33" spans="2:8" x14ac:dyDescent="0.25">
      <c r="B33" s="35">
        <v>5</v>
      </c>
      <c r="C33" s="31" t="s">
        <v>96</v>
      </c>
      <c r="D33" s="31" t="s">
        <v>97</v>
      </c>
      <c r="E33" s="37" t="s">
        <v>98</v>
      </c>
      <c r="F33" s="54">
        <v>25</v>
      </c>
      <c r="G33" s="31" t="s">
        <v>99</v>
      </c>
      <c r="H33" s="31" t="s">
        <v>100</v>
      </c>
    </row>
    <row r="34" spans="2:8" x14ac:dyDescent="0.25">
      <c r="B34" s="35">
        <v>6</v>
      </c>
      <c r="C34" s="31" t="s">
        <v>101</v>
      </c>
      <c r="D34" s="31" t="s">
        <v>93</v>
      </c>
      <c r="E34" s="37" t="s">
        <v>81</v>
      </c>
      <c r="F34" s="54">
        <v>40</v>
      </c>
      <c r="G34" s="31" t="s">
        <v>102</v>
      </c>
      <c r="H34" s="31" t="s">
        <v>103</v>
      </c>
    </row>
    <row r="35" spans="2:8" x14ac:dyDescent="0.25">
      <c r="B35" s="35">
        <v>7</v>
      </c>
      <c r="C35" s="31" t="s">
        <v>104</v>
      </c>
      <c r="D35" s="31" t="s">
        <v>105</v>
      </c>
      <c r="E35" s="37" t="s">
        <v>81</v>
      </c>
      <c r="F35" s="54">
        <v>40</v>
      </c>
      <c r="G35" s="31" t="s">
        <v>106</v>
      </c>
      <c r="H35" s="31" t="s">
        <v>107</v>
      </c>
    </row>
    <row r="36" spans="2:8" x14ac:dyDescent="0.25">
      <c r="B36" s="35">
        <v>8</v>
      </c>
      <c r="C36" s="31" t="s">
        <v>108</v>
      </c>
      <c r="D36" s="31" t="s">
        <v>109</v>
      </c>
      <c r="E36" s="37" t="s">
        <v>110</v>
      </c>
      <c r="F36" s="54">
        <v>30</v>
      </c>
      <c r="G36" s="31" t="s">
        <v>111</v>
      </c>
      <c r="H36" s="31" t="s">
        <v>112</v>
      </c>
    </row>
  </sheetData>
  <mergeCells count="11">
    <mergeCell ref="B27:H27"/>
    <mergeCell ref="C7:D7"/>
    <mergeCell ref="C8:D8"/>
    <mergeCell ref="C9:D9"/>
    <mergeCell ref="B11:D11"/>
    <mergeCell ref="B16:H16"/>
    <mergeCell ref="B2:H2"/>
    <mergeCell ref="B3:H3"/>
    <mergeCell ref="B5:D5"/>
    <mergeCell ref="J5:K5"/>
    <mergeCell ref="C6:D6"/>
  </mergeCells>
  <pageMargins left="0.75" right="0.75" top="1" bottom="1" header="0.511811023622047" footer="0.511811023622047"/>
  <pageSetup paperSize="9" orientation="portrait" horizontalDpi="300" verticalDpi="30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34"/>
  <sheetViews>
    <sheetView showGridLines="0" topLeftCell="A22" zoomScaleNormal="100" workbookViewId="0">
      <selection activeCell="L4" sqref="L4"/>
    </sheetView>
  </sheetViews>
  <sheetFormatPr baseColWidth="10" defaultColWidth="8.7109375" defaultRowHeight="15" x14ac:dyDescent="0.25"/>
  <cols>
    <col min="1" max="1" width="2" customWidth="1"/>
    <col min="2" max="2" width="26" customWidth="1"/>
    <col min="3" max="3" width="22" customWidth="1"/>
    <col min="4" max="4" width="20" customWidth="1"/>
    <col min="5" max="5" width="24" customWidth="1"/>
    <col min="6" max="6" width="4" customWidth="1"/>
    <col min="7" max="12" width="12" customWidth="1"/>
  </cols>
  <sheetData>
    <row r="2" spans="2:9" ht="31.5" customHeight="1" x14ac:dyDescent="0.25">
      <c r="B2" s="10" t="s">
        <v>113</v>
      </c>
      <c r="C2" s="10"/>
      <c r="D2" s="10"/>
      <c r="E2" s="10"/>
      <c r="F2" s="10"/>
      <c r="G2" s="10"/>
      <c r="H2" s="10"/>
    </row>
    <row r="3" spans="2:9" ht="21.75" customHeight="1" x14ac:dyDescent="0.25">
      <c r="B3" s="1" t="str">
        <f>Einstellungen!C6 &amp; "  ·  " &amp; UPPER(Einstellungen!E12) &amp; " " &amp; Einstellungen!C13</f>
        <v>Bäckerei Sonnenkorn GmbH  ·  JUNI 2026</v>
      </c>
      <c r="C3" s="1"/>
      <c r="D3" s="1"/>
      <c r="E3" s="1"/>
      <c r="F3" s="1"/>
      <c r="G3" s="1"/>
      <c r="H3" s="1"/>
    </row>
    <row r="6" spans="2:9" ht="21.75" customHeight="1" x14ac:dyDescent="0.25">
      <c r="B6" s="86" t="s">
        <v>114</v>
      </c>
      <c r="C6" s="87"/>
      <c r="D6" s="88" t="s">
        <v>115</v>
      </c>
      <c r="E6" s="88"/>
      <c r="F6" s="89" t="s">
        <v>116</v>
      </c>
      <c r="G6" s="89"/>
      <c r="H6" s="90" t="s">
        <v>117</v>
      </c>
      <c r="I6" s="91"/>
    </row>
    <row r="7" spans="2:9" ht="48" customHeight="1" x14ac:dyDescent="0.25">
      <c r="B7" s="92">
        <f>COUNTA(Einstellungen!C29:C36)</f>
        <v>8</v>
      </c>
      <c r="C7" s="93"/>
      <c r="D7" s="94">
        <f>Dienstplan!AJ14</f>
        <v>1341.5</v>
      </c>
      <c r="E7" s="94"/>
      <c r="F7" s="95">
        <f>SUM(Dienstplan!AK6:AM13)</f>
        <v>148</v>
      </c>
      <c r="G7" s="95"/>
      <c r="H7" s="96">
        <f>SUM(Dienstplan!AO6:AO13)</f>
        <v>7</v>
      </c>
      <c r="I7" s="97"/>
    </row>
    <row r="10" spans="2:9" ht="24" customHeight="1" x14ac:dyDescent="0.25">
      <c r="B10" s="3" t="s">
        <v>118</v>
      </c>
      <c r="C10" s="3"/>
      <c r="D10" s="3"/>
      <c r="E10" s="3"/>
    </row>
    <row r="11" spans="2:9" ht="21.75" customHeight="1" x14ac:dyDescent="0.25">
      <c r="B11" s="29" t="s">
        <v>114</v>
      </c>
      <c r="C11" s="29" t="s">
        <v>2</v>
      </c>
      <c r="D11" s="29" t="s">
        <v>119</v>
      </c>
      <c r="E11" s="29" t="s">
        <v>120</v>
      </c>
    </row>
    <row r="12" spans="2:9" x14ac:dyDescent="0.25">
      <c r="B12" s="31" t="str">
        <f>Einstellungen!C29</f>
        <v>Thomas Becker</v>
      </c>
      <c r="C12" s="55" t="str">
        <f>Einstellungen!D29</f>
        <v>Backstubenleiter</v>
      </c>
      <c r="D12" s="56">
        <f>Dienstplan!AJ6</f>
        <v>184</v>
      </c>
      <c r="E12" s="57">
        <f>Einstellungen!F29*4.33</f>
        <v>173.2</v>
      </c>
    </row>
    <row r="13" spans="2:9" x14ac:dyDescent="0.25">
      <c r="B13" s="31" t="str">
        <f>Einstellungen!C30</f>
        <v>Anna Schmitt</v>
      </c>
      <c r="C13" s="55" t="str">
        <f>Einstellungen!D30</f>
        <v>Bäckerin</v>
      </c>
      <c r="D13" s="56">
        <f>Dienstplan!AJ7</f>
        <v>168</v>
      </c>
      <c r="E13" s="57">
        <f>Einstellungen!F30*4.33</f>
        <v>173.2</v>
      </c>
    </row>
    <row r="14" spans="2:9" x14ac:dyDescent="0.25">
      <c r="B14" s="31" t="str">
        <f>Einstellungen!C31</f>
        <v>Michael Weber</v>
      </c>
      <c r="C14" s="55" t="str">
        <f>Einstellungen!D31</f>
        <v>Bäcker</v>
      </c>
      <c r="D14" s="56">
        <f>Dienstplan!AJ8</f>
        <v>184</v>
      </c>
      <c r="E14" s="57">
        <f>Einstellungen!F31*4.33</f>
        <v>173.2</v>
      </c>
    </row>
    <row r="15" spans="2:9" x14ac:dyDescent="0.25">
      <c r="B15" s="31" t="str">
        <f>Einstellungen!C32</f>
        <v>Julia Wagner</v>
      </c>
      <c r="C15" s="55" t="str">
        <f>Einstellungen!D32</f>
        <v>Verkäuferin</v>
      </c>
      <c r="D15" s="56">
        <f>Dienstplan!AJ9</f>
        <v>184</v>
      </c>
      <c r="E15" s="57">
        <f>Einstellungen!F32*4.33</f>
        <v>173.2</v>
      </c>
    </row>
    <row r="16" spans="2:9" x14ac:dyDescent="0.25">
      <c r="B16" s="31" t="str">
        <f>Einstellungen!C33</f>
        <v>Stefan Krüger</v>
      </c>
      <c r="C16" s="55" t="str">
        <f>Einstellungen!D33</f>
        <v>Verkäufer</v>
      </c>
      <c r="D16" s="56">
        <f>Dienstplan!AJ10</f>
        <v>152</v>
      </c>
      <c r="E16" s="57">
        <f>Einstellungen!F33*4.33</f>
        <v>108.25</v>
      </c>
    </row>
    <row r="17" spans="2:5" x14ac:dyDescent="0.25">
      <c r="B17" s="31" t="str">
        <f>Einstellungen!C34</f>
        <v>Lisa Schäfer</v>
      </c>
      <c r="C17" s="55" t="str">
        <f>Einstellungen!D34</f>
        <v>Verkäuferin</v>
      </c>
      <c r="D17" s="56">
        <f>Dienstplan!AJ11</f>
        <v>176</v>
      </c>
      <c r="E17" s="57">
        <f>Einstellungen!F34*4.33</f>
        <v>173.2</v>
      </c>
    </row>
    <row r="18" spans="2:5" x14ac:dyDescent="0.25">
      <c r="B18" s="31" t="str">
        <f>Einstellungen!C35</f>
        <v>Markus Hoffmann</v>
      </c>
      <c r="C18" s="55" t="str">
        <f>Einstellungen!D35</f>
        <v>Fahrer/Lieferant</v>
      </c>
      <c r="D18" s="56">
        <f>Dienstplan!AJ12</f>
        <v>157.5</v>
      </c>
      <c r="E18" s="57">
        <f>Einstellungen!F35*4.33</f>
        <v>173.2</v>
      </c>
    </row>
    <row r="19" spans="2:5" x14ac:dyDescent="0.25">
      <c r="B19" s="31" t="str">
        <f>Einstellungen!C36</f>
        <v>Sandra Klein</v>
      </c>
      <c r="C19" s="55" t="str">
        <f>Einstellungen!D36</f>
        <v>Hilfskraft Backstube</v>
      </c>
      <c r="D19" s="56">
        <f>Dienstplan!AJ13</f>
        <v>136</v>
      </c>
      <c r="E19" s="57">
        <f>Einstellungen!F36*4.33</f>
        <v>129.9</v>
      </c>
    </row>
    <row r="22" spans="2:5" ht="24" customHeight="1" x14ac:dyDescent="0.25">
      <c r="B22" s="3" t="s">
        <v>121</v>
      </c>
      <c r="C22" s="3"/>
      <c r="D22" s="3"/>
      <c r="E22" s="3"/>
    </row>
    <row r="23" spans="2:5" ht="21.75" customHeight="1" x14ac:dyDescent="0.25">
      <c r="B23" s="29" t="s">
        <v>122</v>
      </c>
      <c r="C23" s="29" t="s">
        <v>57</v>
      </c>
      <c r="D23" s="29" t="s">
        <v>123</v>
      </c>
      <c r="E23" s="29" t="s">
        <v>124</v>
      </c>
    </row>
    <row r="24" spans="2:5" x14ac:dyDescent="0.25">
      <c r="B24" s="58" t="s">
        <v>17</v>
      </c>
      <c r="C24" s="59" t="s">
        <v>10</v>
      </c>
      <c r="D24" s="60">
        <f>COUNTIF(Dienstplan!E6:AI13,"F")</f>
        <v>79</v>
      </c>
      <c r="E24" s="61">
        <f t="shared" ref="E24:E31" si="0">IFERROR(D24/SUM($D$24:$D$31),0)</f>
        <v>0.32916666666666666</v>
      </c>
    </row>
    <row r="25" spans="2:5" x14ac:dyDescent="0.25">
      <c r="B25" s="62" t="s">
        <v>18</v>
      </c>
      <c r="C25" s="63" t="s">
        <v>11</v>
      </c>
      <c r="D25" s="60">
        <f>COUNTIF(Dienstplan!E6:AI13,"S")</f>
        <v>69</v>
      </c>
      <c r="E25" s="61">
        <f t="shared" si="0"/>
        <v>0.28749999999999998</v>
      </c>
    </row>
    <row r="26" spans="2:5" x14ac:dyDescent="0.25">
      <c r="B26" s="64" t="s">
        <v>20</v>
      </c>
      <c r="C26" s="65" t="s">
        <v>19</v>
      </c>
      <c r="D26" s="60">
        <f>COUNTIF(Dienstplan!E6:AI13,"N")</f>
        <v>0</v>
      </c>
      <c r="E26" s="61">
        <f t="shared" si="0"/>
        <v>0</v>
      </c>
    </row>
    <row r="27" spans="2:5" x14ac:dyDescent="0.25">
      <c r="B27" s="66" t="s">
        <v>21</v>
      </c>
      <c r="C27" s="67" t="s">
        <v>14</v>
      </c>
      <c r="D27" s="60">
        <f>COUNTIF(Dienstplan!E6:AI13,"T")</f>
        <v>21</v>
      </c>
      <c r="E27" s="61">
        <f t="shared" si="0"/>
        <v>8.7499999999999994E-2</v>
      </c>
    </row>
    <row r="28" spans="2:5" x14ac:dyDescent="0.25">
      <c r="B28" s="68" t="s">
        <v>71</v>
      </c>
      <c r="C28" s="69" t="s">
        <v>22</v>
      </c>
      <c r="D28" s="60">
        <f>COUNTIF(Dienstplan!E6:AI13,"FT")</f>
        <v>0</v>
      </c>
      <c r="E28" s="61">
        <f t="shared" si="0"/>
        <v>0</v>
      </c>
    </row>
    <row r="29" spans="2:5" x14ac:dyDescent="0.25">
      <c r="B29" s="70" t="s">
        <v>24</v>
      </c>
      <c r="C29" s="71" t="s">
        <v>12</v>
      </c>
      <c r="D29" s="60">
        <f>COUNTIF(Dienstplan!E6:AI13,"U")</f>
        <v>7</v>
      </c>
      <c r="E29" s="61">
        <f t="shared" si="0"/>
        <v>2.9166666666666667E-2</v>
      </c>
    </row>
    <row r="30" spans="2:5" x14ac:dyDescent="0.25">
      <c r="B30" s="72" t="s">
        <v>25</v>
      </c>
      <c r="C30" s="73" t="s">
        <v>13</v>
      </c>
      <c r="D30" s="60">
        <f>COUNTIF(Dienstplan!E6:AI13,"K")</f>
        <v>5</v>
      </c>
      <c r="E30" s="61">
        <f t="shared" si="0"/>
        <v>2.0833333333333332E-2</v>
      </c>
    </row>
    <row r="31" spans="2:5" x14ac:dyDescent="0.25">
      <c r="B31" s="74" t="s">
        <v>26</v>
      </c>
      <c r="C31" s="75" t="s">
        <v>9</v>
      </c>
      <c r="D31" s="60">
        <f>COUNTIF(Dienstplan!E6:AI13,"X")</f>
        <v>59</v>
      </c>
      <c r="E31" s="61">
        <f t="shared" si="0"/>
        <v>0.24583333333333332</v>
      </c>
    </row>
    <row r="34" spans="2:5" ht="36" customHeight="1" x14ac:dyDescent="0.25">
      <c r="B34" s="76" t="s">
        <v>125</v>
      </c>
      <c r="C34" s="76"/>
      <c r="D34" s="76"/>
      <c r="E34" s="76"/>
    </row>
  </sheetData>
  <mergeCells count="13">
    <mergeCell ref="B22:E22"/>
    <mergeCell ref="B34:E34"/>
    <mergeCell ref="B7:C7"/>
    <mergeCell ref="D7:E7"/>
    <mergeCell ref="F7:G7"/>
    <mergeCell ref="H7:I7"/>
    <mergeCell ref="B10:E10"/>
    <mergeCell ref="B2:H2"/>
    <mergeCell ref="B3:H3"/>
    <mergeCell ref="B6:C6"/>
    <mergeCell ref="D6:E6"/>
    <mergeCell ref="F6:G6"/>
    <mergeCell ref="H6:I6"/>
  </mergeCells>
  <conditionalFormatting sqref="D12:D19">
    <cfRule type="expression" dxfId="1" priority="2">
      <formula>D12&gt;E12*1.1</formula>
    </cfRule>
    <cfRule type="expression" dxfId="0" priority="3">
      <formula>AND(D12&lt;E12*0.9,D12&gt;0)</formula>
    </cfRule>
  </conditionalFormatting>
  <pageMargins left="0.75" right="0.75" top="1" bottom="1" header="0.511811023622047" footer="0.511811023622047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Dienstplan</vt:lpstr>
      <vt:lpstr>Einstellungen</vt:lpstr>
      <vt:lpstr>Auswertung</vt:lpstr>
      <vt:lpstr>Feiertage</vt:lpstr>
      <vt:lpstr>Schichtcodes</vt:lpstr>
      <vt:lpstr>Schichttabelle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Sergio Jiménez Canales</cp:lastModifiedBy>
  <cp:revision>1</cp:revision>
  <dcterms:created xsi:type="dcterms:W3CDTF">2026-05-23T10:50:42Z</dcterms:created>
  <dcterms:modified xsi:type="dcterms:W3CDTF">2026-05-23T10:55:30Z</dcterms:modified>
  <dc:language>en-US</dc:language>
</cp:coreProperties>
</file>