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8_{EFA2E219-5E8D-4680-8179-BECA3EB750E6}" xr6:coauthVersionLast="47" xr6:coauthVersionMax="47" xr10:uidLastSave="{00000000-0000-0000-0000-000000000000}"/>
  <bookViews>
    <workbookView xWindow="-120" yWindow="-120" windowWidth="29040" windowHeight="15720" tabRatio="500" activeTab="3" xr2:uid="{00000000-000D-0000-FFFF-FFFF00000000}"/>
  </bookViews>
  <sheets>
    <sheet name="Übersicht" sheetId="1" r:id="rId1"/>
    <sheet name="Mitarbeiter" sheetId="2" r:id="rId2"/>
    <sheet name="Schichten" sheetId="3" r:id="rId3"/>
    <sheet name="Dienstplan" sheetId="4" r:id="rId4"/>
    <sheet name="Auswertung" sheetId="5" r:id="rId5"/>
    <sheet name="Feiertage" sheetId="6" r:id="rId6"/>
  </sheet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1" i="5" l="1"/>
  <c r="Q80" i="5"/>
  <c r="R80" i="5" s="1"/>
  <c r="P80" i="5"/>
  <c r="B80" i="5"/>
  <c r="P79" i="5"/>
  <c r="Q78" i="5"/>
  <c r="R78" i="5" s="1"/>
  <c r="P78" i="5"/>
  <c r="B78" i="5"/>
  <c r="P77" i="5"/>
  <c r="Q76" i="5"/>
  <c r="R76" i="5" s="1"/>
  <c r="P76" i="5"/>
  <c r="B76" i="5"/>
  <c r="P75" i="5"/>
  <c r="Q74" i="5"/>
  <c r="R74" i="5" s="1"/>
  <c r="P74" i="5"/>
  <c r="B74" i="5"/>
  <c r="P73" i="5"/>
  <c r="Q72" i="5"/>
  <c r="R72" i="5" s="1"/>
  <c r="P72" i="5"/>
  <c r="B72" i="5"/>
  <c r="P71" i="5"/>
  <c r="Q70" i="5"/>
  <c r="R70" i="5" s="1"/>
  <c r="P70" i="5"/>
  <c r="B70" i="5"/>
  <c r="P69" i="5"/>
  <c r="Q68" i="5"/>
  <c r="R68" i="5" s="1"/>
  <c r="P68" i="5"/>
  <c r="B68" i="5"/>
  <c r="P67" i="5"/>
  <c r="Q66" i="5"/>
  <c r="R66" i="5" s="1"/>
  <c r="P66" i="5"/>
  <c r="B66" i="5"/>
  <c r="P65" i="5"/>
  <c r="Q64" i="5"/>
  <c r="R64" i="5" s="1"/>
  <c r="P64" i="5"/>
  <c r="B64" i="5"/>
  <c r="P63" i="5"/>
  <c r="Q62" i="5"/>
  <c r="R62" i="5" s="1"/>
  <c r="P62" i="5"/>
  <c r="B62" i="5"/>
  <c r="P61" i="5"/>
  <c r="Q60" i="5"/>
  <c r="R60" i="5" s="1"/>
  <c r="P60" i="5"/>
  <c r="B60" i="5"/>
  <c r="P59" i="5"/>
  <c r="Q58" i="5"/>
  <c r="R58" i="5" s="1"/>
  <c r="P58" i="5"/>
  <c r="B58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Q18" i="5"/>
  <c r="P18" i="5"/>
  <c r="R18" i="5" s="1"/>
  <c r="C18" i="5"/>
  <c r="B18" i="5"/>
  <c r="Q17" i="5"/>
  <c r="P17" i="5"/>
  <c r="R17" i="5" s="1"/>
  <c r="C17" i="5"/>
  <c r="B17" i="5"/>
  <c r="Q16" i="5"/>
  <c r="P16" i="5"/>
  <c r="R16" i="5" s="1"/>
  <c r="C16" i="5"/>
  <c r="B16" i="5"/>
  <c r="Q15" i="5"/>
  <c r="P15" i="5"/>
  <c r="R15" i="5" s="1"/>
  <c r="C15" i="5"/>
  <c r="B15" i="5"/>
  <c r="Q14" i="5"/>
  <c r="P14" i="5"/>
  <c r="R14" i="5" s="1"/>
  <c r="C14" i="5"/>
  <c r="B14" i="5"/>
  <c r="Q13" i="5"/>
  <c r="P13" i="5"/>
  <c r="R13" i="5" s="1"/>
  <c r="C13" i="5"/>
  <c r="B13" i="5"/>
  <c r="Q12" i="5"/>
  <c r="P12" i="5"/>
  <c r="R12" i="5" s="1"/>
  <c r="C12" i="5"/>
  <c r="B12" i="5"/>
  <c r="Q11" i="5"/>
  <c r="P11" i="5"/>
  <c r="R11" i="5" s="1"/>
  <c r="C11" i="5"/>
  <c r="B11" i="5"/>
  <c r="Q10" i="5"/>
  <c r="Q51" i="5" s="1"/>
  <c r="P10" i="5"/>
  <c r="C10" i="5"/>
  <c r="B10" i="5"/>
  <c r="Q9" i="5"/>
  <c r="P9" i="5"/>
  <c r="R9" i="5" s="1"/>
  <c r="C9" i="5"/>
  <c r="B9" i="5"/>
  <c r="Q8" i="5"/>
  <c r="P8" i="5"/>
  <c r="R8" i="5" s="1"/>
  <c r="C8" i="5"/>
  <c r="B8" i="5"/>
  <c r="Q7" i="5"/>
  <c r="P7" i="5"/>
  <c r="R7" i="5" s="1"/>
  <c r="C7" i="5"/>
  <c r="B7" i="5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AP19" i="4"/>
  <c r="AO19" i="4"/>
  <c r="AM19" i="4"/>
  <c r="AN19" i="4" s="1"/>
  <c r="G19" i="4"/>
  <c r="F19" i="4"/>
  <c r="E19" i="4"/>
  <c r="D19" i="4"/>
  <c r="C19" i="4"/>
  <c r="B19" i="4"/>
  <c r="AP18" i="4"/>
  <c r="AO18" i="4"/>
  <c r="AM18" i="4"/>
  <c r="AN18" i="4" s="1"/>
  <c r="G18" i="4"/>
  <c r="F18" i="4"/>
  <c r="E18" i="4"/>
  <c r="D18" i="4"/>
  <c r="C18" i="4"/>
  <c r="B18" i="4"/>
  <c r="AP17" i="4"/>
  <c r="AO17" i="4"/>
  <c r="AM17" i="4"/>
  <c r="AN17" i="4" s="1"/>
  <c r="G17" i="4"/>
  <c r="F17" i="4"/>
  <c r="E17" i="4"/>
  <c r="D17" i="4"/>
  <c r="C17" i="4"/>
  <c r="B17" i="4"/>
  <c r="AP16" i="4"/>
  <c r="AO16" i="4"/>
  <c r="AM16" i="4"/>
  <c r="AN16" i="4" s="1"/>
  <c r="G16" i="4"/>
  <c r="F16" i="4"/>
  <c r="E16" i="4"/>
  <c r="D16" i="4"/>
  <c r="C16" i="4"/>
  <c r="B16" i="4"/>
  <c r="AP15" i="4"/>
  <c r="AO15" i="4"/>
  <c r="AM15" i="4"/>
  <c r="AN15" i="4" s="1"/>
  <c r="G15" i="4"/>
  <c r="F15" i="4"/>
  <c r="E15" i="4"/>
  <c r="D15" i="4"/>
  <c r="C15" i="4"/>
  <c r="B15" i="4"/>
  <c r="AP14" i="4"/>
  <c r="AO14" i="4"/>
  <c r="AM14" i="4"/>
  <c r="AN14" i="4" s="1"/>
  <c r="G14" i="4"/>
  <c r="F14" i="4"/>
  <c r="E14" i="4"/>
  <c r="D14" i="4"/>
  <c r="C14" i="4"/>
  <c r="B14" i="4"/>
  <c r="AP13" i="4"/>
  <c r="AO13" i="4"/>
  <c r="AM13" i="4"/>
  <c r="AN13" i="4" s="1"/>
  <c r="G13" i="4"/>
  <c r="F13" i="4"/>
  <c r="E13" i="4"/>
  <c r="D13" i="4"/>
  <c r="C13" i="4"/>
  <c r="B13" i="4"/>
  <c r="AP12" i="4"/>
  <c r="AO12" i="4"/>
  <c r="AM12" i="4"/>
  <c r="AN12" i="4" s="1"/>
  <c r="G12" i="4"/>
  <c r="F12" i="4"/>
  <c r="E12" i="4"/>
  <c r="D12" i="4"/>
  <c r="C12" i="4"/>
  <c r="B12" i="4"/>
  <c r="AP11" i="4"/>
  <c r="AO11" i="4"/>
  <c r="AM11" i="4"/>
  <c r="AN11" i="4" s="1"/>
  <c r="G11" i="4"/>
  <c r="F11" i="4"/>
  <c r="E11" i="4"/>
  <c r="D11" i="4"/>
  <c r="C11" i="4"/>
  <c r="B11" i="4"/>
  <c r="AP10" i="4"/>
  <c r="AO10" i="4"/>
  <c r="AM10" i="4"/>
  <c r="AN10" i="4" s="1"/>
  <c r="G10" i="4"/>
  <c r="F10" i="4"/>
  <c r="E10" i="4"/>
  <c r="D10" i="4"/>
  <c r="C10" i="4"/>
  <c r="B10" i="4"/>
  <c r="AP9" i="4"/>
  <c r="AO9" i="4"/>
  <c r="AM9" i="4"/>
  <c r="AN9" i="4" s="1"/>
  <c r="G9" i="4"/>
  <c r="F9" i="4"/>
  <c r="E9" i="4"/>
  <c r="D9" i="4"/>
  <c r="C9" i="4"/>
  <c r="B9" i="4"/>
  <c r="AP8" i="4"/>
  <c r="AP21" i="4" s="1"/>
  <c r="AO8" i="4"/>
  <c r="AO21" i="4" s="1"/>
  <c r="AM8" i="4"/>
  <c r="G8" i="4"/>
  <c r="F8" i="4"/>
  <c r="E8" i="4"/>
  <c r="D8" i="4"/>
  <c r="C8" i="4"/>
  <c r="B8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B3" i="4"/>
  <c r="G11" i="3"/>
  <c r="G10" i="3"/>
  <c r="G9" i="3"/>
  <c r="G8" i="3"/>
  <c r="G7" i="3"/>
  <c r="G6" i="3"/>
  <c r="G5" i="3"/>
  <c r="J52" i="2"/>
  <c r="I52" i="2"/>
  <c r="H52" i="2"/>
  <c r="G38" i="1"/>
  <c r="F38" i="1"/>
  <c r="D38" i="1"/>
  <c r="C38" i="1"/>
  <c r="H37" i="1"/>
  <c r="G37" i="1"/>
  <c r="F37" i="1"/>
  <c r="D37" i="1"/>
  <c r="C37" i="1"/>
  <c r="E37" i="1" s="1"/>
  <c r="G36" i="1"/>
  <c r="F36" i="1"/>
  <c r="D36" i="1"/>
  <c r="C36" i="1"/>
  <c r="G35" i="1"/>
  <c r="F35" i="1"/>
  <c r="D35" i="1"/>
  <c r="C35" i="1"/>
  <c r="G34" i="1"/>
  <c r="F34" i="1"/>
  <c r="D34" i="1"/>
  <c r="C34" i="1"/>
  <c r="H33" i="1"/>
  <c r="G33" i="1"/>
  <c r="F33" i="1"/>
  <c r="D33" i="1"/>
  <c r="C33" i="1"/>
  <c r="E33" i="1" s="1"/>
  <c r="G32" i="1"/>
  <c r="F32" i="1"/>
  <c r="D32" i="1"/>
  <c r="C32" i="1"/>
  <c r="G31" i="1"/>
  <c r="F31" i="1"/>
  <c r="D31" i="1"/>
  <c r="C31" i="1"/>
  <c r="G30" i="1"/>
  <c r="F30" i="1"/>
  <c r="D30" i="1"/>
  <c r="C30" i="1"/>
  <c r="H29" i="1"/>
  <c r="G29" i="1"/>
  <c r="F29" i="1"/>
  <c r="E29" i="1"/>
  <c r="D29" i="1"/>
  <c r="C29" i="1"/>
  <c r="G28" i="1"/>
  <c r="F28" i="1"/>
  <c r="D28" i="1"/>
  <c r="C28" i="1"/>
  <c r="G27" i="1"/>
  <c r="F27" i="1"/>
  <c r="D27" i="1"/>
  <c r="C27" i="1"/>
  <c r="G26" i="1"/>
  <c r="F26" i="1"/>
  <c r="D26" i="1"/>
  <c r="C26" i="1"/>
  <c r="G11" i="1"/>
  <c r="G10" i="1"/>
  <c r="G9" i="1"/>
  <c r="G8" i="1"/>
  <c r="G7" i="1"/>
  <c r="G6" i="1"/>
  <c r="P51" i="5" l="1"/>
  <c r="R10" i="5"/>
  <c r="R51" i="5" s="1"/>
  <c r="AN8" i="4"/>
  <c r="AM21" i="4"/>
  <c r="H36" i="1"/>
  <c r="E36" i="1"/>
  <c r="H35" i="1"/>
  <c r="E35" i="1"/>
  <c r="H34" i="1"/>
  <c r="E34" i="1"/>
  <c r="H32" i="1"/>
  <c r="E32" i="1"/>
  <c r="H31" i="1"/>
  <c r="E31" i="1"/>
  <c r="H30" i="1"/>
  <c r="E30" i="1"/>
  <c r="H28" i="1"/>
  <c r="E28" i="1"/>
  <c r="H27" i="1"/>
  <c r="E27" i="1"/>
  <c r="H26" i="1"/>
  <c r="H38" i="1" s="1"/>
  <c r="E26" i="1"/>
  <c r="E38" i="1" s="1"/>
</calcChain>
</file>

<file path=xl/sharedStrings.xml><?xml version="1.0" encoding="utf-8"?>
<sst xmlns="http://schemas.openxmlformats.org/spreadsheetml/2006/main" count="798" uniqueCount="263">
  <si>
    <t>DIENSTPLAN GASTRONOMIE 2026</t>
  </si>
  <si>
    <t>Personalplanung • Schichtmanagement • Auswertung</t>
  </si>
  <si>
    <t>BETRIEBSDATEN</t>
  </si>
  <si>
    <t>KENNZAHLEN JAHRESPLAN</t>
  </si>
  <si>
    <t>Betrieb:</t>
  </si>
  <si>
    <t>Restaurant Lindenhof</t>
  </si>
  <si>
    <t>Mitarbeiter aktiv</t>
  </si>
  <si>
    <t>Inhaber:</t>
  </si>
  <si>
    <t>M. Schneider</t>
  </si>
  <si>
    <t>Vertragsstd. / Woche (ges.)</t>
  </si>
  <si>
    <t>Anschrift:</t>
  </si>
  <si>
    <t>Hauptstraße 42, 26122 Oldenburg</t>
  </si>
  <si>
    <t>Vertragsstd. / Jahr (ges.)</t>
  </si>
  <si>
    <t>Telefon:</t>
  </si>
  <si>
    <t>+49 441 1234567</t>
  </si>
  <si>
    <t>Geplante Std. (Jahr)</t>
  </si>
  <si>
    <t>Geschäftsjahr:</t>
  </si>
  <si>
    <t>Personalkosten / Jahr (geplant)</t>
  </si>
  <si>
    <t>Mindestlohn:</t>
  </si>
  <si>
    <t>Urlaubstage gesamt</t>
  </si>
  <si>
    <t>ANLEITUNG / NUTZUNG DER VORLAGE</t>
  </si>
  <si>
    <t>1. MITARBEITER: Erfassen Sie alle Mitarbeitenden mit Vertragstyp, Wochenstunden und Stundenlohn.</t>
  </si>
  <si>
    <t>2. SCHICHTEN: Definieren Sie Ihre Schichtarten (z. B. Frühschicht, Spätschicht, Bar Spät). Pausen und Zeiten anpassen.</t>
  </si>
  <si>
    <t>3. FEIERTAGE: Übersicht aller gesetzlichen Feiertage 2026 (bereits ausgefüllt).</t>
  </si>
  <si>
    <t>4. DIENSTPLAN: Wählen Sie oben den Monat. Tragen Sie pro Mitarbeiter den Schichtcode (z. B. F, S, U, K) ein.</t>
  </si>
  <si>
    <t>5. AUSWERTUNG: Automatische Berechnung der geplanten Stunden, Lohnkosten und Abwesenheiten pro Mitarbeiter.</t>
  </si>
  <si>
    <t>TIPP: Gelbe Zellen sind Eingabezellen, grüne Zellen sind automatisch berechnet. Schichtcodes werden farblich markiert.</t>
  </si>
  <si>
    <t>RECHTLICH: Beachten Sie das Arbeitszeitgesetz (max. 48 Std./Woche, 11 Std. Ruhezeit) und das Jugendarbeitsschutzgesetz.</t>
  </si>
  <si>
    <t>MONATSÜBERSICHT - GEPLANTE STUNDEN &amp; KOSTEN</t>
  </si>
  <si>
    <t>Monat</t>
  </si>
  <si>
    <t>Geplante Std.</t>
  </si>
  <si>
    <t>Personalkosten</t>
  </si>
  <si>
    <t>Ø Std./MA</t>
  </si>
  <si>
    <t>Krankheitstage</t>
  </si>
  <si>
    <t>Urlaubstage</t>
  </si>
  <si>
    <t>Auslastung %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</si>
  <si>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</si>
  <si>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</si>
  <si>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</si>
  <si>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</si>
  <si>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</si>
  <si>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</si>
  <si>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</si>
  <si>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</si>
  <si>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</si>
  <si>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</si>
  <si>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</si>
  <si>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</si>
  <si>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</si>
  <si>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MITARBEITERSTAMM</t>
  </si>
  <si>
    <t>Erfassen Sie alle Mitarbeitenden mit Stammdaten. Gelbe Felder = Eingabe.</t>
  </si>
  <si>
    <t>Personal-Nr.</t>
  </si>
  <si>
    <t>Vorname</t>
  </si>
  <si>
    <t>Nachname</t>
  </si>
  <si>
    <t>Position</t>
  </si>
  <si>
    <t>Bereich</t>
  </si>
  <si>
    <t>Vertragstyp</t>
  </si>
  <si>
    <t>Wochenstd.</t>
  </si>
  <si>
    <t>Stundenlohn</t>
  </si>
  <si>
    <t>Urlaubstage/Jahr</t>
  </si>
  <si>
    <t>Eintrittsdatum</t>
  </si>
  <si>
    <t>Status</t>
  </si>
  <si>
    <t>M001</t>
  </si>
  <si>
    <t>Lena</t>
  </si>
  <si>
    <t>Hoffmann</t>
  </si>
  <si>
    <t>Restaurantleitung</t>
  </si>
  <si>
    <t>Service</t>
  </si>
  <si>
    <t>Vollzeit</t>
  </si>
  <si>
    <t>Aktiv</t>
  </si>
  <si>
    <t>M002</t>
  </si>
  <si>
    <t>Tobias</t>
  </si>
  <si>
    <t>Bergmann</t>
  </si>
  <si>
    <t>Küchenchef</t>
  </si>
  <si>
    <t>Küche</t>
  </si>
  <si>
    <t>M003</t>
  </si>
  <si>
    <t>Sophia</t>
  </si>
  <si>
    <t>Wagner</t>
  </si>
  <si>
    <t>Servicekraft</t>
  </si>
  <si>
    <t>M004</t>
  </si>
  <si>
    <t>Marco</t>
  </si>
  <si>
    <t>Schäfer</t>
  </si>
  <si>
    <t>Koch</t>
  </si>
  <si>
    <t>M005</t>
  </si>
  <si>
    <t>Julia</t>
  </si>
  <si>
    <t>Klein</t>
  </si>
  <si>
    <t>Teilzeit</t>
  </si>
  <si>
    <t>M006</t>
  </si>
  <si>
    <t>David</t>
  </si>
  <si>
    <t>Becker</t>
  </si>
  <si>
    <t>Barkeeper</t>
  </si>
  <si>
    <t>Bar</t>
  </si>
  <si>
    <t>M007</t>
  </si>
  <si>
    <t>Anna</t>
  </si>
  <si>
    <t>Vogel</t>
  </si>
  <si>
    <t>M008</t>
  </si>
  <si>
    <t>Felix</t>
  </si>
  <si>
    <t>Krüger</t>
  </si>
  <si>
    <t>M009</t>
  </si>
  <si>
    <t>Mia</t>
  </si>
  <si>
    <t>Frank</t>
  </si>
  <si>
    <t>Aushilfe Service</t>
  </si>
  <si>
    <t>Minijob</t>
  </si>
  <si>
    <t>M010</t>
  </si>
  <si>
    <t>Leon</t>
  </si>
  <si>
    <t>Huber</t>
  </si>
  <si>
    <t>Küchenhilfe</t>
  </si>
  <si>
    <t>M011</t>
  </si>
  <si>
    <t>Emilia</t>
  </si>
  <si>
    <t>Sommer</t>
  </si>
  <si>
    <t>M012</t>
  </si>
  <si>
    <t>Jonas</t>
  </si>
  <si>
    <t>Weiß</t>
  </si>
  <si>
    <t>Aushilfe Küche</t>
  </si>
  <si>
    <t>Aushilfe</t>
  </si>
  <si>
    <t>SUMME / DURCHSCHNITT</t>
  </si>
  <si>
    <t>SCHICHTDEFINITION</t>
  </si>
  <si>
    <t>Definieren Sie hier die Schichtarten Ihres Betriebs. Der Schichtcode wird im Dienstplan verwendet.</t>
  </si>
  <si>
    <t>Code</t>
  </si>
  <si>
    <t>Bezeichnung</t>
  </si>
  <si>
    <t>Beginn</t>
  </si>
  <si>
    <t>Ende</t>
  </si>
  <si>
    <t>Pause (Min.)</t>
  </si>
  <si>
    <t>Arbeitszeit (Std.)</t>
  </si>
  <si>
    <t>Einsatzbereich</t>
  </si>
  <si>
    <t>Farbe</t>
  </si>
  <si>
    <t>Bemerkung</t>
  </si>
  <si>
    <t>F</t>
  </si>
  <si>
    <t>Frühschicht</t>
  </si>
  <si>
    <t>09:00</t>
  </si>
  <si>
    <t>16:00</t>
  </si>
  <si>
    <t>Service/Küche</t>
  </si>
  <si>
    <t>M</t>
  </si>
  <si>
    <t>Mittagsdienst</t>
  </si>
  <si>
    <t>11:00</t>
  </si>
  <si>
    <t>15:00</t>
  </si>
  <si>
    <t>S</t>
  </si>
  <si>
    <t>Spätschicht</t>
  </si>
  <si>
    <t>23:00</t>
  </si>
  <si>
    <t>A</t>
  </si>
  <si>
    <t>Abenddienst</t>
  </si>
  <si>
    <t>17:00</t>
  </si>
  <si>
    <t>00:00</t>
  </si>
  <si>
    <t>Service/Bar</t>
  </si>
  <si>
    <t>G</t>
  </si>
  <si>
    <t>Ganztags</t>
  </si>
  <si>
    <t>10:00</t>
  </si>
  <si>
    <t>22:00</t>
  </si>
  <si>
    <t>Küchenchef/RL</t>
  </si>
  <si>
    <t>B</t>
  </si>
  <si>
    <t>Bar Spät</t>
  </si>
  <si>
    <t>18:00</t>
  </si>
  <si>
    <t>02:00</t>
  </si>
  <si>
    <t>V</t>
  </si>
  <si>
    <t>Vorbereitung</t>
  </si>
  <si>
    <t>08:00</t>
  </si>
  <si>
    <t>12:00</t>
  </si>
  <si>
    <t>U</t>
  </si>
  <si>
    <t>Urlaub</t>
  </si>
  <si>
    <t>-</t>
  </si>
  <si>
    <t>Bezahlter Urlaub</t>
  </si>
  <si>
    <t>K</t>
  </si>
  <si>
    <t>Krank</t>
  </si>
  <si>
    <t>Krankheit (AU-Bescheinigung)</t>
  </si>
  <si>
    <t>FR</t>
  </si>
  <si>
    <t>Frei</t>
  </si>
  <si>
    <t>Freier Tag</t>
  </si>
  <si>
    <t>X</t>
  </si>
  <si>
    <t>Abwesend</t>
  </si>
  <si>
    <t>Sonstige Abwesenheit</t>
  </si>
  <si>
    <t>HINWEISE ZU SCHICHTEN</t>
  </si>
  <si>
    <t>• Der Schichtcode (z. B. F, S, U) wird im Dienstplan eingetragen, um die Schicht zuzuweisen.</t>
  </si>
  <si>
    <t>• Bei Schichten über Mitternacht (z. B. 18:00 – 02:00) wird automatisch der nächste Tag erkannt.</t>
  </si>
  <si>
    <t>• Pausen werden von der Bruttoarbeitszeit abgezogen (gemäß § 4 ArbZG: ab 6 Std → 30 Min, ab 9 Std → 45 Min).</t>
  </si>
  <si>
    <t>• Die Codes U (Urlaub), K (Krank), FR (Frei) und X (Abwesend) zählen NICHT als Arbeitsstunden.</t>
  </si>
  <si>
    <t>Monat wählen:</t>
  </si>
  <si>
    <t>Jahr:</t>
  </si>
  <si>
    <t>Schichtcode eintragen (F/M/S/A/G/B/V/U/K/FR/X)</t>
  </si>
  <si>
    <t>MITARBEITER</t>
  </si>
  <si>
    <t>TAGE DES MONATS</t>
  </si>
  <si>
    <t>AUSWERTUNG MONAT</t>
  </si>
  <si>
    <t>Pers-Nr</t>
  </si>
  <si>
    <t>Name</t>
  </si>
  <si>
    <t>Vertrag</t>
  </si>
  <si>
    <t>Soll/Wo</t>
  </si>
  <si>
    <t>Geplante
Std.</t>
  </si>
  <si>
    <t>Diff zu
Soll</t>
  </si>
  <si>
    <t>Urlaub
(Tage)</t>
  </si>
  <si>
    <t>Krank
(Tage)</t>
  </si>
  <si>
    <t>MITARBEITER PRO TAG (Schichten)</t>
  </si>
  <si>
    <t>ARBEITSSTUNDEN PRO TAG</t>
  </si>
  <si>
    <t>LEGENDE - SCHICHTCODES</t>
  </si>
  <si>
    <t>JAHRESAUSWERTUNG 2026</t>
  </si>
  <si>
    <t>Geplante Arbeitsstunden, Urlaub und Krankheit pro Mitarbeiter und Monat. Die Werte werden monatlich aus dem Dienstplan übernommen.</t>
  </si>
  <si>
    <t>GEPLANTE STUNDEN PRO MONAT</t>
  </si>
  <si>
    <t>JAHRESSUMMEN</t>
  </si>
  <si>
    <t>Jan</t>
  </si>
  <si>
    <t>Feb</t>
  </si>
  <si>
    <t>Mär</t>
  </si>
  <si>
    <t>Apr</t>
  </si>
  <si>
    <t>Jun</t>
  </si>
  <si>
    <t>Jul</t>
  </si>
  <si>
    <t>Aug</t>
  </si>
  <si>
    <t>Sep</t>
  </si>
  <si>
    <t>Okt</t>
  </si>
  <si>
    <t>Nov</t>
  </si>
  <si>
    <t>Dez</t>
  </si>
  <si>
    <t>Σ Std</t>
  </si>
  <si>
    <t>Soll Jahr</t>
  </si>
  <si>
    <t>Auslastung</t>
  </si>
  <si>
    <t>ABWESENHEITEN PRO MITARBEITER UND MONAT</t>
  </si>
  <si>
    <t>TAGE PRO MONAT</t>
  </si>
  <si>
    <t>Σ</t>
  </si>
  <si>
    <t>Anspruch</t>
  </si>
  <si>
    <t>Rest</t>
  </si>
  <si>
    <t>Typ</t>
  </si>
  <si>
    <t>Σ Jahr</t>
  </si>
  <si>
    <t>GESETZLICHE FEIERTAGE 2026</t>
  </si>
  <si>
    <t>Übersicht aller bundeseinheitlichen und regionalen Feiertage in Deutschland.</t>
  </si>
  <si>
    <t>Nr.</t>
  </si>
  <si>
    <t>Datum</t>
  </si>
  <si>
    <t>Wochentag</t>
  </si>
  <si>
    <t>Feiertag</t>
  </si>
  <si>
    <t>Geltungsbereich</t>
  </si>
  <si>
    <t>Donnerstag</t>
  </si>
  <si>
    <t>Neujahr</t>
  </si>
  <si>
    <t>Bundesweit</t>
  </si>
  <si>
    <t>Dienstag</t>
  </si>
  <si>
    <t>Heilige Drei Könige</t>
  </si>
  <si>
    <t>BW, BY, ST</t>
  </si>
  <si>
    <t>Freitag</t>
  </si>
  <si>
    <t>Karfreitag</t>
  </si>
  <si>
    <t>Sonntag</t>
  </si>
  <si>
    <t>Ostersonntag</t>
  </si>
  <si>
    <t>BB (nur dort gesetzl.)</t>
  </si>
  <si>
    <t>Montag</t>
  </si>
  <si>
    <t>Ostermontag</t>
  </si>
  <si>
    <t>Tag der Arbeit</t>
  </si>
  <si>
    <t>Christi Himmelfahrt</t>
  </si>
  <si>
    <t>Pfingstsonntag</t>
  </si>
  <si>
    <t>Pfingstmontag</t>
  </si>
  <si>
    <t>Fronleichnam</t>
  </si>
  <si>
    <t>BW, BY, HE, NW, RP, SL</t>
  </si>
  <si>
    <t>Samstag</t>
  </si>
  <si>
    <t>Mariä Himmelfahrt</t>
  </si>
  <si>
    <t>BY (teilw.), SL</t>
  </si>
  <si>
    <t>Tag der Deutschen Einheit</t>
  </si>
  <si>
    <t>Reformationstag</t>
  </si>
  <si>
    <t>BB, HB, HH, MV, NI, SN, ST, SH, TH</t>
  </si>
  <si>
    <t>Allerheiligen</t>
  </si>
  <si>
    <t>BW, BY, NW, RP, SL</t>
  </si>
  <si>
    <t>Mittwoch</t>
  </si>
  <si>
    <t>Buß- und Bettag</t>
  </si>
  <si>
    <t>SN</t>
  </si>
  <si>
    <t>1. Weihnachtsfeiertag</t>
  </si>
  <si>
    <t>2. Weihnachtsfeiertag</t>
  </si>
  <si>
    <t>WICHTIGE HINWEISE</t>
  </si>
  <si>
    <t>• Geltungsbereiche: BW=Baden-Württemberg, BY=Bayern, BB=Brandenburg, BE=Berlin, HB=Bremen, HE=Hessen,</t>
  </si>
  <si>
    <t xml:space="preserve">  HH=Hamburg, MV=Mecklenburg-Vorpommern, NI=Niedersachsen, NW=Nordrhein-Westfalen, RP=Rheinland-Pfalz,</t>
  </si>
  <si>
    <t xml:space="preserve">  SL=Saarland, SN=Sachsen, ST=Sachsen-Anhalt, SH=Schleswig-Holstein, TH=Thüringen.</t>
  </si>
  <si>
    <t>• An gesetzlichen Feiertagen gelten besondere Regelungen für die Beschäftigung in der Gastronomie.</t>
  </si>
  <si>
    <t>• Feiertagszuschläge nach § 3b EStG sind steuer- und sozialversicherungsfrei (bis 125% Grundlohn).</t>
  </si>
  <si>
    <t>• Beschäftigung an Sonn- und Feiertagen in der Gastronomie ist gemäß § 10 ArbZG zulässig.</t>
  </si>
  <si>
    <t xml:space="preserve">DIENSTPLAN GASTRONOMIE - MONATSANSICHT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</si>
</sst>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&quot; Std&quot;"/>
    <numFmt numFmtId="165" formatCode="#,##0&quot; Std&quot;"/>
    <numFmt numFmtId="166" formatCode="#,##0.0&quot; Std&quot;"/>
    <numFmt numFmtId="167" formatCode="#,##0.00&quot; €&quot;"/>
    <numFmt numFmtId="168" formatCode="0&quot; Tage&quot;"/>
    <numFmt numFmtId="169" formatCode="#,##0.0"/>
    <numFmt numFmtId="170" formatCode="0.0%"/>
    <numFmt numFmtId="171" formatCode="dd\.mm\.yyyy"/>
    <numFmt numFmtId="172" formatCode="0&quot; Std/Wo&quot;"/>
    <numFmt numFmtId="173" formatCode="0.00&quot; Std&quot;"/>
    <numFmt numFmtId="174" formatCode="0.0&quot; Std&quot;"/>
    <numFmt numFmtId="175" formatCode="\+0.0;\-0.0;\-"/>
    <numFmt numFmtId="176" formatCode="0.0"/>
    <numFmt numFmtId="177" formatCode="0;;;"/>
  </numFmts>
  <fonts count="22" x14ac:knownFonts="1">
    <font>
      <sz val="11"/>
      <color theme="1"/>
      <name val="Calibri"/>
      <family val="2"/>
      <charset val="1"/>
    </font>
    <font>
      <b/>
      <sz val="22"/>
      <color rgb="FF1F4E79"/>
      <name val="Calibri"/>
      <charset val="1"/>
    </font>
    <font>
      <i/>
      <sz val="11"/>
      <color rgb="FF595959"/>
      <name val="Calibri"/>
      <charset val="1"/>
    </font>
    <font>
      <b/>
      <sz val="11"/>
      <color rgb="FFFFFFFF"/>
      <name val="Calibri"/>
      <charset val="1"/>
    </font>
    <font>
      <b/>
      <sz val="10"/>
      <name val="Calibri"/>
      <charset val="1"/>
    </font>
    <font>
      <sz val="10"/>
      <name val="Calibri"/>
      <charset val="1"/>
    </font>
    <font>
      <b/>
      <sz val="11"/>
      <color rgb="FF1F4E79"/>
      <name val="Calibri"/>
      <charset val="1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b/>
      <sz val="10"/>
      <color rgb="FFC00000"/>
      <name val="Calibri"/>
      <charset val="1"/>
    </font>
    <font>
      <b/>
      <sz val="18"/>
      <color rgb="FF1F4E79"/>
      <name val="Calibri"/>
      <charset val="1"/>
    </font>
    <font>
      <i/>
      <sz val="10"/>
      <color rgb="FF595959"/>
      <name val="Calibri"/>
      <charset val="1"/>
    </font>
    <font>
      <b/>
      <sz val="10"/>
      <color rgb="FF1F4E79"/>
      <name val="Calibri"/>
      <charset val="1"/>
    </font>
    <font>
      <b/>
      <sz val="11"/>
      <color rgb="FF000000"/>
      <name val="Calibri"/>
      <charset val="1"/>
    </font>
    <font>
      <b/>
      <sz val="11"/>
      <name val="Calibri"/>
      <charset val="1"/>
    </font>
    <font>
      <b/>
      <sz val="14"/>
      <color rgb="FF1F4E79"/>
      <name val="Calibri"/>
      <charset val="1"/>
    </font>
    <font>
      <b/>
      <sz val="14"/>
      <color rgb="FFC00000"/>
      <name val="Calibri"/>
      <charset val="1"/>
    </font>
    <font>
      <b/>
      <sz val="9"/>
      <color rgb="FF1F4E79"/>
      <name val="Calibri"/>
      <charset val="1"/>
    </font>
    <font>
      <b/>
      <sz val="10"/>
      <color rgb="FFFFFFFF"/>
      <name val="Calibri"/>
      <charset val="1"/>
    </font>
    <font>
      <b/>
      <sz val="9"/>
      <color rgb="FF00B050"/>
      <name val="Calibri"/>
      <charset val="1"/>
    </font>
    <font>
      <b/>
      <sz val="9"/>
      <color rgb="FFC00000"/>
      <name val="Calibri"/>
      <charset val="1"/>
    </font>
    <font>
      <b/>
      <sz val="17"/>
      <color rgb="FF1F4E79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E7E6E6"/>
      </patternFill>
    </fill>
    <fill>
      <patternFill patternType="solid">
        <fgColor rgb="FFE2EFDA"/>
        <bgColor rgb="FFE7E6E6"/>
      </patternFill>
    </fill>
    <fill>
      <patternFill patternType="solid">
        <fgColor rgb="FFBDD7EE"/>
        <bgColor rgb="FFD9D9D9"/>
      </patternFill>
    </fill>
    <fill>
      <patternFill patternType="solid">
        <fgColor rgb="FFFFF2CC"/>
        <bgColor rgb="FFFCE4D6"/>
      </patternFill>
    </fill>
    <fill>
      <patternFill patternType="solid">
        <fgColor rgb="FFFFE699"/>
        <bgColor rgb="FFFFF2CC"/>
      </patternFill>
    </fill>
    <fill>
      <patternFill patternType="solid">
        <fgColor rgb="FFFFD966"/>
        <bgColor rgb="FFFFE699"/>
      </patternFill>
    </fill>
    <fill>
      <patternFill patternType="solid">
        <fgColor rgb="FF8FAADC"/>
        <bgColor rgb="FF9DC3E6"/>
      </patternFill>
    </fill>
    <fill>
      <patternFill patternType="solid">
        <fgColor rgb="FF9DC3E6"/>
        <bgColor rgb="FF8FAADC"/>
      </patternFill>
    </fill>
    <fill>
      <patternFill patternType="solid">
        <fgColor rgb="FFC00000"/>
        <bgColor rgb="FF9C0006"/>
      </patternFill>
    </fill>
    <fill>
      <patternFill patternType="solid">
        <fgColor rgb="FF7030A0"/>
        <bgColor rgb="FF993366"/>
      </patternFill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FF7C80"/>
        <bgColor rgb="FFED7D31"/>
      </patternFill>
    </fill>
    <fill>
      <patternFill patternType="solid">
        <fgColor rgb="FFD9D9D9"/>
        <bgColor rgb="FFD9E1F2"/>
      </patternFill>
    </fill>
    <fill>
      <patternFill patternType="solid">
        <fgColor rgb="FFBFBFBF"/>
        <bgColor rgb="FF9DC3E6"/>
      </patternFill>
    </fill>
    <fill>
      <patternFill patternType="solid">
        <fgColor rgb="FFFFFFFF"/>
        <bgColor rgb="FFFFF2CC"/>
      </patternFill>
    </fill>
    <fill>
      <patternFill patternType="solid">
        <fgColor rgb="FFFCE4D6"/>
        <bgColor rgb="FFFFF2CC"/>
      </patternFill>
    </fill>
    <fill>
      <patternFill patternType="solid">
        <fgColor rgb="FFF8CBAD"/>
        <bgColor rgb="FFFFC7CE"/>
      </patternFill>
    </fill>
  </fills>
  <borders count="8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1F4E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9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168" fontId="6" fillId="4" borderId="1" xfId="0" applyNumberFormat="1" applyFont="1" applyFill="1" applyBorder="1" applyAlignment="1">
      <alignment horizontal="right" vertical="center" indent="1"/>
    </xf>
    <xf numFmtId="167" fontId="5" fillId="0" borderId="1" xfId="0" applyNumberFormat="1" applyFont="1" applyBorder="1" applyAlignment="1">
      <alignment horizontal="left" vertical="center" indent="1"/>
    </xf>
    <xf numFmtId="167" fontId="6" fillId="4" borderId="1" xfId="0" applyNumberFormat="1" applyFont="1" applyFill="1" applyBorder="1" applyAlignment="1">
      <alignment horizontal="right" vertical="center" indent="1"/>
    </xf>
    <xf numFmtId="166" fontId="6" fillId="4" borderId="1" xfId="0" applyNumberFormat="1" applyFont="1" applyFill="1" applyBorder="1" applyAlignment="1">
      <alignment horizontal="right" vertical="center" indent="1"/>
    </xf>
    <xf numFmtId="165" fontId="6" fillId="4" borderId="1" xfId="0" applyNumberFormat="1" applyFont="1" applyFill="1" applyBorder="1" applyAlignment="1">
      <alignment horizontal="right" vertical="center" indent="1"/>
    </xf>
    <xf numFmtId="164" fontId="6" fillId="4" borderId="1" xfId="0" applyNumberFormat="1" applyFont="1" applyFill="1" applyBorder="1" applyAlignment="1">
      <alignment horizontal="right" vertical="center" indent="1"/>
    </xf>
    <xf numFmtId="1" fontId="6" fillId="4" borderId="1" xfId="0" applyNumberFormat="1" applyFont="1" applyFill="1" applyBorder="1" applyAlignment="1">
      <alignment horizontal="right" vertical="center" indent="1"/>
    </xf>
    <xf numFmtId="0" fontId="5" fillId="0" borderId="1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6" fontId="7" fillId="4" borderId="2" xfId="0" applyNumberFormat="1" applyFont="1" applyFill="1" applyBorder="1" applyAlignment="1">
      <alignment horizontal="right" vertical="center" wrapText="1"/>
    </xf>
    <xf numFmtId="167" fontId="7" fillId="4" borderId="2" xfId="0" applyNumberFormat="1" applyFont="1" applyFill="1" applyBorder="1" applyAlignment="1">
      <alignment horizontal="right" vertical="center" wrapText="1"/>
    </xf>
    <xf numFmtId="169" fontId="7" fillId="4" borderId="2" xfId="0" applyNumberFormat="1" applyFont="1" applyFill="1" applyBorder="1" applyAlignment="1">
      <alignment horizontal="right" vertical="center" wrapText="1"/>
    </xf>
    <xf numFmtId="168" fontId="7" fillId="4" borderId="2" xfId="0" applyNumberFormat="1" applyFont="1" applyFill="1" applyBorder="1" applyAlignment="1">
      <alignment horizontal="right" vertical="center" wrapText="1"/>
    </xf>
    <xf numFmtId="170" fontId="7" fillId="4" borderId="2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left" vertical="center" wrapText="1"/>
    </xf>
    <xf numFmtId="166" fontId="8" fillId="5" borderId="2" xfId="0" applyNumberFormat="1" applyFont="1" applyFill="1" applyBorder="1" applyAlignment="1">
      <alignment horizontal="right" vertical="center" wrapText="1"/>
    </xf>
    <xf numFmtId="167" fontId="8" fillId="5" borderId="2" xfId="0" applyNumberFormat="1" applyFont="1" applyFill="1" applyBorder="1" applyAlignment="1">
      <alignment horizontal="right" vertical="center" wrapText="1"/>
    </xf>
    <xf numFmtId="169" fontId="8" fillId="5" borderId="2" xfId="0" applyNumberFormat="1" applyFont="1" applyFill="1" applyBorder="1" applyAlignment="1">
      <alignment horizontal="right" vertical="center" wrapText="1"/>
    </xf>
    <xf numFmtId="168" fontId="8" fillId="5" borderId="2" xfId="0" applyNumberFormat="1" applyFont="1" applyFill="1" applyBorder="1" applyAlignment="1">
      <alignment horizontal="right" vertical="center" wrapText="1"/>
    </xf>
    <xf numFmtId="170" fontId="8" fillId="5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167" fontId="7" fillId="6" borderId="2" xfId="0" applyNumberFormat="1" applyFont="1" applyFill="1" applyBorder="1" applyAlignment="1">
      <alignment horizontal="center" vertical="center" wrapText="1"/>
    </xf>
    <xf numFmtId="168" fontId="7" fillId="6" borderId="2" xfId="0" applyNumberFormat="1" applyFont="1" applyFill="1" applyBorder="1" applyAlignment="1">
      <alignment horizontal="center" vertical="center" wrapText="1"/>
    </xf>
    <xf numFmtId="171" fontId="7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167" fontId="5" fillId="6" borderId="2" xfId="0" applyNumberFormat="1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171" fontId="5" fillId="6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172" fontId="8" fillId="5" borderId="2" xfId="0" applyNumberFormat="1" applyFont="1" applyFill="1" applyBorder="1" applyAlignment="1">
      <alignment horizontal="center" vertical="center" wrapText="1"/>
    </xf>
    <xf numFmtId="167" fontId="8" fillId="5" borderId="2" xfId="0" applyNumberFormat="1" applyFont="1" applyFill="1" applyBorder="1" applyAlignment="1">
      <alignment horizontal="center" vertical="center" wrapText="1"/>
    </xf>
    <xf numFmtId="168" fontId="8" fillId="5" borderId="2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indent="1"/>
    </xf>
    <xf numFmtId="0" fontId="7" fillId="6" borderId="2" xfId="0" applyFont="1" applyFill="1" applyBorder="1" applyAlignment="1">
      <alignment horizontal="center" vertical="center"/>
    </xf>
    <xf numFmtId="173" fontId="7" fillId="4" borderId="2" xfId="0" applyNumberFormat="1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7" fillId="3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12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left" vertical="center" indent="1"/>
    </xf>
    <xf numFmtId="0" fontId="5" fillId="18" borderId="2" xfId="0" applyFont="1" applyFill="1" applyBorder="1" applyAlignment="1">
      <alignment horizontal="left" vertical="center" indent="1"/>
    </xf>
    <xf numFmtId="164" fontId="5" fillId="18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4" fontId="12" fillId="4" borderId="2" xfId="0" applyNumberFormat="1" applyFont="1" applyFill="1" applyBorder="1" applyAlignment="1">
      <alignment horizontal="center" vertical="center"/>
    </xf>
    <xf numFmtId="175" fontId="12" fillId="4" borderId="2" xfId="0" applyNumberFormat="1" applyFont="1" applyFill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174" fontId="12" fillId="5" borderId="2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176" fontId="12" fillId="5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8" fillId="8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8" fillId="12" borderId="2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  <xf numFmtId="0" fontId="8" fillId="17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176" fontId="5" fillId="6" borderId="2" xfId="0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170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9" fontId="12" fillId="5" borderId="2" xfId="0" applyNumberFormat="1" applyFont="1" applyFill="1" applyBorder="1" applyAlignment="1">
      <alignment horizontal="center" vertical="center"/>
    </xf>
    <xf numFmtId="166" fontId="12" fillId="5" borderId="2" xfId="0" applyNumberFormat="1" applyFont="1" applyFill="1" applyBorder="1" applyAlignment="1">
      <alignment horizontal="center" vertical="center"/>
    </xf>
    <xf numFmtId="165" fontId="12" fillId="5" borderId="2" xfId="0" applyNumberFormat="1" applyFont="1" applyFill="1" applyBorder="1" applyAlignment="1">
      <alignment horizontal="center" vertical="center"/>
    </xf>
    <xf numFmtId="170" fontId="12" fillId="5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177" fontId="5" fillId="6" borderId="2" xfId="0" applyNumberFormat="1" applyFont="1" applyFill="1" applyBorder="1" applyAlignment="1">
      <alignment horizontal="center" vertical="center"/>
    </xf>
    <xf numFmtId="0" fontId="20" fillId="19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1" fontId="5" fillId="18" borderId="2" xfId="0" applyNumberFormat="1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 indent="1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</cellXfs>
  <cellStyles count="1">
    <cellStyle name="Standard" xfId="0" builtinId="0"/>
  </cellStyles>
  <dxfs count="5">
    <dxf>
      <font>
        <b/>
        <color rgb="FF00B050"/>
      </font>
    </dxf>
    <dxf>
      <font>
        <b/>
        <color rgb="FF9C0006"/>
      </font>
      <fill>
        <patternFill>
          <bgColor rgb="FFFFC7CE"/>
        </patternFill>
      </fill>
    </dxf>
    <dxf>
      <font>
        <b/>
        <color rgb="FF9C0006"/>
      </font>
      <fill>
        <patternFill>
          <bgColor rgb="FFFFC7CE"/>
        </patternFill>
      </fill>
    </dxf>
    <dxf>
      <font>
        <strike/>
        <color rgb="FF808080"/>
      </font>
      <fill>
        <patternFill>
          <bgColor rgb="FFE7E6E6"/>
        </patternFill>
      </fill>
    </dxf>
    <dxf>
      <font>
        <color rgb="FF808080"/>
      </font>
      <fill>
        <patternFill>
          <bgColor rgb="FFE7E6E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CE4D6"/>
      <rgbColor rgb="FFFF00FF"/>
      <rgbColor rgb="FF00FFFF"/>
      <rgbColor rgb="FF9C0006"/>
      <rgbColor rgb="FF008000"/>
      <rgbColor rgb="FF000080"/>
      <rgbColor rgb="FF70AD47"/>
      <rgbColor rgb="FF800080"/>
      <rgbColor rgb="FF008080"/>
      <rgbColor rgb="FFBFBFBF"/>
      <rgbColor rgb="FF808080"/>
      <rgbColor rgb="FF8FAADC"/>
      <rgbColor rgb="FF7030A0"/>
      <rgbColor rgb="FFFFF2CC"/>
      <rgbColor rgb="FFD9E1F2"/>
      <rgbColor rgb="FF660066"/>
      <rgbColor rgb="FFFF7C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E2EFDA"/>
      <rgbColor rgb="FFFFE699"/>
      <rgbColor rgb="FF9DC3E6"/>
      <rgbColor rgb="FFFFC7CE"/>
      <rgbColor rgb="FFD9D9D9"/>
      <rgbColor rgb="FFF8CBAD"/>
      <rgbColor rgb="FF3366FF"/>
      <rgbColor rgb="FF5B9BD5"/>
      <rgbColor rgb="FF92D050"/>
      <rgbColor rgb="FFFFD966"/>
      <rgbColor rgb="FFFF9900"/>
      <rgbColor rgb="FFED7D31"/>
      <rgbColor rgb="FF595959"/>
      <rgbColor rgb="FFA5A5A5"/>
      <rgbColor rgb="FF003366"/>
      <rgbColor rgb="FF00B050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</sheetPr>
  <dimension ref="B2:H38"/>
  <sheetViews>
    <sheetView showGridLines="0" zoomScaleNormal="100" workbookViewId="0">
      <selection activeCell="B2" sqref="B2:H2"/>
    </sheetView>
  </sheetViews>
  <sheetFormatPr baseColWidth="10" defaultColWidth="8.7109375" defaultRowHeight="15" x14ac:dyDescent="0.25"/>
  <cols>
    <col min="1" max="1" width="2" customWidth="1"/>
    <col min="2" max="2" width="22" customWidth="1"/>
    <col min="3" max="4" width="18" customWidth="1"/>
    <col min="5" max="5" width="14" customWidth="1"/>
    <col min="6" max="6" width="22" customWidth="1"/>
    <col min="7" max="8" width="16" customWidth="1"/>
  </cols>
  <sheetData>
    <row r="2" spans="2:8" ht="31.5" customHeight="1" x14ac:dyDescent="0.25">
      <c r="B2" s="14" t="s">
        <v>0</v>
      </c>
      <c r="C2" s="14"/>
      <c r="D2" s="14"/>
      <c r="E2" s="14"/>
      <c r="F2" s="14"/>
      <c r="G2" s="14"/>
      <c r="H2" s="14"/>
    </row>
    <row r="3" spans="2:8" ht="18" customHeight="1" x14ac:dyDescent="0.25">
      <c r="B3" s="13" t="s">
        <v>1</v>
      </c>
      <c r="C3" s="13"/>
      <c r="D3" s="13"/>
      <c r="E3" s="13"/>
      <c r="F3" s="13"/>
      <c r="G3" s="13"/>
      <c r="H3" s="13"/>
    </row>
    <row r="5" spans="2:8" ht="15" customHeight="1" x14ac:dyDescent="0.25">
      <c r="B5" s="12" t="s">
        <v>2</v>
      </c>
      <c r="C5" s="12"/>
      <c r="D5" s="12"/>
      <c r="F5" s="12" t="s">
        <v>3</v>
      </c>
      <c r="G5" s="12"/>
      <c r="H5" s="12"/>
    </row>
    <row r="6" spans="2:8" ht="15" customHeight="1" x14ac:dyDescent="0.25">
      <c r="B6" s="15" t="s">
        <v>4</v>
      </c>
      <c r="C6" s="11" t="s">
        <v>5</v>
      </c>
      <c r="D6" s="11"/>
      <c r="F6" s="15" t="s">
        <v>6</v>
      </c>
      <c r="G6" s="10">
        <f>COUNTIF(Mitarbeiter!L5:L50,"Aktiv")</f>
        <v>12</v>
      </c>
      <c r="H6" s="10"/>
    </row>
    <row r="7" spans="2:8" ht="15" customHeight="1" x14ac:dyDescent="0.25">
      <c r="B7" s="15" t="s">
        <v>7</v>
      </c>
      <c r="C7" s="11" t="s">
        <v>8</v>
      </c>
      <c r="D7" s="11"/>
      <c r="F7" s="15" t="s">
        <v>9</v>
      </c>
      <c r="G7" s="9">
        <f>SUM(Mitarbeiter!H5:H50)</f>
        <v>350</v>
      </c>
      <c r="H7" s="9"/>
    </row>
    <row r="8" spans="2:8" ht="15" customHeight="1" x14ac:dyDescent="0.25">
      <c r="B8" s="15" t="s">
        <v>10</v>
      </c>
      <c r="C8" s="11" t="s">
        <v>11</v>
      </c>
      <c r="D8" s="11"/>
      <c r="F8" s="15" t="s">
        <v>12</v>
      </c>
      <c r="G8" s="8">
        <f>SUM(Mitarbeiter!H5:H50)*52</f>
        <v>18200</v>
      </c>
      <c r="H8" s="8"/>
    </row>
    <row r="9" spans="2:8" ht="15" customHeight="1" x14ac:dyDescent="0.25">
      <c r="B9" s="15" t="s">
        <v>13</v>
      </c>
      <c r="C9" s="11" t="s">
        <v>14</v>
      </c>
      <c r="D9" s="11"/>
      <c r="F9" s="15" t="s">
        <v>15</v>
      </c>
      <c r="G9" s="7">
        <f>SUM(Auswertung!P7:P50)</f>
        <v>18338.899999999998</v>
      </c>
      <c r="H9" s="7"/>
    </row>
    <row r="10" spans="2:8" ht="15" customHeight="1" x14ac:dyDescent="0.25">
      <c r="B10" s="15" t="s">
        <v>16</v>
      </c>
      <c r="C10" s="11">
        <v>2026</v>
      </c>
      <c r="D10" s="11"/>
      <c r="F10" s="15" t="s">
        <v>17</v>
      </c>
      <c r="G10" s="6">
        <f>SUMPRODUCT(Mitarbeiter!I5:I48,Auswertung!P7:P50)</f>
        <v>327962.10000000009</v>
      </c>
      <c r="H10" s="6"/>
    </row>
    <row r="11" spans="2:8" ht="15" customHeight="1" x14ac:dyDescent="0.25">
      <c r="B11" s="15" t="s">
        <v>18</v>
      </c>
      <c r="C11" s="5">
        <v>13.9</v>
      </c>
      <c r="D11" s="5"/>
      <c r="F11" s="15" t="s">
        <v>19</v>
      </c>
      <c r="G11" s="4">
        <f>SUM(Mitarbeiter!J5:J50)</f>
        <v>260</v>
      </c>
      <c r="H11" s="4"/>
    </row>
    <row r="13" spans="2:8" ht="15" customHeight="1" x14ac:dyDescent="0.25">
      <c r="B13" s="12" t="s">
        <v>20</v>
      </c>
      <c r="C13" s="12"/>
      <c r="D13" s="12"/>
      <c r="E13" s="12"/>
      <c r="F13" s="12"/>
      <c r="G13" s="12"/>
      <c r="H13" s="12"/>
    </row>
    <row r="14" spans="2:8" ht="15" customHeight="1" x14ac:dyDescent="0.25">
      <c r="B14" s="3" t="s">
        <v>21</v>
      </c>
      <c r="C14" s="3"/>
      <c r="D14" s="3"/>
      <c r="E14" s="3"/>
      <c r="F14" s="3"/>
      <c r="G14" s="3"/>
      <c r="H14" s="3"/>
    </row>
    <row r="15" spans="2:8" ht="15" customHeight="1" x14ac:dyDescent="0.25">
      <c r="B15" s="3" t="s">
        <v>22</v>
      </c>
      <c r="C15" s="3"/>
      <c r="D15" s="3"/>
      <c r="E15" s="3"/>
      <c r="F15" s="3"/>
      <c r="G15" s="3"/>
      <c r="H15" s="3"/>
    </row>
    <row r="16" spans="2:8" ht="15" customHeight="1" x14ac:dyDescent="0.25">
      <c r="B16" s="3" t="s">
        <v>23</v>
      </c>
      <c r="C16" s="3"/>
      <c r="D16" s="3"/>
      <c r="E16" s="3"/>
      <c r="F16" s="3"/>
      <c r="G16" s="3"/>
      <c r="H16" s="3"/>
    </row>
    <row r="17" spans="2:8" ht="15" customHeight="1" x14ac:dyDescent="0.25">
      <c r="B17" s="3" t="s">
        <v>24</v>
      </c>
      <c r="C17" s="3"/>
      <c r="D17" s="3"/>
      <c r="E17" s="3"/>
      <c r="F17" s="3"/>
      <c r="G17" s="3"/>
      <c r="H17" s="3"/>
    </row>
    <row r="18" spans="2:8" ht="15" customHeight="1" x14ac:dyDescent="0.25">
      <c r="B18" s="3" t="s">
        <v>25</v>
      </c>
      <c r="C18" s="3"/>
      <c r="D18" s="3"/>
      <c r="E18" s="3"/>
      <c r="F18" s="3"/>
      <c r="G18" s="3"/>
      <c r="H18" s="3"/>
    </row>
    <row r="19" spans="2:8" ht="15" customHeight="1" x14ac:dyDescent="0.25">
      <c r="B19" s="3"/>
      <c r="C19" s="3"/>
      <c r="D19" s="3"/>
      <c r="E19" s="3"/>
      <c r="F19" s="3"/>
      <c r="G19" s="3"/>
      <c r="H19" s="3"/>
    </row>
    <row r="20" spans="2:8" ht="15" customHeight="1" x14ac:dyDescent="0.25">
      <c r="B20" s="2" t="s">
        <v>26</v>
      </c>
      <c r="C20" s="2"/>
      <c r="D20" s="2"/>
      <c r="E20" s="2"/>
      <c r="F20" s="2"/>
      <c r="G20" s="2"/>
      <c r="H20" s="2"/>
    </row>
    <row r="21" spans="2:8" ht="15" customHeight="1" x14ac:dyDescent="0.25">
      <c r="B21" s="1" t="s">
        <v>27</v>
      </c>
      <c r="C21" s="1"/>
      <c r="D21" s="1"/>
      <c r="E21" s="1"/>
      <c r="F21" s="1"/>
      <c r="G21" s="1"/>
      <c r="H21" s="1"/>
    </row>
    <row r="24" spans="2:8" ht="15" customHeight="1" x14ac:dyDescent="0.25">
      <c r="B24" s="12" t="s">
        <v>28</v>
      </c>
      <c r="C24" s="12"/>
      <c r="D24" s="12"/>
      <c r="E24" s="12"/>
      <c r="F24" s="12"/>
      <c r="G24" s="12"/>
      <c r="H24" s="12"/>
    </row>
    <row r="25" spans="2:8" ht="15" customHeight="1" x14ac:dyDescent="0.25">
      <c r="B25" s="16" t="s">
        <v>29</v>
      </c>
      <c r="C25" s="16" t="s">
        <v>30</v>
      </c>
      <c r="D25" s="16" t="s">
        <v>31</v>
      </c>
      <c r="E25" s="16" t="s">
        <v>32</v>
      </c>
      <c r="F25" s="16" t="s">
        <v>33</v>
      </c>
      <c r="G25" s="16" t="s">
        <v>34</v>
      </c>
      <c r="H25" s="16" t="s">
        <v>35</v>
      </c>
    </row>
    <row r="26" spans="2:8" ht="15" customHeight="1" x14ac:dyDescent="0.25">
      <c r="B26" s="17" t="s">
        <v>36</v>
      </c>
      <c r="C26" s="18">
        <f>SUM(Auswertung!D7:D50)</f>
        <v>1453.1000000000004</v>
      </c>
      <c r="D26" s="19">
        <f>SUMPRODUCT(Mitarbeiter!I5:I48,Auswertung!D7:D50)</f>
        <v>25891.100000000002</v>
      </c>
      <c r="E26" s="20">
        <f>IFERROR(C26/COUNTIF(Auswertung!D7:D50,"&gt;0"),0)</f>
        <v>121.0916666666667</v>
      </c>
      <c r="F26" s="21">
        <f>SUMIF(Auswertung!$C$58:$C$81,"Krank",Auswertung!D58:D81)</f>
        <v>7</v>
      </c>
      <c r="G26" s="21">
        <f>SUMIF(Auswertung!$C$58:$C$81,"Urlaub",Auswertung!D58:D81)</f>
        <v>17</v>
      </c>
      <c r="H26" s="22">
        <f>IFERROR(C26/(SUM(Mitarbeiter!H5:H50)*4.33),0)</f>
        <v>0.95882547014186759</v>
      </c>
    </row>
    <row r="27" spans="2:8" ht="15" customHeight="1" x14ac:dyDescent="0.25">
      <c r="B27" s="17" t="s">
        <v>37</v>
      </c>
      <c r="C27" s="18">
        <f>SUM(Auswertung!E7:E50)</f>
        <v>1409.2</v>
      </c>
      <c r="D27" s="19">
        <f>SUMPRODUCT(Mitarbeiter!I5:I48,Auswertung!E7:E50)</f>
        <v>25146.250000000004</v>
      </c>
      <c r="E27" s="20">
        <f>IFERROR(C27/COUNTIF(Auswertung!E7:E50,"&gt;0"),0)</f>
        <v>117.43333333333334</v>
      </c>
      <c r="F27" s="21">
        <f>SUMIF(Auswertung!$C$58:$C$81,"Krank",Auswertung!E58:E81)</f>
        <v>3</v>
      </c>
      <c r="G27" s="21">
        <f>SUMIF(Auswertung!$C$58:$C$81,"Urlaub",Auswertung!E58:E81)</f>
        <v>14</v>
      </c>
      <c r="H27" s="22">
        <f>IFERROR(C27/(SUM(Mitarbeiter!H5:H50)*4.33),0)</f>
        <v>0.92985813262949524</v>
      </c>
    </row>
    <row r="28" spans="2:8" ht="15" customHeight="1" x14ac:dyDescent="0.25">
      <c r="B28" s="17" t="s">
        <v>38</v>
      </c>
      <c r="C28" s="18">
        <f>SUM(Auswertung!F7:F50)</f>
        <v>1512.4000000000003</v>
      </c>
      <c r="D28" s="19">
        <f>SUMPRODUCT(Mitarbeiter!I5:I48,Auswertung!F7:F50)</f>
        <v>27057.949999999997</v>
      </c>
      <c r="E28" s="20">
        <f>IFERROR(C28/COUNTIF(Auswertung!F7:F50,"&gt;0"),0)</f>
        <v>126.03333333333336</v>
      </c>
      <c r="F28" s="21">
        <f>SUMIF(Auswertung!$C$58:$C$81,"Krank",Auswertung!F58:F81)</f>
        <v>6</v>
      </c>
      <c r="G28" s="21">
        <f>SUMIF(Auswertung!$C$58:$C$81,"Urlaub",Auswertung!F58:F81)</f>
        <v>9</v>
      </c>
      <c r="H28" s="22">
        <f>IFERROR(C28/(SUM(Mitarbeiter!H5:H50)*4.33),0)</f>
        <v>0.99795447047179164</v>
      </c>
    </row>
    <row r="29" spans="2:8" ht="15" customHeight="1" x14ac:dyDescent="0.25">
      <c r="B29" s="17" t="s">
        <v>39</v>
      </c>
      <c r="C29" s="18">
        <f>SUM(Auswertung!G7:G50)</f>
        <v>1511.6000000000001</v>
      </c>
      <c r="D29" s="19">
        <f>SUMPRODUCT(Mitarbeiter!I5:I48,Auswertung!G7:G50)</f>
        <v>26980.65</v>
      </c>
      <c r="E29" s="20">
        <f>IFERROR(C29/COUNTIF(Auswertung!G7:G50,"&gt;0"),0)</f>
        <v>125.96666666666668</v>
      </c>
      <c r="F29" s="21">
        <f>SUMIF(Auswertung!$C$58:$C$81,"Krank",Auswertung!G58:G81)</f>
        <v>3</v>
      </c>
      <c r="G29" s="21">
        <f>SUMIF(Auswertung!$C$58:$C$81,"Urlaub",Auswertung!G58:G81)</f>
        <v>12</v>
      </c>
      <c r="H29" s="22">
        <f>IFERROR(C29/(SUM(Mitarbeiter!H5:H50)*4.33),0)</f>
        <v>0.99742659188386684</v>
      </c>
    </row>
    <row r="30" spans="2:8" ht="15" customHeight="1" x14ac:dyDescent="0.25">
      <c r="B30" s="17" t="s">
        <v>40</v>
      </c>
      <c r="C30" s="18">
        <f>SUM(Auswertung!H7:H50)</f>
        <v>1570.7000000000003</v>
      </c>
      <c r="D30" s="19">
        <f>SUMPRODUCT(Mitarbeiter!I5:I48,Auswertung!H7:H50)</f>
        <v>28110.049999999996</v>
      </c>
      <c r="E30" s="20">
        <f>IFERROR(C30/COUNTIF(Auswertung!H7:H50,"&gt;0"),0)</f>
        <v>130.89166666666668</v>
      </c>
      <c r="F30" s="21">
        <f>SUMIF(Auswertung!$C$58:$C$81,"Krank",Auswertung!H58:H81)</f>
        <v>2</v>
      </c>
      <c r="G30" s="21">
        <f>SUMIF(Auswertung!$C$58:$C$81,"Urlaub",Auswertung!H58:H81)</f>
        <v>7</v>
      </c>
      <c r="H30" s="22">
        <f>IFERROR(C30/(SUM(Mitarbeiter!H5:H50)*4.33),0)</f>
        <v>1.0364236225668098</v>
      </c>
    </row>
    <row r="31" spans="2:8" ht="15" customHeight="1" x14ac:dyDescent="0.25">
      <c r="B31" s="17" t="s">
        <v>41</v>
      </c>
      <c r="C31" s="18">
        <f>SUM(Auswertung!I7:I50)</f>
        <v>1629.5</v>
      </c>
      <c r="D31" s="19">
        <f>SUMPRODUCT(Mitarbeiter!I5:I48,Auswertung!I7:I50)</f>
        <v>29235.599999999999</v>
      </c>
      <c r="E31" s="20">
        <f>IFERROR(C31/COUNTIF(Auswertung!I7:I50,"&gt;0"),0)</f>
        <v>135.79166666666666</v>
      </c>
      <c r="F31" s="21">
        <f>SUMIF(Auswertung!$C$58:$C$81,"Krank",Auswertung!I58:I81)</f>
        <v>8</v>
      </c>
      <c r="G31" s="21">
        <f>SUMIF(Auswertung!$C$58:$C$81,"Urlaub",Auswertung!I58:I81)</f>
        <v>11</v>
      </c>
      <c r="H31" s="22">
        <f>IFERROR(C31/(SUM(Mitarbeiter!H5:H50)*4.33),0)</f>
        <v>1.0752226987792808</v>
      </c>
    </row>
    <row r="32" spans="2:8" ht="15" customHeight="1" x14ac:dyDescent="0.25">
      <c r="B32" s="17" t="s">
        <v>42</v>
      </c>
      <c r="C32" s="18">
        <f>SUM(Auswertung!J7:J50)</f>
        <v>1650.8</v>
      </c>
      <c r="D32" s="19">
        <f>SUMPRODUCT(Mitarbeiter!I5:I48,Auswertung!J7:J50)</f>
        <v>29613.1</v>
      </c>
      <c r="E32" s="20">
        <f>IFERROR(C32/COUNTIF(Auswertung!J7:J50,"&gt;0"),0)</f>
        <v>137.56666666666666</v>
      </c>
      <c r="F32" s="21">
        <f>SUMIF(Auswertung!$C$58:$C$81,"Krank",Auswertung!J58:J81)</f>
        <v>3</v>
      </c>
      <c r="G32" s="21">
        <f>SUMIF(Auswertung!$C$58:$C$81,"Urlaub",Auswertung!J58:J81)</f>
        <v>18</v>
      </c>
      <c r="H32" s="22">
        <f>IFERROR(C32/(SUM(Mitarbeiter!H5:H50)*4.33),0)</f>
        <v>1.089277466182778</v>
      </c>
    </row>
    <row r="33" spans="2:8" ht="15" customHeight="1" x14ac:dyDescent="0.25">
      <c r="B33" s="17" t="s">
        <v>43</v>
      </c>
      <c r="C33" s="18">
        <f>SUM(Auswertung!K7:K50)</f>
        <v>1611.8</v>
      </c>
      <c r="D33" s="19">
        <f>SUMPRODUCT(Mitarbeiter!I5:I48,Auswertung!K7:K50)</f>
        <v>28798.449999999997</v>
      </c>
      <c r="E33" s="20">
        <f>IFERROR(C33/COUNTIF(Auswertung!K7:K50,"&gt;0"),0)</f>
        <v>134.31666666666666</v>
      </c>
      <c r="F33" s="21">
        <f>SUMIF(Auswertung!$C$58:$C$81,"Krank",Auswertung!K58:K81)</f>
        <v>3</v>
      </c>
      <c r="G33" s="21">
        <f>SUMIF(Auswertung!$C$58:$C$81,"Urlaub",Auswertung!K58:K81)</f>
        <v>67</v>
      </c>
      <c r="H33" s="22">
        <f>IFERROR(C33/(SUM(Mitarbeiter!H5:H50)*4.33),0)</f>
        <v>1.0635433850214451</v>
      </c>
    </row>
    <row r="34" spans="2:8" ht="15" customHeight="1" x14ac:dyDescent="0.25">
      <c r="B34" s="17" t="s">
        <v>44</v>
      </c>
      <c r="C34" s="18">
        <f>SUM(Auswertung!L7:L50)</f>
        <v>1501.8999999999999</v>
      </c>
      <c r="D34" s="19">
        <f>SUMPRODUCT(Mitarbeiter!I5:I48,Auswertung!L7:L50)</f>
        <v>26882.199999999997</v>
      </c>
      <c r="E34" s="20">
        <f>IFERROR(C34/COUNTIF(Auswertung!L7:L50,"&gt;0"),0)</f>
        <v>125.15833333333332</v>
      </c>
      <c r="F34" s="21">
        <f>SUMIF(Auswertung!$C$58:$C$81,"Krank",Auswertung!L58:L81)</f>
        <v>5</v>
      </c>
      <c r="G34" s="21">
        <f>SUMIF(Auswertung!$C$58:$C$81,"Urlaub",Auswertung!L58:L81)</f>
        <v>13</v>
      </c>
      <c r="H34" s="22">
        <f>IFERROR(C34/(SUM(Mitarbeiter!H5:H50)*4.33),0)</f>
        <v>0.99102606400527871</v>
      </c>
    </row>
    <row r="35" spans="2:8" ht="15" customHeight="1" x14ac:dyDescent="0.25">
      <c r="B35" s="17" t="s">
        <v>45</v>
      </c>
      <c r="C35" s="18">
        <f>SUM(Auswertung!M7:M50)</f>
        <v>1486.4000000000003</v>
      </c>
      <c r="D35" s="19">
        <f>SUMPRODUCT(Mitarbeiter!I5:I48,Auswertung!M7:M50)</f>
        <v>26593.35</v>
      </c>
      <c r="E35" s="20">
        <f>IFERROR(C35/COUNTIF(Auswertung!M7:M50,"&gt;0"),0)</f>
        <v>123.86666666666669</v>
      </c>
      <c r="F35" s="21">
        <f>SUMIF(Auswertung!$C$58:$C$81,"Krank",Auswertung!M58:M81)</f>
        <v>5</v>
      </c>
      <c r="G35" s="21">
        <f>SUMIF(Auswertung!$C$58:$C$81,"Urlaub",Auswertung!M58:M81)</f>
        <v>23</v>
      </c>
      <c r="H35" s="22">
        <f>IFERROR(C35/(SUM(Mitarbeiter!H5:H50)*4.33),0)</f>
        <v>0.98079841636423648</v>
      </c>
    </row>
    <row r="36" spans="2:8" ht="15" customHeight="1" x14ac:dyDescent="0.25">
      <c r="B36" s="17" t="s">
        <v>46</v>
      </c>
      <c r="C36" s="18">
        <f>SUM(Auswertung!N7:N50)</f>
        <v>1438.3000000000002</v>
      </c>
      <c r="D36" s="19">
        <f>SUMPRODUCT(Mitarbeiter!I5:I48,Auswertung!N7:N50)</f>
        <v>25708.100000000002</v>
      </c>
      <c r="E36" s="20">
        <f>IFERROR(C36/COUNTIF(Auswertung!N7:N50,"&gt;0"),0)</f>
        <v>119.85833333333335</v>
      </c>
      <c r="F36" s="21">
        <f>SUMIF(Auswertung!$C$58:$C$81,"Krank",Auswertung!N58:N81)</f>
        <v>9</v>
      </c>
      <c r="G36" s="21">
        <f>SUMIF(Auswertung!$C$58:$C$81,"Urlaub",Auswertung!N58:N81)</f>
        <v>8</v>
      </c>
      <c r="H36" s="22">
        <f>IFERROR(C36/(SUM(Mitarbeiter!H5:H50)*4.33),0)</f>
        <v>0.94905971626525909</v>
      </c>
    </row>
    <row r="37" spans="2:8" ht="15" customHeight="1" x14ac:dyDescent="0.25">
      <c r="B37" s="17" t="s">
        <v>47</v>
      </c>
      <c r="C37" s="18">
        <f>SUM(Auswertung!O7:O50)</f>
        <v>1563.2</v>
      </c>
      <c r="D37" s="19">
        <f>SUMPRODUCT(Mitarbeiter!I5:I48,Auswertung!O7:O50)</f>
        <v>27945.299999999996</v>
      </c>
      <c r="E37" s="20">
        <f>IFERROR(C37/COUNTIF(Auswertung!O7:O50,"&gt;0"),0)</f>
        <v>130.26666666666668</v>
      </c>
      <c r="F37" s="21">
        <f>SUMIF(Auswertung!$C$58:$C$81,"Krank",Auswertung!O58:O81)</f>
        <v>7</v>
      </c>
      <c r="G37" s="21">
        <f>SUMIF(Auswertung!$C$58:$C$81,"Urlaub",Auswertung!O58:O81)</f>
        <v>25</v>
      </c>
      <c r="H37" s="22">
        <f>IFERROR(C37/(SUM(Mitarbeiter!H5:H50)*4.33),0)</f>
        <v>1.0314747608050148</v>
      </c>
    </row>
    <row r="38" spans="2:8" ht="15" customHeight="1" x14ac:dyDescent="0.25">
      <c r="B38" s="23" t="s">
        <v>48</v>
      </c>
      <c r="C38" s="24">
        <f>SUM(C26:C37)</f>
        <v>18338.900000000001</v>
      </c>
      <c r="D38" s="25">
        <f>SUM(D26:D37)</f>
        <v>327962.09999999998</v>
      </c>
      <c r="E38" s="26">
        <f>AVERAGE(E26:E37)</f>
        <v>127.35347222222224</v>
      </c>
      <c r="F38" s="27">
        <f>SUM(F26:F37)</f>
        <v>61</v>
      </c>
      <c r="G38" s="27">
        <f>SUM(G26:G37)</f>
        <v>224</v>
      </c>
      <c r="H38" s="28">
        <f>AVERAGE(H26:H37)</f>
        <v>1.0084075662597605</v>
      </c>
    </row>
  </sheetData>
  <mergeCells count="26">
    <mergeCell ref="B19:H19"/>
    <mergeCell ref="B20:H20"/>
    <mergeCell ref="B21:H21"/>
    <mergeCell ref="B24:H24"/>
    <mergeCell ref="B14:H14"/>
    <mergeCell ref="B15:H15"/>
    <mergeCell ref="B16:H16"/>
    <mergeCell ref="B17:H17"/>
    <mergeCell ref="B18:H18"/>
    <mergeCell ref="C10:D10"/>
    <mergeCell ref="G10:H10"/>
    <mergeCell ref="C11:D11"/>
    <mergeCell ref="G11:H11"/>
    <mergeCell ref="B13:H13"/>
    <mergeCell ref="C7:D7"/>
    <mergeCell ref="G7:H7"/>
    <mergeCell ref="C8:D8"/>
    <mergeCell ref="G8:H8"/>
    <mergeCell ref="C9:D9"/>
    <mergeCell ref="G9:H9"/>
    <mergeCell ref="B2:H2"/>
    <mergeCell ref="B3:H3"/>
    <mergeCell ref="B5:D5"/>
    <mergeCell ref="F5:H5"/>
    <mergeCell ref="C6:D6"/>
    <mergeCell ref="G6:H6"/>
  </mergeCells>
  <conditionalFormatting sqref="H26:H37">
    <cfRule type="colorScale" priority="2">
      <colorScale>
        <cfvo type="num" val="0.5"/>
        <cfvo type="num" val="0.9"/>
        <cfvo type="num" val="1.1000000000000001"/>
        <color rgb="FFF8696B"/>
        <color rgb="FFFFEB84"/>
        <color rgb="FF63BE7B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B9BD5"/>
  </sheetPr>
  <dimension ref="B2:L52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3" customWidth="1"/>
    <col min="3" max="4" width="14" customWidth="1"/>
    <col min="5" max="5" width="22" customWidth="1"/>
    <col min="6" max="7" width="14" customWidth="1"/>
    <col min="8" max="8" width="13" customWidth="1"/>
    <col min="9" max="9" width="14" customWidth="1"/>
    <col min="10" max="11" width="16" customWidth="1"/>
    <col min="12" max="12" width="12" customWidth="1"/>
  </cols>
  <sheetData>
    <row r="2" spans="2:12" ht="27.75" customHeight="1" x14ac:dyDescent="0.25">
      <c r="B2" s="105" t="s">
        <v>49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5" customHeight="1" x14ac:dyDescent="0.25">
      <c r="B3" s="106" t="s">
        <v>50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12" ht="31.5" customHeight="1" x14ac:dyDescent="0.25">
      <c r="B4" s="29" t="s">
        <v>51</v>
      </c>
      <c r="C4" s="29" t="s">
        <v>52</v>
      </c>
      <c r="D4" s="29" t="s">
        <v>53</v>
      </c>
      <c r="E4" s="29" t="s">
        <v>54</v>
      </c>
      <c r="F4" s="29" t="s">
        <v>55</v>
      </c>
      <c r="G4" s="29" t="s">
        <v>56</v>
      </c>
      <c r="H4" s="29" t="s">
        <v>57</v>
      </c>
      <c r="I4" s="29" t="s">
        <v>58</v>
      </c>
      <c r="J4" s="29" t="s">
        <v>59</v>
      </c>
      <c r="K4" s="29" t="s">
        <v>60</v>
      </c>
      <c r="L4" s="29" t="s">
        <v>61</v>
      </c>
    </row>
    <row r="5" spans="2:12" ht="15" customHeight="1" x14ac:dyDescent="0.25">
      <c r="B5" s="30" t="s">
        <v>62</v>
      </c>
      <c r="C5" s="31" t="s">
        <v>63</v>
      </c>
      <c r="D5" s="31" t="s">
        <v>64</v>
      </c>
      <c r="E5" s="31" t="s">
        <v>65</v>
      </c>
      <c r="F5" s="31" t="s">
        <v>66</v>
      </c>
      <c r="G5" s="30" t="s">
        <v>67</v>
      </c>
      <c r="H5" s="32">
        <v>40</v>
      </c>
      <c r="I5" s="33">
        <v>22.5</v>
      </c>
      <c r="J5" s="34">
        <v>30</v>
      </c>
      <c r="K5" s="35">
        <v>44621</v>
      </c>
      <c r="L5" s="30" t="s">
        <v>68</v>
      </c>
    </row>
    <row r="6" spans="2:12" ht="15" customHeight="1" x14ac:dyDescent="0.25">
      <c r="B6" s="30" t="s">
        <v>69</v>
      </c>
      <c r="C6" s="31" t="s">
        <v>70</v>
      </c>
      <c r="D6" s="31" t="s">
        <v>71</v>
      </c>
      <c r="E6" s="31" t="s">
        <v>72</v>
      </c>
      <c r="F6" s="31" t="s">
        <v>73</v>
      </c>
      <c r="G6" s="30" t="s">
        <v>67</v>
      </c>
      <c r="H6" s="32">
        <v>40</v>
      </c>
      <c r="I6" s="33">
        <v>24</v>
      </c>
      <c r="J6" s="34">
        <v>30</v>
      </c>
      <c r="K6" s="35">
        <v>44423</v>
      </c>
      <c r="L6" s="30" t="s">
        <v>68</v>
      </c>
    </row>
    <row r="7" spans="2:12" ht="15" customHeight="1" x14ac:dyDescent="0.25">
      <c r="B7" s="30" t="s">
        <v>74</v>
      </c>
      <c r="C7" s="31" t="s">
        <v>75</v>
      </c>
      <c r="D7" s="31" t="s">
        <v>76</v>
      </c>
      <c r="E7" s="31" t="s">
        <v>77</v>
      </c>
      <c r="F7" s="31" t="s">
        <v>66</v>
      </c>
      <c r="G7" s="30" t="s">
        <v>67</v>
      </c>
      <c r="H7" s="32">
        <v>40</v>
      </c>
      <c r="I7" s="33">
        <v>15.5</v>
      </c>
      <c r="J7" s="34">
        <v>28</v>
      </c>
      <c r="K7" s="35">
        <v>45056</v>
      </c>
      <c r="L7" s="30" t="s">
        <v>68</v>
      </c>
    </row>
    <row r="8" spans="2:12" ht="15" customHeight="1" x14ac:dyDescent="0.25">
      <c r="B8" s="30" t="s">
        <v>78</v>
      </c>
      <c r="C8" s="31" t="s">
        <v>79</v>
      </c>
      <c r="D8" s="31" t="s">
        <v>80</v>
      </c>
      <c r="E8" s="31" t="s">
        <v>81</v>
      </c>
      <c r="F8" s="31" t="s">
        <v>73</v>
      </c>
      <c r="G8" s="30" t="s">
        <v>67</v>
      </c>
      <c r="H8" s="32">
        <v>40</v>
      </c>
      <c r="I8" s="33">
        <v>18</v>
      </c>
      <c r="J8" s="34">
        <v>28</v>
      </c>
      <c r="K8" s="35">
        <v>44946</v>
      </c>
      <c r="L8" s="30" t="s">
        <v>68</v>
      </c>
    </row>
    <row r="9" spans="2:12" ht="15" customHeight="1" x14ac:dyDescent="0.25">
      <c r="B9" s="30" t="s">
        <v>82</v>
      </c>
      <c r="C9" s="31" t="s">
        <v>83</v>
      </c>
      <c r="D9" s="31" t="s">
        <v>84</v>
      </c>
      <c r="E9" s="31" t="s">
        <v>77</v>
      </c>
      <c r="F9" s="31" t="s">
        <v>66</v>
      </c>
      <c r="G9" s="30" t="s">
        <v>85</v>
      </c>
      <c r="H9" s="32">
        <v>25</v>
      </c>
      <c r="I9" s="33">
        <v>15.5</v>
      </c>
      <c r="J9" s="34">
        <v>20</v>
      </c>
      <c r="K9" s="35">
        <v>45323</v>
      </c>
      <c r="L9" s="30" t="s">
        <v>68</v>
      </c>
    </row>
    <row r="10" spans="2:12" ht="15" customHeight="1" x14ac:dyDescent="0.25">
      <c r="B10" s="30" t="s">
        <v>86</v>
      </c>
      <c r="C10" s="31" t="s">
        <v>87</v>
      </c>
      <c r="D10" s="31" t="s">
        <v>88</v>
      </c>
      <c r="E10" s="31" t="s">
        <v>89</v>
      </c>
      <c r="F10" s="31" t="s">
        <v>90</v>
      </c>
      <c r="G10" s="30" t="s">
        <v>67</v>
      </c>
      <c r="H10" s="32">
        <v>40</v>
      </c>
      <c r="I10" s="33">
        <v>17</v>
      </c>
      <c r="J10" s="34">
        <v>28</v>
      </c>
      <c r="K10" s="35">
        <v>44870</v>
      </c>
      <c r="L10" s="30" t="s">
        <v>68</v>
      </c>
    </row>
    <row r="11" spans="2:12" ht="15" customHeight="1" x14ac:dyDescent="0.25">
      <c r="B11" s="30" t="s">
        <v>91</v>
      </c>
      <c r="C11" s="31" t="s">
        <v>92</v>
      </c>
      <c r="D11" s="31" t="s">
        <v>93</v>
      </c>
      <c r="E11" s="31" t="s">
        <v>77</v>
      </c>
      <c r="F11" s="31" t="s">
        <v>66</v>
      </c>
      <c r="G11" s="30" t="s">
        <v>85</v>
      </c>
      <c r="H11" s="32">
        <v>20</v>
      </c>
      <c r="I11" s="33">
        <v>15</v>
      </c>
      <c r="J11" s="34">
        <v>18</v>
      </c>
      <c r="K11" s="35">
        <v>45455</v>
      </c>
      <c r="L11" s="30" t="s">
        <v>68</v>
      </c>
    </row>
    <row r="12" spans="2:12" ht="15" customHeight="1" x14ac:dyDescent="0.25">
      <c r="B12" s="30" t="s">
        <v>94</v>
      </c>
      <c r="C12" s="31" t="s">
        <v>95</v>
      </c>
      <c r="D12" s="31" t="s">
        <v>96</v>
      </c>
      <c r="E12" s="31" t="s">
        <v>81</v>
      </c>
      <c r="F12" s="31" t="s">
        <v>73</v>
      </c>
      <c r="G12" s="30" t="s">
        <v>67</v>
      </c>
      <c r="H12" s="32">
        <v>40</v>
      </c>
      <c r="I12" s="33">
        <v>17.5</v>
      </c>
      <c r="J12" s="34">
        <v>28</v>
      </c>
      <c r="K12" s="35">
        <v>45170</v>
      </c>
      <c r="L12" s="30" t="s">
        <v>68</v>
      </c>
    </row>
    <row r="13" spans="2:12" ht="15" customHeight="1" x14ac:dyDescent="0.25">
      <c r="B13" s="30" t="s">
        <v>97</v>
      </c>
      <c r="C13" s="31" t="s">
        <v>98</v>
      </c>
      <c r="D13" s="31" t="s">
        <v>99</v>
      </c>
      <c r="E13" s="31" t="s">
        <v>100</v>
      </c>
      <c r="F13" s="31" t="s">
        <v>66</v>
      </c>
      <c r="G13" s="30" t="s">
        <v>101</v>
      </c>
      <c r="H13" s="32">
        <v>10</v>
      </c>
      <c r="I13" s="33">
        <v>14.5</v>
      </c>
      <c r="J13" s="34">
        <v>8</v>
      </c>
      <c r="K13" s="35">
        <v>45672</v>
      </c>
      <c r="L13" s="30" t="s">
        <v>68</v>
      </c>
    </row>
    <row r="14" spans="2:12" ht="15" customHeight="1" x14ac:dyDescent="0.25">
      <c r="B14" s="30" t="s">
        <v>102</v>
      </c>
      <c r="C14" s="31" t="s">
        <v>103</v>
      </c>
      <c r="D14" s="31" t="s">
        <v>104</v>
      </c>
      <c r="E14" s="31" t="s">
        <v>105</v>
      </c>
      <c r="F14" s="31" t="s">
        <v>73</v>
      </c>
      <c r="G14" s="30" t="s">
        <v>101</v>
      </c>
      <c r="H14" s="32">
        <v>10</v>
      </c>
      <c r="I14" s="33">
        <v>14</v>
      </c>
      <c r="J14" s="34">
        <v>8</v>
      </c>
      <c r="K14" s="35">
        <v>45736</v>
      </c>
      <c r="L14" s="30" t="s">
        <v>68</v>
      </c>
    </row>
    <row r="15" spans="2:12" ht="15" customHeight="1" x14ac:dyDescent="0.25">
      <c r="B15" s="30" t="s">
        <v>106</v>
      </c>
      <c r="C15" s="31" t="s">
        <v>107</v>
      </c>
      <c r="D15" s="31" t="s">
        <v>108</v>
      </c>
      <c r="E15" s="31" t="s">
        <v>77</v>
      </c>
      <c r="F15" s="31" t="s">
        <v>66</v>
      </c>
      <c r="G15" s="30" t="s">
        <v>85</v>
      </c>
      <c r="H15" s="32">
        <v>30</v>
      </c>
      <c r="I15" s="33">
        <v>16</v>
      </c>
      <c r="J15" s="34">
        <v>22</v>
      </c>
      <c r="K15" s="35">
        <v>45017</v>
      </c>
      <c r="L15" s="30" t="s">
        <v>68</v>
      </c>
    </row>
    <row r="16" spans="2:12" ht="15" customHeight="1" x14ac:dyDescent="0.25">
      <c r="B16" s="30" t="s">
        <v>109</v>
      </c>
      <c r="C16" s="31" t="s">
        <v>110</v>
      </c>
      <c r="D16" s="31" t="s">
        <v>111</v>
      </c>
      <c r="E16" s="31" t="s">
        <v>112</v>
      </c>
      <c r="F16" s="31" t="s">
        <v>73</v>
      </c>
      <c r="G16" s="30" t="s">
        <v>113</v>
      </c>
      <c r="H16" s="32">
        <v>15</v>
      </c>
      <c r="I16" s="33">
        <v>14.5</v>
      </c>
      <c r="J16" s="34">
        <v>12</v>
      </c>
      <c r="K16" s="35">
        <v>45566</v>
      </c>
      <c r="L16" s="30" t="s">
        <v>68</v>
      </c>
    </row>
    <row r="17" spans="2:12" ht="15" customHeight="1" x14ac:dyDescent="0.25">
      <c r="B17" s="36"/>
      <c r="C17" s="36"/>
      <c r="D17" s="36"/>
      <c r="E17" s="36"/>
      <c r="F17" s="36"/>
      <c r="G17" s="36"/>
      <c r="H17" s="37"/>
      <c r="I17" s="38"/>
      <c r="J17" s="39"/>
      <c r="K17" s="40"/>
      <c r="L17" s="36"/>
    </row>
    <row r="18" spans="2:12" ht="15" customHeight="1" x14ac:dyDescent="0.25">
      <c r="B18" s="36"/>
      <c r="C18" s="36"/>
      <c r="D18" s="36"/>
      <c r="E18" s="36"/>
      <c r="F18" s="36"/>
      <c r="G18" s="36"/>
      <c r="H18" s="37"/>
      <c r="I18" s="38"/>
      <c r="J18" s="39"/>
      <c r="K18" s="40"/>
      <c r="L18" s="36"/>
    </row>
    <row r="19" spans="2:12" ht="15" customHeight="1" x14ac:dyDescent="0.25">
      <c r="B19" s="36"/>
      <c r="C19" s="36"/>
      <c r="D19" s="36"/>
      <c r="E19" s="36"/>
      <c r="F19" s="36"/>
      <c r="G19" s="36"/>
      <c r="H19" s="37"/>
      <c r="I19" s="38"/>
      <c r="J19" s="39"/>
      <c r="K19" s="40"/>
      <c r="L19" s="36"/>
    </row>
    <row r="20" spans="2:12" ht="15" customHeight="1" x14ac:dyDescent="0.25">
      <c r="B20" s="36"/>
      <c r="C20" s="36"/>
      <c r="D20" s="36"/>
      <c r="E20" s="36"/>
      <c r="F20" s="36"/>
      <c r="G20" s="36"/>
      <c r="H20" s="37"/>
      <c r="I20" s="38"/>
      <c r="J20" s="39"/>
      <c r="K20" s="40"/>
      <c r="L20" s="36"/>
    </row>
    <row r="21" spans="2:12" ht="15" customHeight="1" x14ac:dyDescent="0.25">
      <c r="B21" s="36"/>
      <c r="C21" s="36"/>
      <c r="D21" s="36"/>
      <c r="E21" s="36"/>
      <c r="F21" s="36"/>
      <c r="G21" s="36"/>
      <c r="H21" s="37"/>
      <c r="I21" s="38"/>
      <c r="J21" s="39"/>
      <c r="K21" s="40"/>
      <c r="L21" s="36"/>
    </row>
    <row r="22" spans="2:12" ht="15" customHeight="1" x14ac:dyDescent="0.25">
      <c r="B22" s="36"/>
      <c r="C22" s="36"/>
      <c r="D22" s="36"/>
      <c r="E22" s="36"/>
      <c r="F22" s="36"/>
      <c r="G22" s="36"/>
      <c r="H22" s="37"/>
      <c r="I22" s="38"/>
      <c r="J22" s="39"/>
      <c r="K22" s="40"/>
      <c r="L22" s="36"/>
    </row>
    <row r="23" spans="2:12" ht="15" customHeight="1" x14ac:dyDescent="0.25">
      <c r="B23" s="36"/>
      <c r="C23" s="36"/>
      <c r="D23" s="36"/>
      <c r="E23" s="36"/>
      <c r="F23" s="36"/>
      <c r="G23" s="36"/>
      <c r="H23" s="37"/>
      <c r="I23" s="38"/>
      <c r="J23" s="39"/>
      <c r="K23" s="40"/>
      <c r="L23" s="36"/>
    </row>
    <row r="24" spans="2:12" ht="15" customHeight="1" x14ac:dyDescent="0.25">
      <c r="B24" s="36"/>
      <c r="C24" s="36"/>
      <c r="D24" s="36"/>
      <c r="E24" s="36"/>
      <c r="F24" s="36"/>
      <c r="G24" s="36"/>
      <c r="H24" s="37"/>
      <c r="I24" s="38"/>
      <c r="J24" s="39"/>
      <c r="K24" s="40"/>
      <c r="L24" s="36"/>
    </row>
    <row r="25" spans="2:12" ht="15" customHeight="1" x14ac:dyDescent="0.25">
      <c r="B25" s="36"/>
      <c r="C25" s="36"/>
      <c r="D25" s="36"/>
      <c r="E25" s="36"/>
      <c r="F25" s="36"/>
      <c r="G25" s="36"/>
      <c r="H25" s="37"/>
      <c r="I25" s="38"/>
      <c r="J25" s="39"/>
      <c r="K25" s="40"/>
      <c r="L25" s="36"/>
    </row>
    <row r="26" spans="2:12" ht="15" customHeight="1" x14ac:dyDescent="0.25">
      <c r="B26" s="36"/>
      <c r="C26" s="36"/>
      <c r="D26" s="36"/>
      <c r="E26" s="36"/>
      <c r="F26" s="36"/>
      <c r="G26" s="36"/>
      <c r="H26" s="37"/>
      <c r="I26" s="38"/>
      <c r="J26" s="39"/>
      <c r="K26" s="40"/>
      <c r="L26" s="36"/>
    </row>
    <row r="27" spans="2:12" ht="15" customHeight="1" x14ac:dyDescent="0.25">
      <c r="B27" s="36"/>
      <c r="C27" s="36"/>
      <c r="D27" s="36"/>
      <c r="E27" s="36"/>
      <c r="F27" s="36"/>
      <c r="G27" s="36"/>
      <c r="H27" s="37"/>
      <c r="I27" s="38"/>
      <c r="J27" s="39"/>
      <c r="K27" s="40"/>
      <c r="L27" s="36"/>
    </row>
    <row r="28" spans="2:12" ht="15" customHeight="1" x14ac:dyDescent="0.25">
      <c r="B28" s="36"/>
      <c r="C28" s="36"/>
      <c r="D28" s="36"/>
      <c r="E28" s="36"/>
      <c r="F28" s="36"/>
      <c r="G28" s="36"/>
      <c r="H28" s="37"/>
      <c r="I28" s="38"/>
      <c r="J28" s="39"/>
      <c r="K28" s="40"/>
      <c r="L28" s="36"/>
    </row>
    <row r="29" spans="2:12" ht="15" customHeight="1" x14ac:dyDescent="0.25">
      <c r="B29" s="36"/>
      <c r="C29" s="36"/>
      <c r="D29" s="36"/>
      <c r="E29" s="36"/>
      <c r="F29" s="36"/>
      <c r="G29" s="36"/>
      <c r="H29" s="37"/>
      <c r="I29" s="38"/>
      <c r="J29" s="39"/>
      <c r="K29" s="40"/>
      <c r="L29" s="36"/>
    </row>
    <row r="30" spans="2:12" ht="15" customHeight="1" x14ac:dyDescent="0.25">
      <c r="B30" s="36"/>
      <c r="C30" s="36"/>
      <c r="D30" s="36"/>
      <c r="E30" s="36"/>
      <c r="F30" s="36"/>
      <c r="G30" s="36"/>
      <c r="H30" s="37"/>
      <c r="I30" s="38"/>
      <c r="J30" s="39"/>
      <c r="K30" s="40"/>
      <c r="L30" s="36"/>
    </row>
    <row r="31" spans="2:12" ht="15" customHeight="1" x14ac:dyDescent="0.25">
      <c r="B31" s="36"/>
      <c r="C31" s="36"/>
      <c r="D31" s="36"/>
      <c r="E31" s="36"/>
      <c r="F31" s="36"/>
      <c r="G31" s="36"/>
      <c r="H31" s="37"/>
      <c r="I31" s="38"/>
      <c r="J31" s="39"/>
      <c r="K31" s="40"/>
      <c r="L31" s="36"/>
    </row>
    <row r="32" spans="2:12" ht="15" customHeight="1" x14ac:dyDescent="0.25">
      <c r="B32" s="36"/>
      <c r="C32" s="36"/>
      <c r="D32" s="36"/>
      <c r="E32" s="36"/>
      <c r="F32" s="36"/>
      <c r="G32" s="36"/>
      <c r="H32" s="37"/>
      <c r="I32" s="38"/>
      <c r="J32" s="39"/>
      <c r="K32" s="40"/>
      <c r="L32" s="36"/>
    </row>
    <row r="33" spans="2:12" ht="15" customHeight="1" x14ac:dyDescent="0.25">
      <c r="B33" s="36"/>
      <c r="C33" s="36"/>
      <c r="D33" s="36"/>
      <c r="E33" s="36"/>
      <c r="F33" s="36"/>
      <c r="G33" s="36"/>
      <c r="H33" s="37"/>
      <c r="I33" s="38"/>
      <c r="J33" s="39"/>
      <c r="K33" s="40"/>
      <c r="L33" s="36"/>
    </row>
    <row r="34" spans="2:12" ht="15" customHeight="1" x14ac:dyDescent="0.25">
      <c r="B34" s="36"/>
      <c r="C34" s="36"/>
      <c r="D34" s="36"/>
      <c r="E34" s="36"/>
      <c r="F34" s="36"/>
      <c r="G34" s="36"/>
      <c r="H34" s="37"/>
      <c r="I34" s="38"/>
      <c r="J34" s="39"/>
      <c r="K34" s="40"/>
      <c r="L34" s="36"/>
    </row>
    <row r="35" spans="2:12" ht="15" customHeight="1" x14ac:dyDescent="0.25">
      <c r="B35" s="36"/>
      <c r="C35" s="36"/>
      <c r="D35" s="36"/>
      <c r="E35" s="36"/>
      <c r="F35" s="36"/>
      <c r="G35" s="36"/>
      <c r="H35" s="37"/>
      <c r="I35" s="38"/>
      <c r="J35" s="39"/>
      <c r="K35" s="40"/>
      <c r="L35" s="36"/>
    </row>
    <row r="36" spans="2:12" ht="15" customHeight="1" x14ac:dyDescent="0.25">
      <c r="B36" s="36"/>
      <c r="C36" s="36"/>
      <c r="D36" s="36"/>
      <c r="E36" s="36"/>
      <c r="F36" s="36"/>
      <c r="G36" s="36"/>
      <c r="H36" s="37"/>
      <c r="I36" s="38"/>
      <c r="J36" s="39"/>
      <c r="K36" s="40"/>
      <c r="L36" s="36"/>
    </row>
    <row r="37" spans="2:12" ht="15" customHeight="1" x14ac:dyDescent="0.25">
      <c r="B37" s="36"/>
      <c r="C37" s="36"/>
      <c r="D37" s="36"/>
      <c r="E37" s="36"/>
      <c r="F37" s="36"/>
      <c r="G37" s="36"/>
      <c r="H37" s="37"/>
      <c r="I37" s="38"/>
      <c r="J37" s="39"/>
      <c r="K37" s="40"/>
      <c r="L37" s="36"/>
    </row>
    <row r="38" spans="2:12" ht="15" customHeight="1" x14ac:dyDescent="0.25">
      <c r="B38" s="36"/>
      <c r="C38" s="36"/>
      <c r="D38" s="36"/>
      <c r="E38" s="36"/>
      <c r="F38" s="36"/>
      <c r="G38" s="36"/>
      <c r="H38" s="37"/>
      <c r="I38" s="38"/>
      <c r="J38" s="39"/>
      <c r="K38" s="40"/>
      <c r="L38" s="36"/>
    </row>
    <row r="39" spans="2:12" ht="15" customHeight="1" x14ac:dyDescent="0.25">
      <c r="B39" s="36"/>
      <c r="C39" s="36"/>
      <c r="D39" s="36"/>
      <c r="E39" s="36"/>
      <c r="F39" s="36"/>
      <c r="G39" s="36"/>
      <c r="H39" s="37"/>
      <c r="I39" s="38"/>
      <c r="J39" s="39"/>
      <c r="K39" s="40"/>
      <c r="L39" s="36"/>
    </row>
    <row r="40" spans="2:12" ht="15" customHeight="1" x14ac:dyDescent="0.25">
      <c r="B40" s="36"/>
      <c r="C40" s="36"/>
      <c r="D40" s="36"/>
      <c r="E40" s="36"/>
      <c r="F40" s="36"/>
      <c r="G40" s="36"/>
      <c r="H40" s="37"/>
      <c r="I40" s="38"/>
      <c r="J40" s="39"/>
      <c r="K40" s="40"/>
      <c r="L40" s="36"/>
    </row>
    <row r="41" spans="2:12" ht="15" customHeight="1" x14ac:dyDescent="0.25">
      <c r="B41" s="36"/>
      <c r="C41" s="36"/>
      <c r="D41" s="36"/>
      <c r="E41" s="36"/>
      <c r="F41" s="36"/>
      <c r="G41" s="36"/>
      <c r="H41" s="37"/>
      <c r="I41" s="38"/>
      <c r="J41" s="39"/>
      <c r="K41" s="40"/>
      <c r="L41" s="36"/>
    </row>
    <row r="42" spans="2:12" ht="15" customHeight="1" x14ac:dyDescent="0.25">
      <c r="B42" s="36"/>
      <c r="C42" s="36"/>
      <c r="D42" s="36"/>
      <c r="E42" s="36"/>
      <c r="F42" s="36"/>
      <c r="G42" s="36"/>
      <c r="H42" s="37"/>
      <c r="I42" s="38"/>
      <c r="J42" s="39"/>
      <c r="K42" s="40"/>
      <c r="L42" s="36"/>
    </row>
    <row r="43" spans="2:12" ht="15" customHeight="1" x14ac:dyDescent="0.25">
      <c r="B43" s="36"/>
      <c r="C43" s="36"/>
      <c r="D43" s="36"/>
      <c r="E43" s="36"/>
      <c r="F43" s="36"/>
      <c r="G43" s="36"/>
      <c r="H43" s="37"/>
      <c r="I43" s="38"/>
      <c r="J43" s="39"/>
      <c r="K43" s="40"/>
      <c r="L43" s="36"/>
    </row>
    <row r="44" spans="2:12" ht="15" customHeight="1" x14ac:dyDescent="0.25">
      <c r="B44" s="36"/>
      <c r="C44" s="36"/>
      <c r="D44" s="36"/>
      <c r="E44" s="36"/>
      <c r="F44" s="36"/>
      <c r="G44" s="36"/>
      <c r="H44" s="37"/>
      <c r="I44" s="38"/>
      <c r="J44" s="39"/>
      <c r="K44" s="40"/>
      <c r="L44" s="36"/>
    </row>
    <row r="45" spans="2:12" ht="15" customHeight="1" x14ac:dyDescent="0.25">
      <c r="B45" s="36"/>
      <c r="C45" s="36"/>
      <c r="D45" s="36"/>
      <c r="E45" s="36"/>
      <c r="F45" s="36"/>
      <c r="G45" s="36"/>
      <c r="H45" s="37"/>
      <c r="I45" s="38"/>
      <c r="J45" s="39"/>
      <c r="K45" s="40"/>
      <c r="L45" s="36"/>
    </row>
    <row r="46" spans="2:12" ht="15" customHeight="1" x14ac:dyDescent="0.25">
      <c r="B46" s="36"/>
      <c r="C46" s="36"/>
      <c r="D46" s="36"/>
      <c r="E46" s="36"/>
      <c r="F46" s="36"/>
      <c r="G46" s="36"/>
      <c r="H46" s="37"/>
      <c r="I46" s="38"/>
      <c r="J46" s="39"/>
      <c r="K46" s="40"/>
      <c r="L46" s="36"/>
    </row>
    <row r="47" spans="2:12" ht="15" customHeight="1" x14ac:dyDescent="0.25">
      <c r="B47" s="36"/>
      <c r="C47" s="36"/>
      <c r="D47" s="36"/>
      <c r="E47" s="36"/>
      <c r="F47" s="36"/>
      <c r="G47" s="36"/>
      <c r="H47" s="37"/>
      <c r="I47" s="38"/>
      <c r="J47" s="39"/>
      <c r="K47" s="40"/>
      <c r="L47" s="36"/>
    </row>
    <row r="48" spans="2:12" ht="15" customHeight="1" x14ac:dyDescent="0.25">
      <c r="B48" s="36"/>
      <c r="C48" s="36"/>
      <c r="D48" s="36"/>
      <c r="E48" s="36"/>
      <c r="F48" s="36"/>
      <c r="G48" s="36"/>
      <c r="H48" s="37"/>
      <c r="I48" s="38"/>
      <c r="J48" s="39"/>
      <c r="K48" s="40"/>
      <c r="L48" s="36"/>
    </row>
    <row r="49" spans="2:12" ht="15" customHeight="1" x14ac:dyDescent="0.25">
      <c r="B49" s="36"/>
      <c r="C49" s="36"/>
      <c r="D49" s="36"/>
      <c r="E49" s="36"/>
      <c r="F49" s="36"/>
      <c r="G49" s="36"/>
      <c r="H49" s="37"/>
      <c r="I49" s="38"/>
      <c r="J49" s="39"/>
      <c r="K49" s="40"/>
      <c r="L49" s="36"/>
    </row>
    <row r="50" spans="2:12" ht="15" customHeight="1" x14ac:dyDescent="0.25">
      <c r="B50" s="36"/>
      <c r="C50" s="36"/>
      <c r="D50" s="36"/>
      <c r="E50" s="36"/>
      <c r="F50" s="36"/>
      <c r="G50" s="36"/>
      <c r="H50" s="37"/>
      <c r="I50" s="38"/>
      <c r="J50" s="39"/>
      <c r="K50" s="40"/>
      <c r="L50" s="36"/>
    </row>
    <row r="52" spans="2:12" ht="15" customHeight="1" x14ac:dyDescent="0.25">
      <c r="B52" s="107" t="s">
        <v>114</v>
      </c>
      <c r="C52" s="107"/>
      <c r="D52" s="107"/>
      <c r="E52" s="107"/>
      <c r="F52" s="107"/>
      <c r="G52" s="41"/>
      <c r="H52" s="42">
        <f>SUM(H5:H50)</f>
        <v>350</v>
      </c>
      <c r="I52" s="43">
        <f>IFERROR(AVERAGE(I5:I50),0)</f>
        <v>17</v>
      </c>
      <c r="J52" s="44">
        <f>SUM(J5:J50)</f>
        <v>260</v>
      </c>
      <c r="K52" s="41"/>
      <c r="L52" s="41"/>
    </row>
  </sheetData>
  <mergeCells count="3">
    <mergeCell ref="B2:L2"/>
    <mergeCell ref="B3:L3"/>
    <mergeCell ref="B52:F52"/>
  </mergeCells>
  <conditionalFormatting sqref="B5:L50">
    <cfRule type="expression" dxfId="4" priority="3">
      <formula>$L5="Inaktiv"</formula>
    </cfRule>
    <cfRule type="expression" dxfId="3" priority="4">
      <formula>$L5="Gekündigt"</formula>
    </cfRule>
  </conditionalFormatting>
  <conditionalFormatting sqref="I5:I50">
    <cfRule type="cellIs" dxfId="2" priority="2" operator="lessThan">
      <formula>13.9</formula>
    </cfRule>
  </conditionalFormatting>
  <dataValidations count="3">
    <dataValidation type="list" allowBlank="1" errorTitle="Ungültiger Vertragstyp" error="Bitte gültigen Vertragstyp wählen" prompt="Vertragstyp auswählen" sqref="G5:G50" xr:uid="{00000000-0002-0000-0100-000000000000}">
      <formula1>"Vollzeit,Teilzeit,Minijob,Aushilfe,Midijob,Werkstudent,Auszubildender"</formula1>
      <formula2>0</formula2>
    </dataValidation>
    <dataValidation type="list" allowBlank="1" sqref="L5:L50" xr:uid="{00000000-0002-0000-0100-000001000000}">
      <formula1>"Aktiv,Inaktiv,Probezeit,Gekündigt,Elternzeit"</formula1>
      <formula2>0</formula2>
    </dataValidation>
    <dataValidation type="list" allowBlank="1" sqref="F5:F50" xr:uid="{00000000-0002-0000-0100-000002000000}">
      <formula1>"Service,Küche,Bar,Empfang,Reinigung,Management"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AD47"/>
  </sheetPr>
  <dimension ref="B2:J27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8" customWidth="1"/>
    <col min="3" max="3" width="22" customWidth="1"/>
    <col min="4" max="5" width="10" customWidth="1"/>
    <col min="6" max="6" width="12" customWidth="1"/>
    <col min="7" max="7" width="14" customWidth="1"/>
    <col min="8" max="8" width="22" customWidth="1"/>
    <col min="9" max="9" width="10" customWidth="1"/>
    <col min="10" max="10" width="28" customWidth="1"/>
  </cols>
  <sheetData>
    <row r="2" spans="2:10" ht="27.75" customHeight="1" x14ac:dyDescent="0.25">
      <c r="B2" s="105" t="s">
        <v>115</v>
      </c>
      <c r="C2" s="105"/>
      <c r="D2" s="105"/>
      <c r="E2" s="105"/>
      <c r="F2" s="105"/>
      <c r="G2" s="105"/>
      <c r="H2" s="105"/>
      <c r="I2" s="105"/>
    </row>
    <row r="3" spans="2:10" ht="15" customHeight="1" x14ac:dyDescent="0.25">
      <c r="B3" s="106" t="s">
        <v>116</v>
      </c>
      <c r="C3" s="106"/>
      <c r="D3" s="106"/>
      <c r="E3" s="106"/>
      <c r="F3" s="106"/>
      <c r="G3" s="106"/>
      <c r="H3" s="106"/>
      <c r="I3" s="106"/>
    </row>
    <row r="4" spans="2:10" ht="31.5" customHeight="1" x14ac:dyDescent="0.25">
      <c r="B4" s="29" t="s">
        <v>117</v>
      </c>
      <c r="C4" s="29" t="s">
        <v>118</v>
      </c>
      <c r="D4" s="29" t="s">
        <v>119</v>
      </c>
      <c r="E4" s="29" t="s">
        <v>120</v>
      </c>
      <c r="F4" s="29" t="s">
        <v>121</v>
      </c>
      <c r="G4" s="29" t="s">
        <v>122</v>
      </c>
      <c r="H4" s="29" t="s">
        <v>123</v>
      </c>
      <c r="I4" s="29" t="s">
        <v>124</v>
      </c>
      <c r="J4" s="29" t="s">
        <v>125</v>
      </c>
    </row>
    <row r="5" spans="2:10" ht="21.75" customHeight="1" x14ac:dyDescent="0.25">
      <c r="B5" s="45" t="s">
        <v>126</v>
      </c>
      <c r="C5" s="46" t="s">
        <v>127</v>
      </c>
      <c r="D5" s="47" t="s">
        <v>128</v>
      </c>
      <c r="E5" s="47" t="s">
        <v>129</v>
      </c>
      <c r="F5" s="47">
        <v>30</v>
      </c>
      <c r="G5" s="48">
        <f t="shared" ref="G5:G11" si="0">IF(AND(D5&lt;&gt;"",E5&lt;&gt;""),(IF(TIMEVALUE(E5)&lt;TIMEVALUE(D5),TIMEVALUE(E5)+1,TIMEVALUE(E5))-TIMEVALUE(D5))*24-IFERROR(F5/60,0),0)</f>
        <v>6.4999999999999991</v>
      </c>
      <c r="H5" s="46" t="s">
        <v>130</v>
      </c>
      <c r="I5" s="49" t="s">
        <v>126</v>
      </c>
      <c r="J5" s="46"/>
    </row>
    <row r="6" spans="2:10" ht="21.75" customHeight="1" x14ac:dyDescent="0.25">
      <c r="B6" s="45" t="s">
        <v>131</v>
      </c>
      <c r="C6" s="46" t="s">
        <v>132</v>
      </c>
      <c r="D6" s="47" t="s">
        <v>133</v>
      </c>
      <c r="E6" s="47" t="s">
        <v>134</v>
      </c>
      <c r="F6" s="47"/>
      <c r="G6" s="48">
        <f t="shared" si="0"/>
        <v>4</v>
      </c>
      <c r="H6" s="46" t="s">
        <v>130</v>
      </c>
      <c r="I6" s="50" t="s">
        <v>131</v>
      </c>
      <c r="J6" s="46"/>
    </row>
    <row r="7" spans="2:10" ht="21.75" customHeight="1" x14ac:dyDescent="0.25">
      <c r="B7" s="45" t="s">
        <v>135</v>
      </c>
      <c r="C7" s="46" t="s">
        <v>136</v>
      </c>
      <c r="D7" s="47" t="s">
        <v>129</v>
      </c>
      <c r="E7" s="47" t="s">
        <v>137</v>
      </c>
      <c r="F7" s="47">
        <v>30</v>
      </c>
      <c r="G7" s="48">
        <f t="shared" si="0"/>
        <v>6.5000000000000018</v>
      </c>
      <c r="H7" s="46" t="s">
        <v>130</v>
      </c>
      <c r="I7" s="51" t="s">
        <v>135</v>
      </c>
      <c r="J7" s="46"/>
    </row>
    <row r="8" spans="2:10" ht="21.75" customHeight="1" x14ac:dyDescent="0.25">
      <c r="B8" s="45" t="s">
        <v>138</v>
      </c>
      <c r="C8" s="46" t="s">
        <v>139</v>
      </c>
      <c r="D8" s="47" t="s">
        <v>140</v>
      </c>
      <c r="E8" s="47" t="s">
        <v>141</v>
      </c>
      <c r="F8" s="47">
        <v>30</v>
      </c>
      <c r="G8" s="48">
        <f t="shared" si="0"/>
        <v>6.4999999999999991</v>
      </c>
      <c r="H8" s="46" t="s">
        <v>142</v>
      </c>
      <c r="I8" s="52" t="s">
        <v>138</v>
      </c>
      <c r="J8" s="46"/>
    </row>
    <row r="9" spans="2:10" ht="21.75" customHeight="1" x14ac:dyDescent="0.25">
      <c r="B9" s="45" t="s">
        <v>143</v>
      </c>
      <c r="C9" s="46" t="s">
        <v>144</v>
      </c>
      <c r="D9" s="47" t="s">
        <v>145</v>
      </c>
      <c r="E9" s="47" t="s">
        <v>146</v>
      </c>
      <c r="F9" s="47">
        <v>60</v>
      </c>
      <c r="G9" s="48">
        <f t="shared" si="0"/>
        <v>10.999999999999998</v>
      </c>
      <c r="H9" s="46" t="s">
        <v>147</v>
      </c>
      <c r="I9" s="53" t="s">
        <v>143</v>
      </c>
      <c r="J9" s="46"/>
    </row>
    <row r="10" spans="2:10" ht="21.75" customHeight="1" x14ac:dyDescent="0.25">
      <c r="B10" s="45" t="s">
        <v>148</v>
      </c>
      <c r="C10" s="46" t="s">
        <v>149</v>
      </c>
      <c r="D10" s="47" t="s">
        <v>150</v>
      </c>
      <c r="E10" s="47" t="s">
        <v>151</v>
      </c>
      <c r="F10" s="47">
        <v>30</v>
      </c>
      <c r="G10" s="48">
        <f t="shared" si="0"/>
        <v>7.4999999999999982</v>
      </c>
      <c r="H10" s="46" t="s">
        <v>90</v>
      </c>
      <c r="I10" s="54" t="s">
        <v>148</v>
      </c>
      <c r="J10" s="46"/>
    </row>
    <row r="11" spans="2:10" ht="21.75" customHeight="1" x14ac:dyDescent="0.25">
      <c r="B11" s="45" t="s">
        <v>152</v>
      </c>
      <c r="C11" s="46" t="s">
        <v>153</v>
      </c>
      <c r="D11" s="47" t="s">
        <v>154</v>
      </c>
      <c r="E11" s="47" t="s">
        <v>155</v>
      </c>
      <c r="F11" s="47"/>
      <c r="G11" s="48">
        <f t="shared" si="0"/>
        <v>4</v>
      </c>
      <c r="H11" s="46" t="s">
        <v>73</v>
      </c>
      <c r="I11" s="55" t="s">
        <v>152</v>
      </c>
      <c r="J11" s="46"/>
    </row>
    <row r="12" spans="2:10" ht="21.75" customHeight="1" x14ac:dyDescent="0.25">
      <c r="B12" s="45" t="s">
        <v>156</v>
      </c>
      <c r="C12" s="46" t="s">
        <v>157</v>
      </c>
      <c r="D12" s="47"/>
      <c r="E12" s="47"/>
      <c r="F12" s="47"/>
      <c r="G12" s="48">
        <v>0</v>
      </c>
      <c r="H12" s="46" t="s">
        <v>158</v>
      </c>
      <c r="I12" s="56" t="s">
        <v>156</v>
      </c>
      <c r="J12" s="46" t="s">
        <v>159</v>
      </c>
    </row>
    <row r="13" spans="2:10" ht="21.75" customHeight="1" x14ac:dyDescent="0.25">
      <c r="B13" s="45" t="s">
        <v>160</v>
      </c>
      <c r="C13" s="46" t="s">
        <v>161</v>
      </c>
      <c r="D13" s="47"/>
      <c r="E13" s="47"/>
      <c r="F13" s="47"/>
      <c r="G13" s="48">
        <v>0</v>
      </c>
      <c r="H13" s="46" t="s">
        <v>158</v>
      </c>
      <c r="I13" s="57" t="s">
        <v>160</v>
      </c>
      <c r="J13" s="46" t="s">
        <v>162</v>
      </c>
    </row>
    <row r="14" spans="2:10" ht="21.75" customHeight="1" x14ac:dyDescent="0.25">
      <c r="B14" s="45" t="s">
        <v>163</v>
      </c>
      <c r="C14" s="46" t="s">
        <v>164</v>
      </c>
      <c r="D14" s="47"/>
      <c r="E14" s="47"/>
      <c r="F14" s="47"/>
      <c r="G14" s="48">
        <v>0</v>
      </c>
      <c r="H14" s="46" t="s">
        <v>158</v>
      </c>
      <c r="I14" s="58" t="s">
        <v>163</v>
      </c>
      <c r="J14" s="46" t="s">
        <v>165</v>
      </c>
    </row>
    <row r="15" spans="2:10" ht="21.75" customHeight="1" x14ac:dyDescent="0.25">
      <c r="B15" s="45" t="s">
        <v>166</v>
      </c>
      <c r="C15" s="46" t="s">
        <v>167</v>
      </c>
      <c r="D15" s="47"/>
      <c r="E15" s="47"/>
      <c r="F15" s="47"/>
      <c r="G15" s="48">
        <v>0</v>
      </c>
      <c r="H15" s="46" t="s">
        <v>158</v>
      </c>
      <c r="I15" s="59" t="s">
        <v>166</v>
      </c>
      <c r="J15" s="46" t="s">
        <v>168</v>
      </c>
    </row>
    <row r="16" spans="2:10" ht="21.75" customHeight="1" x14ac:dyDescent="0.25">
      <c r="B16" s="36"/>
      <c r="C16" s="36"/>
      <c r="D16" s="36"/>
      <c r="E16" s="36"/>
      <c r="F16" s="36"/>
      <c r="G16" s="36">
        <v>0</v>
      </c>
      <c r="H16" s="36"/>
      <c r="I16" s="36"/>
      <c r="J16" s="36"/>
    </row>
    <row r="17" spans="2:10" ht="21.75" customHeight="1" x14ac:dyDescent="0.25">
      <c r="B17" s="36"/>
      <c r="C17" s="36"/>
      <c r="D17" s="36"/>
      <c r="E17" s="36"/>
      <c r="F17" s="36"/>
      <c r="G17" s="36">
        <v>0</v>
      </c>
      <c r="H17" s="36"/>
      <c r="I17" s="36"/>
      <c r="J17" s="36"/>
    </row>
    <row r="18" spans="2:10" ht="21.75" customHeight="1" x14ac:dyDescent="0.25">
      <c r="B18" s="36"/>
      <c r="C18" s="36"/>
      <c r="D18" s="36"/>
      <c r="E18" s="36"/>
      <c r="F18" s="36"/>
      <c r="G18" s="36">
        <v>0</v>
      </c>
      <c r="H18" s="36"/>
      <c r="I18" s="36"/>
      <c r="J18" s="36"/>
    </row>
    <row r="19" spans="2:10" ht="21.75" customHeight="1" x14ac:dyDescent="0.25">
      <c r="B19" s="36"/>
      <c r="C19" s="36"/>
      <c r="D19" s="36"/>
      <c r="E19" s="36"/>
      <c r="F19" s="36"/>
      <c r="G19" s="36">
        <v>0</v>
      </c>
      <c r="H19" s="36"/>
      <c r="I19" s="36"/>
      <c r="J19" s="36"/>
    </row>
    <row r="20" spans="2:10" ht="21.75" customHeight="1" x14ac:dyDescent="0.25">
      <c r="B20" s="36"/>
      <c r="C20" s="36"/>
      <c r="D20" s="36"/>
      <c r="E20" s="36"/>
      <c r="F20" s="36"/>
      <c r="G20" s="36">
        <v>0</v>
      </c>
      <c r="H20" s="36"/>
      <c r="I20" s="36"/>
      <c r="J20" s="36"/>
    </row>
    <row r="23" spans="2:10" ht="15" customHeight="1" x14ac:dyDescent="0.25">
      <c r="B23" s="12" t="s">
        <v>169</v>
      </c>
      <c r="C23" s="12"/>
      <c r="D23" s="12"/>
      <c r="E23" s="12"/>
      <c r="F23" s="12"/>
      <c r="G23" s="12"/>
      <c r="H23" s="12"/>
      <c r="I23" s="12"/>
      <c r="J23" s="12"/>
    </row>
    <row r="24" spans="2:10" ht="15" customHeight="1" x14ac:dyDescent="0.25">
      <c r="B24" s="108" t="s">
        <v>170</v>
      </c>
      <c r="C24" s="108"/>
      <c r="D24" s="108"/>
      <c r="E24" s="108"/>
      <c r="F24" s="108"/>
      <c r="G24" s="108"/>
      <c r="H24" s="108"/>
      <c r="I24" s="108"/>
      <c r="J24" s="108"/>
    </row>
    <row r="25" spans="2:10" ht="15" customHeight="1" x14ac:dyDescent="0.25">
      <c r="B25" s="108" t="s">
        <v>171</v>
      </c>
      <c r="C25" s="108"/>
      <c r="D25" s="108"/>
      <c r="E25" s="108"/>
      <c r="F25" s="108"/>
      <c r="G25" s="108"/>
      <c r="H25" s="108"/>
      <c r="I25" s="108"/>
      <c r="J25" s="108"/>
    </row>
    <row r="26" spans="2:10" ht="15" customHeight="1" x14ac:dyDescent="0.25">
      <c r="B26" s="108" t="s">
        <v>172</v>
      </c>
      <c r="C26" s="108"/>
      <c r="D26" s="108"/>
      <c r="E26" s="108"/>
      <c r="F26" s="108"/>
      <c r="G26" s="108"/>
      <c r="H26" s="108"/>
      <c r="I26" s="108"/>
      <c r="J26" s="108"/>
    </row>
    <row r="27" spans="2:10" ht="15" customHeight="1" x14ac:dyDescent="0.25">
      <c r="B27" s="108" t="s">
        <v>173</v>
      </c>
      <c r="C27" s="108"/>
      <c r="D27" s="108"/>
      <c r="E27" s="108"/>
      <c r="F27" s="108"/>
      <c r="G27" s="108"/>
      <c r="H27" s="108"/>
      <c r="I27" s="108"/>
      <c r="J27" s="108"/>
    </row>
  </sheetData>
  <mergeCells count="7">
    <mergeCell ref="B26:J26"/>
    <mergeCell ref="B27:J27"/>
    <mergeCell ref="B2:I2"/>
    <mergeCell ref="B3:I3"/>
    <mergeCell ref="B23:J23"/>
    <mergeCell ref="B24:J24"/>
    <mergeCell ref="B25:J25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B1:AP27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K26" sqref="K26"/>
    </sheetView>
  </sheetViews>
  <sheetFormatPr baseColWidth="10" defaultColWidth="8.7109375" defaultRowHeight="15" x14ac:dyDescent="0.25"/>
  <cols>
    <col min="1" max="1" width="2" customWidth="1"/>
    <col min="2" max="2" width="7.7109375" bestFit="1" customWidth="1"/>
    <col min="3" max="3" width="20" customWidth="1"/>
    <col min="4" max="4" width="18" customWidth="1"/>
    <col min="5" max="5" width="11" customWidth="1"/>
    <col min="6" max="6" width="11.7109375" customWidth="1"/>
    <col min="7" max="7" width="11.42578125" bestFit="1" customWidth="1"/>
    <col min="8" max="38" width="4.42578125" customWidth="1"/>
    <col min="39" max="39" width="10" customWidth="1"/>
    <col min="40" max="40" width="9" customWidth="1"/>
    <col min="41" max="42" width="8" customWidth="1"/>
  </cols>
  <sheetData>
    <row r="1" spans="2:42" ht="15.75" thickBot="1" x14ac:dyDescent="0.3"/>
    <row r="2" spans="2:42" ht="27.75" customHeight="1" thickBot="1" x14ac:dyDescent="0.3">
      <c r="B2" s="117" t="s">
        <v>262</v>
      </c>
      <c r="C2" s="117"/>
      <c r="D2" s="117"/>
      <c r="E2" s="117"/>
      <c r="F2" s="117"/>
      <c r="H2" s="60" t="s">
        <v>174</v>
      </c>
      <c r="I2" s="113">
        <v>11</v>
      </c>
      <c r="J2" s="114"/>
      <c r="K2" s="60" t="s">
        <v>175</v>
      </c>
      <c r="L2" s="113">
        <v>2026</v>
      </c>
      <c r="M2" s="115"/>
      <c r="N2" s="115"/>
      <c r="O2" s="116"/>
    </row>
    <row r="3" spans="2:42" ht="21.75" customHeight="1" x14ac:dyDescent="0.25">
      <c r="B3" s="109" t="str">
        <f>CHOOSE($I$2,"Januar","Februar","März","April","Mai","Juni","Juli","August","September","Oktober","November","Dezember")&amp;" "&amp;$L$2</f>
        <v>November 2026</v>
      </c>
      <c r="C3" s="109"/>
      <c r="D3" s="109"/>
      <c r="E3" s="109"/>
      <c r="F3" s="109"/>
      <c r="H3" s="110" t="s">
        <v>176</v>
      </c>
      <c r="I3" s="110"/>
      <c r="J3" s="110"/>
      <c r="K3" s="110"/>
      <c r="L3" s="110"/>
      <c r="M3" s="110"/>
    </row>
    <row r="5" spans="2:42" ht="21.75" customHeight="1" x14ac:dyDescent="0.25">
      <c r="B5" s="12" t="s">
        <v>177</v>
      </c>
      <c r="C5" s="12"/>
      <c r="D5" s="12"/>
      <c r="E5" s="12"/>
      <c r="F5" s="12"/>
      <c r="G5" s="12"/>
      <c r="H5" s="12" t="s">
        <v>178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 t="s">
        <v>179</v>
      </c>
      <c r="AN5" s="12"/>
      <c r="AO5" s="12"/>
      <c r="AP5" s="12"/>
    </row>
    <row r="6" spans="2:42" ht="21.75" customHeight="1" x14ac:dyDescent="0.25">
      <c r="B6" s="16" t="s">
        <v>180</v>
      </c>
      <c r="C6" s="16" t="s">
        <v>181</v>
      </c>
      <c r="D6" s="16" t="s">
        <v>54</v>
      </c>
      <c r="E6" s="16" t="s">
        <v>55</v>
      </c>
      <c r="F6" s="16" t="s">
        <v>182</v>
      </c>
      <c r="G6" s="16" t="s">
        <v>183</v>
      </c>
      <c r="H6" s="61" t="str">
        <f>IFERROR(IF(DAY(DATE($L$2,$I$2,1))=1,CHOOSE(WEEKDAY(DATE($L$2,$I$2,1),2),"Mo","Di","Mi","Do","Fr","Sa","So"),""),"")</f>
        <v>So</v>
      </c>
      <c r="I6" s="61" t="str">
        <f>IFERROR(IF(DAY(DATE($L$2,$I$2,2))=2,CHOOSE(WEEKDAY(DATE($L$2,$I$2,2),2),"Mo","Di","Mi","Do","Fr","Sa","So"),""),"")</f>
        <v>Mo</v>
      </c>
      <c r="J6" s="61" t="str">
        <f>IFERROR(IF(DAY(DATE($L$2,$I$2,3))=3,CHOOSE(WEEKDAY(DATE($L$2,$I$2,3),2),"Mo","Di","Mi","Do","Fr","Sa","So"),""),"")</f>
        <v>Di</v>
      </c>
      <c r="K6" s="61" t="str">
        <f>IFERROR(IF(DAY(DATE($L$2,$I$2,4))=4,CHOOSE(WEEKDAY(DATE($L$2,$I$2,4),2),"Mo","Di","Mi","Do","Fr","Sa","So"),""),"")</f>
        <v>Mi</v>
      </c>
      <c r="L6" s="61" t="str">
        <f>IFERROR(IF(DAY(DATE($L$2,$I$2,5))=5,CHOOSE(WEEKDAY(DATE($L$2,$I$2,5),2),"Mo","Di","Mi","Do","Fr","Sa","So"),""),"")</f>
        <v>Do</v>
      </c>
      <c r="M6" s="61" t="str">
        <f>IFERROR(IF(DAY(DATE($L$2,$I$2,6))=6,CHOOSE(WEEKDAY(DATE($L$2,$I$2,6),2),"Mo","Di","Mi","Do","Fr","Sa","So"),""),"")</f>
        <v>Fr</v>
      </c>
      <c r="N6" s="61" t="str">
        <f>IFERROR(IF(DAY(DATE($L$2,$I$2,7))=7,CHOOSE(WEEKDAY(DATE($L$2,$I$2,7),2),"Mo","Di","Mi","Do","Fr","Sa","So"),""),"")</f>
        <v>Sa</v>
      </c>
      <c r="O6" s="61" t="str">
        <f>IFERROR(IF(DAY(DATE($L$2,$I$2,8))=8,CHOOSE(WEEKDAY(DATE($L$2,$I$2,8),2),"Mo","Di","Mi","Do","Fr","Sa","So"),""),"")</f>
        <v>So</v>
      </c>
      <c r="P6" s="61" t="str">
        <f>IFERROR(IF(DAY(DATE($L$2,$I$2,9))=9,CHOOSE(WEEKDAY(DATE($L$2,$I$2,9),2),"Mo","Di","Mi","Do","Fr","Sa","So"),""),"")</f>
        <v>Mo</v>
      </c>
      <c r="Q6" s="61" t="str">
        <f>IFERROR(IF(DAY(DATE($L$2,$I$2,10))=10,CHOOSE(WEEKDAY(DATE($L$2,$I$2,10),2),"Mo","Di","Mi","Do","Fr","Sa","So"),""),"")</f>
        <v>Di</v>
      </c>
      <c r="R6" s="61" t="str">
        <f>IFERROR(IF(DAY(DATE($L$2,$I$2,11))=11,CHOOSE(WEEKDAY(DATE($L$2,$I$2,11),2),"Mo","Di","Mi","Do","Fr","Sa","So"),""),"")</f>
        <v>Mi</v>
      </c>
      <c r="S6" s="61" t="str">
        <f>IFERROR(IF(DAY(DATE($L$2,$I$2,12))=12,CHOOSE(WEEKDAY(DATE($L$2,$I$2,12),2),"Mo","Di","Mi","Do","Fr","Sa","So"),""),"")</f>
        <v>Do</v>
      </c>
      <c r="T6" s="61" t="str">
        <f>IFERROR(IF(DAY(DATE($L$2,$I$2,13))=13,CHOOSE(WEEKDAY(DATE($L$2,$I$2,13),2),"Mo","Di","Mi","Do","Fr","Sa","So"),""),"")</f>
        <v>Fr</v>
      </c>
      <c r="U6" s="61" t="str">
        <f>IFERROR(IF(DAY(DATE($L$2,$I$2,14))=14,CHOOSE(WEEKDAY(DATE($L$2,$I$2,14),2),"Mo","Di","Mi","Do","Fr","Sa","So"),""),"")</f>
        <v>Sa</v>
      </c>
      <c r="V6" s="61" t="str">
        <f>IFERROR(IF(DAY(DATE($L$2,$I$2,15))=15,CHOOSE(WEEKDAY(DATE($L$2,$I$2,15),2),"Mo","Di","Mi","Do","Fr","Sa","So"),""),"")</f>
        <v>So</v>
      </c>
      <c r="W6" s="61" t="str">
        <f>IFERROR(IF(DAY(DATE($L$2,$I$2,16))=16,CHOOSE(WEEKDAY(DATE($L$2,$I$2,16),2),"Mo","Di","Mi","Do","Fr","Sa","So"),""),"")</f>
        <v>Mo</v>
      </c>
      <c r="X6" s="61" t="str">
        <f>IFERROR(IF(DAY(DATE($L$2,$I$2,17))=17,CHOOSE(WEEKDAY(DATE($L$2,$I$2,17),2),"Mo","Di","Mi","Do","Fr","Sa","So"),""),"")</f>
        <v>Di</v>
      </c>
      <c r="Y6" s="61" t="str">
        <f>IFERROR(IF(DAY(DATE($L$2,$I$2,18))=18,CHOOSE(WEEKDAY(DATE($L$2,$I$2,18),2),"Mo","Di","Mi","Do","Fr","Sa","So"),""),"")</f>
        <v>Mi</v>
      </c>
      <c r="Z6" s="61" t="str">
        <f>IFERROR(IF(DAY(DATE($L$2,$I$2,19))=19,CHOOSE(WEEKDAY(DATE($L$2,$I$2,19),2),"Mo","Di","Mi","Do","Fr","Sa","So"),""),"")</f>
        <v>Do</v>
      </c>
      <c r="AA6" s="61" t="str">
        <f>IFERROR(IF(DAY(DATE($L$2,$I$2,20))=20,CHOOSE(WEEKDAY(DATE($L$2,$I$2,20),2),"Mo","Di","Mi","Do","Fr","Sa","So"),""),"")</f>
        <v>Fr</v>
      </c>
      <c r="AB6" s="61" t="str">
        <f>IFERROR(IF(DAY(DATE($L$2,$I$2,21))=21,CHOOSE(WEEKDAY(DATE($L$2,$I$2,21),2),"Mo","Di","Mi","Do","Fr","Sa","So"),""),"")</f>
        <v>Sa</v>
      </c>
      <c r="AC6" s="61" t="str">
        <f>IFERROR(IF(DAY(DATE($L$2,$I$2,22))=22,CHOOSE(WEEKDAY(DATE($L$2,$I$2,22),2),"Mo","Di","Mi","Do","Fr","Sa","So"),""),"")</f>
        <v>So</v>
      </c>
      <c r="AD6" s="61" t="str">
        <f>IFERROR(IF(DAY(DATE($L$2,$I$2,23))=23,CHOOSE(WEEKDAY(DATE($L$2,$I$2,23),2),"Mo","Di","Mi","Do","Fr","Sa","So"),""),"")</f>
        <v>Mo</v>
      </c>
      <c r="AE6" s="61" t="str">
        <f>IFERROR(IF(DAY(DATE($L$2,$I$2,24))=24,CHOOSE(WEEKDAY(DATE($L$2,$I$2,24),2),"Mo","Di","Mi","Do","Fr","Sa","So"),""),"")</f>
        <v>Di</v>
      </c>
      <c r="AF6" s="61" t="str">
        <f>IFERROR(IF(DAY(DATE($L$2,$I$2,25))=25,CHOOSE(WEEKDAY(DATE($L$2,$I$2,25),2),"Mo","Di","Mi","Do","Fr","Sa","So"),""),"")</f>
        <v>Mi</v>
      </c>
      <c r="AG6" s="61" t="str">
        <f>IFERROR(IF(DAY(DATE($L$2,$I$2,26))=26,CHOOSE(WEEKDAY(DATE($L$2,$I$2,26),2),"Mo","Di","Mi","Do","Fr","Sa","So"),""),"")</f>
        <v>Do</v>
      </c>
      <c r="AH6" s="61" t="str">
        <f>IFERROR(IF(DAY(DATE($L$2,$I$2,27))=27,CHOOSE(WEEKDAY(DATE($L$2,$I$2,27),2),"Mo","Di","Mi","Do","Fr","Sa","So"),""),"")</f>
        <v>Fr</v>
      </c>
      <c r="AI6" s="61" t="str">
        <f>IFERROR(IF(DAY(DATE($L$2,$I$2,28))=28,CHOOSE(WEEKDAY(DATE($L$2,$I$2,28),2),"Mo","Di","Mi","Do","Fr","Sa","So"),""),"")</f>
        <v>Sa</v>
      </c>
      <c r="AJ6" s="61" t="str">
        <f>IFERROR(IF(DAY(DATE($L$2,$I$2,29))=29,CHOOSE(WEEKDAY(DATE($L$2,$I$2,29),2),"Mo","Di","Mi","Do","Fr","Sa","So"),""),"")</f>
        <v>So</v>
      </c>
      <c r="AK6" s="61" t="str">
        <f>IFERROR(IF(DAY(DATE($L$2,$I$2,30))=30,CHOOSE(WEEKDAY(DATE($L$2,$I$2,30),2),"Mo","Di","Mi","Do","Fr","Sa","So"),""),"")</f>
        <v>Mo</v>
      </c>
      <c r="AL6" s="61" t="str">
        <f>IFERROR(IF(DAY(DATE($L$2,$I$2,31))=31,CHOOSE(WEEKDAY(DATE($L$2,$I$2,31),2),"Mo","Di","Mi","Do","Fr","Sa","So"),""),"")</f>
        <v/>
      </c>
      <c r="AM6" s="62"/>
      <c r="AN6" s="62"/>
      <c r="AO6" s="62"/>
      <c r="AP6" s="62"/>
    </row>
    <row r="7" spans="2:42" ht="31.5" customHeight="1" x14ac:dyDescent="0.25">
      <c r="B7" s="62"/>
      <c r="C7" s="62"/>
      <c r="D7" s="62"/>
      <c r="E7" s="62"/>
      <c r="F7" s="62"/>
      <c r="G7" s="62"/>
      <c r="H7" s="63">
        <f>IFERROR(IF(DAY(DATE($L$2,$I$2,1))=1,1,""),"")</f>
        <v>1</v>
      </c>
      <c r="I7" s="63">
        <f>IFERROR(IF(DAY(DATE($L$2,$I$2,2))=2,2,""),"")</f>
        <v>2</v>
      </c>
      <c r="J7" s="63">
        <f>IFERROR(IF(DAY(DATE($L$2,$I$2,3))=3,3,""),"")</f>
        <v>3</v>
      </c>
      <c r="K7" s="63">
        <f>IFERROR(IF(DAY(DATE($L$2,$I$2,4))=4,4,""),"")</f>
        <v>4</v>
      </c>
      <c r="L7" s="63">
        <f>IFERROR(IF(DAY(DATE($L$2,$I$2,5))=5,5,""),"")</f>
        <v>5</v>
      </c>
      <c r="M7" s="63">
        <f>IFERROR(IF(DAY(DATE($L$2,$I$2,6))=6,6,""),"")</f>
        <v>6</v>
      </c>
      <c r="N7" s="63">
        <f>IFERROR(IF(DAY(DATE($L$2,$I$2,7))=7,7,""),"")</f>
        <v>7</v>
      </c>
      <c r="O7" s="63">
        <f>IFERROR(IF(DAY(DATE($L$2,$I$2,8))=8,8,""),"")</f>
        <v>8</v>
      </c>
      <c r="P7" s="63">
        <f>IFERROR(IF(DAY(DATE($L$2,$I$2,9))=9,9,""),"")</f>
        <v>9</v>
      </c>
      <c r="Q7" s="63">
        <f>IFERROR(IF(DAY(DATE($L$2,$I$2,10))=10,10,""),"")</f>
        <v>10</v>
      </c>
      <c r="R7" s="63">
        <f>IFERROR(IF(DAY(DATE($L$2,$I$2,11))=11,11,""),"")</f>
        <v>11</v>
      </c>
      <c r="S7" s="63">
        <f>IFERROR(IF(DAY(DATE($L$2,$I$2,12))=12,12,""),"")</f>
        <v>12</v>
      </c>
      <c r="T7" s="63">
        <f>IFERROR(IF(DAY(DATE($L$2,$I$2,13))=13,13,""),"")</f>
        <v>13</v>
      </c>
      <c r="U7" s="63">
        <f>IFERROR(IF(DAY(DATE($L$2,$I$2,14))=14,14,""),"")</f>
        <v>14</v>
      </c>
      <c r="V7" s="63">
        <f>IFERROR(IF(DAY(DATE($L$2,$I$2,15))=15,15,""),"")</f>
        <v>15</v>
      </c>
      <c r="W7" s="63">
        <f>IFERROR(IF(DAY(DATE($L$2,$I$2,16))=16,16,""),"")</f>
        <v>16</v>
      </c>
      <c r="X7" s="63">
        <f>IFERROR(IF(DAY(DATE($L$2,$I$2,17))=17,17,""),"")</f>
        <v>17</v>
      </c>
      <c r="Y7" s="63">
        <f>IFERROR(IF(DAY(DATE($L$2,$I$2,18))=18,18,""),"")</f>
        <v>18</v>
      </c>
      <c r="Z7" s="63">
        <f>IFERROR(IF(DAY(DATE($L$2,$I$2,19))=19,19,""),"")</f>
        <v>19</v>
      </c>
      <c r="AA7" s="63">
        <f>IFERROR(IF(DAY(DATE($L$2,$I$2,20))=20,20,""),"")</f>
        <v>20</v>
      </c>
      <c r="AB7" s="63">
        <f>IFERROR(IF(DAY(DATE($L$2,$I$2,21))=21,21,""),"")</f>
        <v>21</v>
      </c>
      <c r="AC7" s="63">
        <f>IFERROR(IF(DAY(DATE($L$2,$I$2,22))=22,22,""),"")</f>
        <v>22</v>
      </c>
      <c r="AD7" s="63">
        <f>IFERROR(IF(DAY(DATE($L$2,$I$2,23))=23,23,""),"")</f>
        <v>23</v>
      </c>
      <c r="AE7" s="63">
        <f>IFERROR(IF(DAY(DATE($L$2,$I$2,24))=24,24,""),"")</f>
        <v>24</v>
      </c>
      <c r="AF7" s="63">
        <f>IFERROR(IF(DAY(DATE($L$2,$I$2,25))=25,25,""),"")</f>
        <v>25</v>
      </c>
      <c r="AG7" s="63">
        <f>IFERROR(IF(DAY(DATE($L$2,$I$2,26))=26,26,""),"")</f>
        <v>26</v>
      </c>
      <c r="AH7" s="63">
        <f>IFERROR(IF(DAY(DATE($L$2,$I$2,27))=27,27,""),"")</f>
        <v>27</v>
      </c>
      <c r="AI7" s="63">
        <f>IFERROR(IF(DAY(DATE($L$2,$I$2,28))=28,28,""),"")</f>
        <v>28</v>
      </c>
      <c r="AJ7" s="63">
        <f>IFERROR(IF(DAY(DATE($L$2,$I$2,29))=29,29,""),"")</f>
        <v>29</v>
      </c>
      <c r="AK7" s="63">
        <f>IFERROR(IF(DAY(DATE($L$2,$I$2,30))=30,30,""),"")</f>
        <v>30</v>
      </c>
      <c r="AL7" s="63" t="str">
        <f>IFERROR(IF(DAY(DATE($L$2,$I$2,31))=31,31,""),"")</f>
        <v/>
      </c>
      <c r="AM7" s="64" t="s">
        <v>184</v>
      </c>
      <c r="AN7" s="64" t="s">
        <v>185</v>
      </c>
      <c r="AO7" s="64" t="s">
        <v>186</v>
      </c>
      <c r="AP7" s="64" t="s">
        <v>187</v>
      </c>
    </row>
    <row r="8" spans="2:42" ht="21.75" customHeight="1" x14ac:dyDescent="0.25">
      <c r="B8" s="65" t="str">
        <f>Mitarbeiter!B5</f>
        <v>M001</v>
      </c>
      <c r="C8" s="66" t="str">
        <f>Mitarbeiter!C5&amp;" "&amp;Mitarbeiter!D5</f>
        <v>Lena Hoffmann</v>
      </c>
      <c r="D8" s="67" t="str">
        <f>Mitarbeiter!E5</f>
        <v>Restaurantleitung</v>
      </c>
      <c r="E8" s="67" t="str">
        <f>Mitarbeiter!F5</f>
        <v>Service</v>
      </c>
      <c r="F8" s="65" t="str">
        <f>Mitarbeiter!G5</f>
        <v>Vollzeit</v>
      </c>
      <c r="G8" s="68">
        <f>Mitarbeiter!H5</f>
        <v>40</v>
      </c>
      <c r="H8" s="69" t="s">
        <v>143</v>
      </c>
      <c r="I8" s="69" t="s">
        <v>135</v>
      </c>
      <c r="J8" s="69" t="s">
        <v>126</v>
      </c>
      <c r="K8" s="69" t="s">
        <v>163</v>
      </c>
      <c r="L8" s="69" t="s">
        <v>163</v>
      </c>
      <c r="M8" s="69" t="s">
        <v>126</v>
      </c>
      <c r="N8" s="69" t="s">
        <v>126</v>
      </c>
      <c r="O8" s="69" t="s">
        <v>143</v>
      </c>
      <c r="P8" s="69" t="s">
        <v>143</v>
      </c>
      <c r="Q8" s="69" t="s">
        <v>126</v>
      </c>
      <c r="R8" s="69" t="s">
        <v>163</v>
      </c>
      <c r="S8" s="69" t="s">
        <v>163</v>
      </c>
      <c r="T8" s="69" t="s">
        <v>126</v>
      </c>
      <c r="U8" s="69" t="s">
        <v>126</v>
      </c>
      <c r="V8" s="69" t="s">
        <v>135</v>
      </c>
      <c r="W8" s="69" t="s">
        <v>126</v>
      </c>
      <c r="X8" s="69" t="s">
        <v>126</v>
      </c>
      <c r="Y8" s="69" t="s">
        <v>163</v>
      </c>
      <c r="Z8" s="69" t="s">
        <v>163</v>
      </c>
      <c r="AA8" s="69" t="s">
        <v>126</v>
      </c>
      <c r="AB8" s="69" t="s">
        <v>135</v>
      </c>
      <c r="AC8" s="69" t="s">
        <v>126</v>
      </c>
      <c r="AD8" s="69" t="s">
        <v>135</v>
      </c>
      <c r="AE8" s="69" t="s">
        <v>143</v>
      </c>
      <c r="AF8" s="69" t="s">
        <v>163</v>
      </c>
      <c r="AG8" s="69" t="s">
        <v>163</v>
      </c>
      <c r="AH8" s="69" t="s">
        <v>143</v>
      </c>
      <c r="AI8" s="69" t="s">
        <v>126</v>
      </c>
      <c r="AJ8" s="69" t="s">
        <v>143</v>
      </c>
      <c r="AK8" s="69" t="s">
        <v>143</v>
      </c>
      <c r="AL8" s="69" t="s">
        <v>135</v>
      </c>
      <c r="AM8" s="70">
        <f>SUMPRODUCT(IFERROR(VLOOKUP(H8:AL8,Schichten!$B$5:$G$20,6,FALSE()),0))</f>
        <v>0</v>
      </c>
      <c r="AN8" s="71">
        <f t="shared" ref="AN8:AN19" si="0">AM8-G8*4.33</f>
        <v>-173.2</v>
      </c>
      <c r="AO8" s="72">
        <f t="shared" ref="AO8:AO19" si="1">COUNTIF(H8:AL8,"U")</f>
        <v>0</v>
      </c>
      <c r="AP8" s="72">
        <f t="shared" ref="AP8:AP19" si="2">COUNTIF(H8:AL8,"K")</f>
        <v>0</v>
      </c>
    </row>
    <row r="9" spans="2:42" ht="21.75" customHeight="1" x14ac:dyDescent="0.25">
      <c r="B9" s="65" t="str">
        <f>Mitarbeiter!B6</f>
        <v>M002</v>
      </c>
      <c r="C9" s="66" t="str">
        <f>Mitarbeiter!C6&amp;" "&amp;Mitarbeiter!D6</f>
        <v>Tobias Bergmann</v>
      </c>
      <c r="D9" s="67" t="str">
        <f>Mitarbeiter!E6</f>
        <v>Küchenchef</v>
      </c>
      <c r="E9" s="67" t="str">
        <f>Mitarbeiter!F6</f>
        <v>Küche</v>
      </c>
      <c r="F9" s="65" t="str">
        <f>Mitarbeiter!G6</f>
        <v>Vollzeit</v>
      </c>
      <c r="G9" s="68">
        <f>Mitarbeiter!H6</f>
        <v>40</v>
      </c>
      <c r="H9" s="69" t="s">
        <v>143</v>
      </c>
      <c r="I9" s="69" t="s">
        <v>135</v>
      </c>
      <c r="J9" s="69" t="s">
        <v>143</v>
      </c>
      <c r="K9" s="69" t="s">
        <v>163</v>
      </c>
      <c r="L9" s="69" t="s">
        <v>163</v>
      </c>
      <c r="M9" s="69" t="s">
        <v>135</v>
      </c>
      <c r="N9" s="69" t="s">
        <v>135</v>
      </c>
      <c r="O9" s="69" t="s">
        <v>143</v>
      </c>
      <c r="P9" s="69" t="s">
        <v>135</v>
      </c>
      <c r="Q9" s="69" t="s">
        <v>135</v>
      </c>
      <c r="R9" s="69" t="s">
        <v>163</v>
      </c>
      <c r="S9" s="69" t="s">
        <v>163</v>
      </c>
      <c r="T9" s="69" t="s">
        <v>135</v>
      </c>
      <c r="U9" s="69" t="s">
        <v>135</v>
      </c>
      <c r="V9" s="69" t="s">
        <v>135</v>
      </c>
      <c r="W9" s="69" t="s">
        <v>143</v>
      </c>
      <c r="X9" s="69" t="s">
        <v>135</v>
      </c>
      <c r="Y9" s="69" t="s">
        <v>163</v>
      </c>
      <c r="Z9" s="69" t="s">
        <v>163</v>
      </c>
      <c r="AA9" s="69" t="s">
        <v>143</v>
      </c>
      <c r="AB9" s="69" t="s">
        <v>135</v>
      </c>
      <c r="AC9" s="69" t="s">
        <v>135</v>
      </c>
      <c r="AD9" s="69" t="s">
        <v>135</v>
      </c>
      <c r="AE9" s="69" t="s">
        <v>143</v>
      </c>
      <c r="AF9" s="69" t="s">
        <v>163</v>
      </c>
      <c r="AG9" s="69" t="s">
        <v>163</v>
      </c>
      <c r="AH9" s="69" t="s">
        <v>135</v>
      </c>
      <c r="AI9" s="69" t="s">
        <v>143</v>
      </c>
      <c r="AJ9" s="69" t="s">
        <v>135</v>
      </c>
      <c r="AK9" s="69" t="s">
        <v>135</v>
      </c>
      <c r="AL9" s="69" t="s">
        <v>135</v>
      </c>
      <c r="AM9" s="70">
        <f>SUMPRODUCT(IFERROR(VLOOKUP(H9:AL9,Schichten!$B$5:$G$20,6,FALSE()),0))</f>
        <v>0</v>
      </c>
      <c r="AN9" s="71">
        <f t="shared" si="0"/>
        <v>-173.2</v>
      </c>
      <c r="AO9" s="72">
        <f t="shared" si="1"/>
        <v>0</v>
      </c>
      <c r="AP9" s="72">
        <f t="shared" si="2"/>
        <v>0</v>
      </c>
    </row>
    <row r="10" spans="2:42" ht="21.75" customHeight="1" x14ac:dyDescent="0.25">
      <c r="B10" s="65" t="str">
        <f>Mitarbeiter!B7</f>
        <v>M003</v>
      </c>
      <c r="C10" s="66" t="str">
        <f>Mitarbeiter!C7&amp;" "&amp;Mitarbeiter!D7</f>
        <v>Sophia Wagner</v>
      </c>
      <c r="D10" s="67" t="str">
        <f>Mitarbeiter!E7</f>
        <v>Servicekraft</v>
      </c>
      <c r="E10" s="67" t="str">
        <f>Mitarbeiter!F7</f>
        <v>Service</v>
      </c>
      <c r="F10" s="65" t="str">
        <f>Mitarbeiter!G7</f>
        <v>Vollzeit</v>
      </c>
      <c r="G10" s="68">
        <f>Mitarbeiter!H7</f>
        <v>40</v>
      </c>
      <c r="H10" s="69" t="s">
        <v>135</v>
      </c>
      <c r="I10" s="69" t="s">
        <v>126</v>
      </c>
      <c r="J10" s="69" t="s">
        <v>135</v>
      </c>
      <c r="K10" s="69" t="s">
        <v>163</v>
      </c>
      <c r="L10" s="69" t="s">
        <v>156</v>
      </c>
      <c r="M10" s="69" t="s">
        <v>156</v>
      </c>
      <c r="N10" s="69" t="s">
        <v>156</v>
      </c>
      <c r="O10" s="69" t="s">
        <v>156</v>
      </c>
      <c r="P10" s="69" t="s">
        <v>156</v>
      </c>
      <c r="Q10" s="69" t="s">
        <v>156</v>
      </c>
      <c r="R10" s="69" t="s">
        <v>156</v>
      </c>
      <c r="S10" s="69" t="s">
        <v>131</v>
      </c>
      <c r="T10" s="69" t="s">
        <v>131</v>
      </c>
      <c r="U10" s="69" t="s">
        <v>135</v>
      </c>
      <c r="V10" s="69" t="s">
        <v>126</v>
      </c>
      <c r="W10" s="69" t="s">
        <v>135</v>
      </c>
      <c r="X10" s="69" t="s">
        <v>163</v>
      </c>
      <c r="Y10" s="69" t="s">
        <v>163</v>
      </c>
      <c r="Z10" s="69" t="s">
        <v>131</v>
      </c>
      <c r="AA10" s="69" t="s">
        <v>131</v>
      </c>
      <c r="AB10" s="69" t="s">
        <v>135</v>
      </c>
      <c r="AC10" s="69" t="s">
        <v>135</v>
      </c>
      <c r="AD10" s="69" t="s">
        <v>131</v>
      </c>
      <c r="AE10" s="69" t="s">
        <v>163</v>
      </c>
      <c r="AF10" s="69" t="s">
        <v>163</v>
      </c>
      <c r="AG10" s="69" t="s">
        <v>135</v>
      </c>
      <c r="AH10" s="69" t="s">
        <v>135</v>
      </c>
      <c r="AI10" s="69" t="s">
        <v>131</v>
      </c>
      <c r="AJ10" s="69" t="s">
        <v>135</v>
      </c>
      <c r="AK10" s="69" t="s">
        <v>131</v>
      </c>
      <c r="AL10" s="69" t="s">
        <v>163</v>
      </c>
      <c r="AM10" s="70">
        <f>SUMPRODUCT(IFERROR(VLOOKUP(H10:AL10,Schichten!$B$5:$G$20,6,FALSE()),0))</f>
        <v>0</v>
      </c>
      <c r="AN10" s="71">
        <f t="shared" si="0"/>
        <v>-173.2</v>
      </c>
      <c r="AO10" s="72">
        <f t="shared" si="1"/>
        <v>7</v>
      </c>
      <c r="AP10" s="72">
        <f t="shared" si="2"/>
        <v>0</v>
      </c>
    </row>
    <row r="11" spans="2:42" ht="21.75" customHeight="1" x14ac:dyDescent="0.25">
      <c r="B11" s="65" t="str">
        <f>Mitarbeiter!B8</f>
        <v>M004</v>
      </c>
      <c r="C11" s="66" t="str">
        <f>Mitarbeiter!C8&amp;" "&amp;Mitarbeiter!D8</f>
        <v>Marco Schäfer</v>
      </c>
      <c r="D11" s="67" t="str">
        <f>Mitarbeiter!E8</f>
        <v>Koch</v>
      </c>
      <c r="E11" s="67" t="str">
        <f>Mitarbeiter!F8</f>
        <v>Küche</v>
      </c>
      <c r="F11" s="65" t="str">
        <f>Mitarbeiter!G8</f>
        <v>Vollzeit</v>
      </c>
      <c r="G11" s="68">
        <f>Mitarbeiter!H8</f>
        <v>40</v>
      </c>
      <c r="H11" s="69" t="s">
        <v>126</v>
      </c>
      <c r="I11" s="69" t="s">
        <v>126</v>
      </c>
      <c r="J11" s="69" t="s">
        <v>126</v>
      </c>
      <c r="K11" s="69" t="s">
        <v>126</v>
      </c>
      <c r="L11" s="69" t="s">
        <v>126</v>
      </c>
      <c r="M11" s="69" t="s">
        <v>163</v>
      </c>
      <c r="N11" s="69" t="s">
        <v>135</v>
      </c>
      <c r="O11" s="69" t="s">
        <v>135</v>
      </c>
      <c r="P11" s="69" t="s">
        <v>126</v>
      </c>
      <c r="Q11" s="69" t="s">
        <v>163</v>
      </c>
      <c r="R11" s="69" t="s">
        <v>135</v>
      </c>
      <c r="S11" s="69" t="s">
        <v>126</v>
      </c>
      <c r="T11" s="69" t="s">
        <v>163</v>
      </c>
      <c r="U11" s="69" t="s">
        <v>126</v>
      </c>
      <c r="V11" s="69" t="s">
        <v>160</v>
      </c>
      <c r="W11" s="69" t="s">
        <v>160</v>
      </c>
      <c r="X11" s="69" t="s">
        <v>135</v>
      </c>
      <c r="Y11" s="69" t="s">
        <v>135</v>
      </c>
      <c r="Z11" s="69" t="s">
        <v>135</v>
      </c>
      <c r="AA11" s="69" t="s">
        <v>163</v>
      </c>
      <c r="AB11" s="69" t="s">
        <v>135</v>
      </c>
      <c r="AC11" s="69" t="s">
        <v>135</v>
      </c>
      <c r="AD11" s="69" t="s">
        <v>135</v>
      </c>
      <c r="AE11" s="69" t="s">
        <v>163</v>
      </c>
      <c r="AF11" s="69" t="s">
        <v>135</v>
      </c>
      <c r="AG11" s="69" t="s">
        <v>135</v>
      </c>
      <c r="AH11" s="69" t="s">
        <v>163</v>
      </c>
      <c r="AI11" s="69" t="s">
        <v>126</v>
      </c>
      <c r="AJ11" s="69" t="s">
        <v>135</v>
      </c>
      <c r="AK11" s="69" t="s">
        <v>135</v>
      </c>
      <c r="AL11" s="69" t="s">
        <v>163</v>
      </c>
      <c r="AM11" s="70">
        <f>SUMPRODUCT(IFERROR(VLOOKUP(H11:AL11,Schichten!$B$5:$G$20,6,FALSE()),0))</f>
        <v>0</v>
      </c>
      <c r="AN11" s="71">
        <f t="shared" si="0"/>
        <v>-173.2</v>
      </c>
      <c r="AO11" s="72">
        <f t="shared" si="1"/>
        <v>0</v>
      </c>
      <c r="AP11" s="72">
        <f t="shared" si="2"/>
        <v>2</v>
      </c>
    </row>
    <row r="12" spans="2:42" ht="21.75" customHeight="1" x14ac:dyDescent="0.25">
      <c r="B12" s="65" t="str">
        <f>Mitarbeiter!B9</f>
        <v>M005</v>
      </c>
      <c r="C12" s="66" t="str">
        <f>Mitarbeiter!C9&amp;" "&amp;Mitarbeiter!D9</f>
        <v>Julia Klein</v>
      </c>
      <c r="D12" s="67" t="str">
        <f>Mitarbeiter!E9</f>
        <v>Servicekraft</v>
      </c>
      <c r="E12" s="67" t="str">
        <f>Mitarbeiter!F9</f>
        <v>Service</v>
      </c>
      <c r="F12" s="65" t="str">
        <f>Mitarbeiter!G9</f>
        <v>Teilzeit</v>
      </c>
      <c r="G12" s="68">
        <f>Mitarbeiter!H9</f>
        <v>25</v>
      </c>
      <c r="H12" s="69" t="s">
        <v>131</v>
      </c>
      <c r="I12" s="69" t="s">
        <v>131</v>
      </c>
      <c r="J12" s="69" t="s">
        <v>131</v>
      </c>
      <c r="K12" s="69" t="s">
        <v>163</v>
      </c>
      <c r="L12" s="69" t="s">
        <v>163</v>
      </c>
      <c r="M12" s="69" t="s">
        <v>163</v>
      </c>
      <c r="N12" s="69" t="s">
        <v>126</v>
      </c>
      <c r="O12" s="69" t="s">
        <v>126</v>
      </c>
      <c r="P12" s="69" t="s">
        <v>126</v>
      </c>
      <c r="Q12" s="69" t="s">
        <v>163</v>
      </c>
      <c r="R12" s="69" t="s">
        <v>163</v>
      </c>
      <c r="S12" s="69" t="s">
        <v>163</v>
      </c>
      <c r="T12" s="69" t="s">
        <v>163</v>
      </c>
      <c r="U12" s="69" t="s">
        <v>131</v>
      </c>
      <c r="V12" s="69" t="s">
        <v>126</v>
      </c>
      <c r="W12" s="69" t="s">
        <v>126</v>
      </c>
      <c r="X12" s="69" t="s">
        <v>163</v>
      </c>
      <c r="Y12" s="69" t="s">
        <v>163</v>
      </c>
      <c r="Z12" s="69" t="s">
        <v>163</v>
      </c>
      <c r="AA12" s="69" t="s">
        <v>163</v>
      </c>
      <c r="AB12" s="69" t="s">
        <v>126</v>
      </c>
      <c r="AC12" s="69" t="s">
        <v>126</v>
      </c>
      <c r="AD12" s="69" t="s">
        <v>126</v>
      </c>
      <c r="AE12" s="69" t="s">
        <v>163</v>
      </c>
      <c r="AF12" s="69" t="s">
        <v>163</v>
      </c>
      <c r="AG12" s="69" t="s">
        <v>163</v>
      </c>
      <c r="AH12" s="69" t="s">
        <v>163</v>
      </c>
      <c r="AI12" s="69" t="s">
        <v>131</v>
      </c>
      <c r="AJ12" s="69" t="s">
        <v>126</v>
      </c>
      <c r="AK12" s="69" t="s">
        <v>126</v>
      </c>
      <c r="AL12" s="69" t="s">
        <v>163</v>
      </c>
      <c r="AM12" s="70">
        <f>SUMPRODUCT(IFERROR(VLOOKUP(H12:AL12,Schichten!$B$5:$G$20,6,FALSE()),0))</f>
        <v>0</v>
      </c>
      <c r="AN12" s="71">
        <f t="shared" si="0"/>
        <v>-108.25</v>
      </c>
      <c r="AO12" s="72">
        <f t="shared" si="1"/>
        <v>0</v>
      </c>
      <c r="AP12" s="72">
        <f t="shared" si="2"/>
        <v>0</v>
      </c>
    </row>
    <row r="13" spans="2:42" ht="21.75" customHeight="1" x14ac:dyDescent="0.25">
      <c r="B13" s="65" t="str">
        <f>Mitarbeiter!B10</f>
        <v>M006</v>
      </c>
      <c r="C13" s="66" t="str">
        <f>Mitarbeiter!C10&amp;" "&amp;Mitarbeiter!D10</f>
        <v>David Becker</v>
      </c>
      <c r="D13" s="67" t="str">
        <f>Mitarbeiter!E10</f>
        <v>Barkeeper</v>
      </c>
      <c r="E13" s="67" t="str">
        <f>Mitarbeiter!F10</f>
        <v>Bar</v>
      </c>
      <c r="F13" s="65" t="str">
        <f>Mitarbeiter!G10</f>
        <v>Vollzeit</v>
      </c>
      <c r="G13" s="68">
        <f>Mitarbeiter!H10</f>
        <v>40</v>
      </c>
      <c r="H13" s="69" t="s">
        <v>138</v>
      </c>
      <c r="I13" s="69" t="s">
        <v>148</v>
      </c>
      <c r="J13" s="69" t="s">
        <v>138</v>
      </c>
      <c r="K13" s="69" t="s">
        <v>163</v>
      </c>
      <c r="L13" s="69" t="s">
        <v>163</v>
      </c>
      <c r="M13" s="69" t="s">
        <v>135</v>
      </c>
      <c r="N13" s="69" t="s">
        <v>135</v>
      </c>
      <c r="O13" s="69" t="s">
        <v>135</v>
      </c>
      <c r="P13" s="69" t="s">
        <v>138</v>
      </c>
      <c r="Q13" s="69" t="s">
        <v>138</v>
      </c>
      <c r="R13" s="69" t="s">
        <v>163</v>
      </c>
      <c r="S13" s="69" t="s">
        <v>163</v>
      </c>
      <c r="T13" s="69" t="s">
        <v>148</v>
      </c>
      <c r="U13" s="69" t="s">
        <v>138</v>
      </c>
      <c r="V13" s="69" t="s">
        <v>135</v>
      </c>
      <c r="W13" s="69" t="s">
        <v>138</v>
      </c>
      <c r="X13" s="69" t="s">
        <v>148</v>
      </c>
      <c r="Y13" s="69" t="s">
        <v>163</v>
      </c>
      <c r="Z13" s="69" t="s">
        <v>156</v>
      </c>
      <c r="AA13" s="69" t="s">
        <v>156</v>
      </c>
      <c r="AB13" s="69" t="s">
        <v>156</v>
      </c>
      <c r="AC13" s="69" t="s">
        <v>156</v>
      </c>
      <c r="AD13" s="69" t="s">
        <v>156</v>
      </c>
      <c r="AE13" s="69" t="s">
        <v>135</v>
      </c>
      <c r="AF13" s="69" t="s">
        <v>163</v>
      </c>
      <c r="AG13" s="69" t="s">
        <v>163</v>
      </c>
      <c r="AH13" s="69" t="s">
        <v>138</v>
      </c>
      <c r="AI13" s="69" t="s">
        <v>138</v>
      </c>
      <c r="AJ13" s="69" t="s">
        <v>138</v>
      </c>
      <c r="AK13" s="69" t="s">
        <v>148</v>
      </c>
      <c r="AL13" s="69" t="s">
        <v>148</v>
      </c>
      <c r="AM13" s="70">
        <f>SUMPRODUCT(IFERROR(VLOOKUP(H13:AL13,Schichten!$B$5:$G$20,6,FALSE()),0))</f>
        <v>0</v>
      </c>
      <c r="AN13" s="71">
        <f t="shared" si="0"/>
        <v>-173.2</v>
      </c>
      <c r="AO13" s="72">
        <f t="shared" si="1"/>
        <v>5</v>
      </c>
      <c r="AP13" s="72">
        <f t="shared" si="2"/>
        <v>0</v>
      </c>
    </row>
    <row r="14" spans="2:42" ht="21.75" customHeight="1" x14ac:dyDescent="0.25">
      <c r="B14" s="65" t="str">
        <f>Mitarbeiter!B11</f>
        <v>M007</v>
      </c>
      <c r="C14" s="66" t="str">
        <f>Mitarbeiter!C11&amp;" "&amp;Mitarbeiter!D11</f>
        <v>Anna Vogel</v>
      </c>
      <c r="D14" s="67" t="str">
        <f>Mitarbeiter!E11</f>
        <v>Servicekraft</v>
      </c>
      <c r="E14" s="67" t="str">
        <f>Mitarbeiter!F11</f>
        <v>Service</v>
      </c>
      <c r="F14" s="65" t="str">
        <f>Mitarbeiter!G11</f>
        <v>Teilzeit</v>
      </c>
      <c r="G14" s="68">
        <f>Mitarbeiter!H11</f>
        <v>20</v>
      </c>
      <c r="H14" s="69" t="s">
        <v>138</v>
      </c>
      <c r="I14" s="69" t="s">
        <v>135</v>
      </c>
      <c r="J14" s="69" t="s">
        <v>163</v>
      </c>
      <c r="K14" s="69" t="s">
        <v>163</v>
      </c>
      <c r="L14" s="69" t="s">
        <v>163</v>
      </c>
      <c r="M14" s="69" t="s">
        <v>163</v>
      </c>
      <c r="N14" s="69" t="s">
        <v>163</v>
      </c>
      <c r="O14" s="69" t="s">
        <v>138</v>
      </c>
      <c r="P14" s="69" t="s">
        <v>135</v>
      </c>
      <c r="Q14" s="69" t="s">
        <v>163</v>
      </c>
      <c r="R14" s="69" t="s">
        <v>163</v>
      </c>
      <c r="S14" s="69" t="s">
        <v>163</v>
      </c>
      <c r="T14" s="69" t="s">
        <v>163</v>
      </c>
      <c r="U14" s="69" t="s">
        <v>163</v>
      </c>
      <c r="V14" s="69" t="s">
        <v>135</v>
      </c>
      <c r="W14" s="69" t="s">
        <v>135</v>
      </c>
      <c r="X14" s="69" t="s">
        <v>163</v>
      </c>
      <c r="Y14" s="69" t="s">
        <v>163</v>
      </c>
      <c r="Z14" s="69" t="s">
        <v>163</v>
      </c>
      <c r="AA14" s="69" t="s">
        <v>163</v>
      </c>
      <c r="AB14" s="69" t="s">
        <v>163</v>
      </c>
      <c r="AC14" s="69" t="s">
        <v>138</v>
      </c>
      <c r="AD14" s="69" t="s">
        <v>135</v>
      </c>
      <c r="AE14" s="69" t="s">
        <v>163</v>
      </c>
      <c r="AF14" s="69" t="s">
        <v>163</v>
      </c>
      <c r="AG14" s="69" t="s">
        <v>163</v>
      </c>
      <c r="AH14" s="69" t="s">
        <v>163</v>
      </c>
      <c r="AI14" s="69" t="s">
        <v>163</v>
      </c>
      <c r="AJ14" s="69" t="s">
        <v>135</v>
      </c>
      <c r="AK14" s="69" t="s">
        <v>135</v>
      </c>
      <c r="AL14" s="69" t="s">
        <v>163</v>
      </c>
      <c r="AM14" s="70">
        <f>SUMPRODUCT(IFERROR(VLOOKUP(H14:AL14,Schichten!$B$5:$G$20,6,FALSE()),0))</f>
        <v>0</v>
      </c>
      <c r="AN14" s="71">
        <f t="shared" si="0"/>
        <v>-86.6</v>
      </c>
      <c r="AO14" s="72">
        <f t="shared" si="1"/>
        <v>0</v>
      </c>
      <c r="AP14" s="72">
        <f t="shared" si="2"/>
        <v>0</v>
      </c>
    </row>
    <row r="15" spans="2:42" ht="21.75" customHeight="1" x14ac:dyDescent="0.25">
      <c r="B15" s="65" t="str">
        <f>Mitarbeiter!B12</f>
        <v>M008</v>
      </c>
      <c r="C15" s="66" t="str">
        <f>Mitarbeiter!C12&amp;" "&amp;Mitarbeiter!D12</f>
        <v>Felix Krüger</v>
      </c>
      <c r="D15" s="67" t="str">
        <f>Mitarbeiter!E12</f>
        <v>Koch</v>
      </c>
      <c r="E15" s="67" t="str">
        <f>Mitarbeiter!F12</f>
        <v>Küche</v>
      </c>
      <c r="F15" s="65" t="str">
        <f>Mitarbeiter!G12</f>
        <v>Vollzeit</v>
      </c>
      <c r="G15" s="68">
        <f>Mitarbeiter!H12</f>
        <v>40</v>
      </c>
      <c r="H15" s="69" t="s">
        <v>126</v>
      </c>
      <c r="I15" s="69" t="s">
        <v>126</v>
      </c>
      <c r="J15" s="69" t="s">
        <v>135</v>
      </c>
      <c r="K15" s="69" t="s">
        <v>135</v>
      </c>
      <c r="L15" s="69" t="s">
        <v>126</v>
      </c>
      <c r="M15" s="69" t="s">
        <v>126</v>
      </c>
      <c r="N15" s="69" t="s">
        <v>163</v>
      </c>
      <c r="O15" s="69" t="s">
        <v>135</v>
      </c>
      <c r="P15" s="69" t="s">
        <v>135</v>
      </c>
      <c r="Q15" s="69" t="s">
        <v>163</v>
      </c>
      <c r="R15" s="69" t="s">
        <v>126</v>
      </c>
      <c r="S15" s="69" t="s">
        <v>126</v>
      </c>
      <c r="T15" s="69" t="s">
        <v>135</v>
      </c>
      <c r="U15" s="69" t="s">
        <v>163</v>
      </c>
      <c r="V15" s="69" t="s">
        <v>126</v>
      </c>
      <c r="W15" s="69" t="s">
        <v>135</v>
      </c>
      <c r="X15" s="69" t="s">
        <v>163</v>
      </c>
      <c r="Y15" s="69" t="s">
        <v>126</v>
      </c>
      <c r="Z15" s="69" t="s">
        <v>135</v>
      </c>
      <c r="AA15" s="69" t="s">
        <v>126</v>
      </c>
      <c r="AB15" s="69" t="s">
        <v>163</v>
      </c>
      <c r="AC15" s="69" t="s">
        <v>126</v>
      </c>
      <c r="AD15" s="69" t="s">
        <v>135</v>
      </c>
      <c r="AE15" s="69" t="s">
        <v>163</v>
      </c>
      <c r="AF15" s="69" t="s">
        <v>135</v>
      </c>
      <c r="AG15" s="69" t="s">
        <v>156</v>
      </c>
      <c r="AH15" s="69" t="s">
        <v>156</v>
      </c>
      <c r="AI15" s="69" t="s">
        <v>156</v>
      </c>
      <c r="AJ15" s="69" t="s">
        <v>156</v>
      </c>
      <c r="AK15" s="69" t="s">
        <v>156</v>
      </c>
      <c r="AL15" s="69" t="s">
        <v>156</v>
      </c>
      <c r="AM15" s="70">
        <f>SUMPRODUCT(IFERROR(VLOOKUP(H15:AL15,Schichten!$B$5:$G$20,6,FALSE()),0))</f>
        <v>0</v>
      </c>
      <c r="AN15" s="71">
        <f t="shared" si="0"/>
        <v>-173.2</v>
      </c>
      <c r="AO15" s="72">
        <f t="shared" si="1"/>
        <v>6</v>
      </c>
      <c r="AP15" s="72">
        <f t="shared" si="2"/>
        <v>0</v>
      </c>
    </row>
    <row r="16" spans="2:42" ht="21.75" customHeight="1" x14ac:dyDescent="0.25">
      <c r="B16" s="65" t="str">
        <f>Mitarbeiter!B13</f>
        <v>M009</v>
      </c>
      <c r="C16" s="66" t="str">
        <f>Mitarbeiter!C13&amp;" "&amp;Mitarbeiter!D13</f>
        <v>Mia Frank</v>
      </c>
      <c r="D16" s="67" t="str">
        <f>Mitarbeiter!E13</f>
        <v>Aushilfe Service</v>
      </c>
      <c r="E16" s="67" t="str">
        <f>Mitarbeiter!F13</f>
        <v>Service</v>
      </c>
      <c r="F16" s="65" t="str">
        <f>Mitarbeiter!G13</f>
        <v>Minijob</v>
      </c>
      <c r="G16" s="68">
        <f>Mitarbeiter!H13</f>
        <v>10</v>
      </c>
      <c r="H16" s="69" t="s">
        <v>163</v>
      </c>
      <c r="I16" s="69" t="s">
        <v>131</v>
      </c>
      <c r="J16" s="69" t="s">
        <v>163</v>
      </c>
      <c r="K16" s="69" t="s">
        <v>131</v>
      </c>
      <c r="L16" s="69" t="s">
        <v>163</v>
      </c>
      <c r="M16" s="69" t="s">
        <v>163</v>
      </c>
      <c r="N16" s="69" t="s">
        <v>163</v>
      </c>
      <c r="O16" s="69" t="s">
        <v>163</v>
      </c>
      <c r="P16" s="69" t="s">
        <v>163</v>
      </c>
      <c r="Q16" s="69" t="s">
        <v>163</v>
      </c>
      <c r="R16" s="69" t="s">
        <v>131</v>
      </c>
      <c r="S16" s="69" t="s">
        <v>163</v>
      </c>
      <c r="T16" s="69" t="s">
        <v>163</v>
      </c>
      <c r="U16" s="69" t="s">
        <v>163</v>
      </c>
      <c r="V16" s="69" t="s">
        <v>163</v>
      </c>
      <c r="W16" s="69" t="s">
        <v>163</v>
      </c>
      <c r="X16" s="69" t="s">
        <v>163</v>
      </c>
      <c r="Y16" s="69" t="s">
        <v>131</v>
      </c>
      <c r="Z16" s="69" t="s">
        <v>163</v>
      </c>
      <c r="AA16" s="69" t="s">
        <v>163</v>
      </c>
      <c r="AB16" s="69" t="s">
        <v>163</v>
      </c>
      <c r="AC16" s="69" t="s">
        <v>163</v>
      </c>
      <c r="AD16" s="69" t="s">
        <v>163</v>
      </c>
      <c r="AE16" s="69" t="s">
        <v>163</v>
      </c>
      <c r="AF16" s="69" t="s">
        <v>131</v>
      </c>
      <c r="AG16" s="69" t="s">
        <v>163</v>
      </c>
      <c r="AH16" s="69" t="s">
        <v>163</v>
      </c>
      <c r="AI16" s="69" t="s">
        <v>163</v>
      </c>
      <c r="AJ16" s="69" t="s">
        <v>163</v>
      </c>
      <c r="AK16" s="69" t="s">
        <v>163</v>
      </c>
      <c r="AL16" s="69" t="s">
        <v>163</v>
      </c>
      <c r="AM16" s="70">
        <f>SUMPRODUCT(IFERROR(VLOOKUP(H16:AL16,Schichten!$B$5:$G$20,6,FALSE()),0))</f>
        <v>0</v>
      </c>
      <c r="AN16" s="71">
        <f t="shared" si="0"/>
        <v>-43.3</v>
      </c>
      <c r="AO16" s="72">
        <f t="shared" si="1"/>
        <v>0</v>
      </c>
      <c r="AP16" s="72">
        <f t="shared" si="2"/>
        <v>0</v>
      </c>
    </row>
    <row r="17" spans="2:42" ht="21.75" customHeight="1" x14ac:dyDescent="0.25">
      <c r="B17" s="65" t="str">
        <f>Mitarbeiter!B14</f>
        <v>M010</v>
      </c>
      <c r="C17" s="66" t="str">
        <f>Mitarbeiter!C14&amp;" "&amp;Mitarbeiter!D14</f>
        <v>Leon Huber</v>
      </c>
      <c r="D17" s="67" t="str">
        <f>Mitarbeiter!E14</f>
        <v>Küchenhilfe</v>
      </c>
      <c r="E17" s="67" t="str">
        <f>Mitarbeiter!F14</f>
        <v>Küche</v>
      </c>
      <c r="F17" s="65" t="str">
        <f>Mitarbeiter!G14</f>
        <v>Minijob</v>
      </c>
      <c r="G17" s="68">
        <f>Mitarbeiter!H14</f>
        <v>10</v>
      </c>
      <c r="H17" s="69" t="s">
        <v>163</v>
      </c>
      <c r="I17" s="69" t="s">
        <v>152</v>
      </c>
      <c r="J17" s="69" t="s">
        <v>163</v>
      </c>
      <c r="K17" s="69" t="s">
        <v>152</v>
      </c>
      <c r="L17" s="69" t="s">
        <v>163</v>
      </c>
      <c r="M17" s="69" t="s">
        <v>163</v>
      </c>
      <c r="N17" s="69" t="s">
        <v>163</v>
      </c>
      <c r="O17" s="69" t="s">
        <v>163</v>
      </c>
      <c r="P17" s="69" t="s">
        <v>163</v>
      </c>
      <c r="Q17" s="69" t="s">
        <v>163</v>
      </c>
      <c r="R17" s="69" t="s">
        <v>152</v>
      </c>
      <c r="S17" s="69" t="s">
        <v>163</v>
      </c>
      <c r="T17" s="69" t="s">
        <v>163</v>
      </c>
      <c r="U17" s="69" t="s">
        <v>163</v>
      </c>
      <c r="V17" s="69" t="s">
        <v>163</v>
      </c>
      <c r="W17" s="69" t="s">
        <v>163</v>
      </c>
      <c r="X17" s="69" t="s">
        <v>163</v>
      </c>
      <c r="Y17" s="69" t="s">
        <v>152</v>
      </c>
      <c r="Z17" s="69" t="s">
        <v>163</v>
      </c>
      <c r="AA17" s="69" t="s">
        <v>163</v>
      </c>
      <c r="AB17" s="69" t="s">
        <v>163</v>
      </c>
      <c r="AC17" s="69" t="s">
        <v>163</v>
      </c>
      <c r="AD17" s="69" t="s">
        <v>163</v>
      </c>
      <c r="AE17" s="69" t="s">
        <v>163</v>
      </c>
      <c r="AF17" s="69" t="s">
        <v>152</v>
      </c>
      <c r="AG17" s="69" t="s">
        <v>163</v>
      </c>
      <c r="AH17" s="69" t="s">
        <v>163</v>
      </c>
      <c r="AI17" s="69" t="s">
        <v>163</v>
      </c>
      <c r="AJ17" s="69" t="s">
        <v>163</v>
      </c>
      <c r="AK17" s="69" t="s">
        <v>163</v>
      </c>
      <c r="AL17" s="69" t="s">
        <v>163</v>
      </c>
      <c r="AM17" s="70">
        <f>SUMPRODUCT(IFERROR(VLOOKUP(H17:AL17,Schichten!$B$5:$G$20,6,FALSE()),0))</f>
        <v>0</v>
      </c>
      <c r="AN17" s="71">
        <f t="shared" si="0"/>
        <v>-43.3</v>
      </c>
      <c r="AO17" s="72">
        <f t="shared" si="1"/>
        <v>0</v>
      </c>
      <c r="AP17" s="72">
        <f t="shared" si="2"/>
        <v>0</v>
      </c>
    </row>
    <row r="18" spans="2:42" ht="21.75" customHeight="1" x14ac:dyDescent="0.25">
      <c r="B18" s="65" t="str">
        <f>Mitarbeiter!B15</f>
        <v>M011</v>
      </c>
      <c r="C18" s="66" t="str">
        <f>Mitarbeiter!C15&amp;" "&amp;Mitarbeiter!D15</f>
        <v>Emilia Sommer</v>
      </c>
      <c r="D18" s="67" t="str">
        <f>Mitarbeiter!E15</f>
        <v>Servicekraft</v>
      </c>
      <c r="E18" s="67" t="str">
        <f>Mitarbeiter!F15</f>
        <v>Service</v>
      </c>
      <c r="F18" s="65" t="str">
        <f>Mitarbeiter!G15</f>
        <v>Teilzeit</v>
      </c>
      <c r="G18" s="68">
        <f>Mitarbeiter!H15</f>
        <v>30</v>
      </c>
      <c r="H18" s="69" t="s">
        <v>135</v>
      </c>
      <c r="I18" s="69" t="s">
        <v>131</v>
      </c>
      <c r="J18" s="69" t="s">
        <v>126</v>
      </c>
      <c r="K18" s="69" t="s">
        <v>163</v>
      </c>
      <c r="L18" s="69" t="s">
        <v>163</v>
      </c>
      <c r="M18" s="69" t="s">
        <v>126</v>
      </c>
      <c r="N18" s="69" t="s">
        <v>135</v>
      </c>
      <c r="O18" s="69" t="s">
        <v>131</v>
      </c>
      <c r="P18" s="69" t="s">
        <v>131</v>
      </c>
      <c r="Q18" s="69" t="s">
        <v>163</v>
      </c>
      <c r="R18" s="69" t="s">
        <v>163</v>
      </c>
      <c r="S18" s="69" t="s">
        <v>163</v>
      </c>
      <c r="T18" s="69" t="s">
        <v>135</v>
      </c>
      <c r="U18" s="69" t="s">
        <v>131</v>
      </c>
      <c r="V18" s="69" t="s">
        <v>131</v>
      </c>
      <c r="W18" s="69" t="s">
        <v>131</v>
      </c>
      <c r="X18" s="69" t="s">
        <v>163</v>
      </c>
      <c r="Y18" s="69" t="s">
        <v>163</v>
      </c>
      <c r="Z18" s="69" t="s">
        <v>163</v>
      </c>
      <c r="AA18" s="69" t="s">
        <v>126</v>
      </c>
      <c r="AB18" s="69" t="s">
        <v>131</v>
      </c>
      <c r="AC18" s="69" t="s">
        <v>160</v>
      </c>
      <c r="AD18" s="69" t="s">
        <v>131</v>
      </c>
      <c r="AE18" s="69" t="s">
        <v>135</v>
      </c>
      <c r="AF18" s="69" t="s">
        <v>163</v>
      </c>
      <c r="AG18" s="69" t="s">
        <v>163</v>
      </c>
      <c r="AH18" s="69" t="s">
        <v>135</v>
      </c>
      <c r="AI18" s="69" t="s">
        <v>126</v>
      </c>
      <c r="AJ18" s="69" t="s">
        <v>126</v>
      </c>
      <c r="AK18" s="69" t="s">
        <v>135</v>
      </c>
      <c r="AL18" s="69" t="s">
        <v>163</v>
      </c>
      <c r="AM18" s="70">
        <f>SUMPRODUCT(IFERROR(VLOOKUP(H18:AL18,Schichten!$B$5:$G$20,6,FALSE()),0))</f>
        <v>0</v>
      </c>
      <c r="AN18" s="71">
        <f t="shared" si="0"/>
        <v>-129.9</v>
      </c>
      <c r="AO18" s="72">
        <f t="shared" si="1"/>
        <v>0</v>
      </c>
      <c r="AP18" s="72">
        <f t="shared" si="2"/>
        <v>1</v>
      </c>
    </row>
    <row r="19" spans="2:42" ht="21.75" customHeight="1" x14ac:dyDescent="0.25">
      <c r="B19" s="65" t="str">
        <f>Mitarbeiter!B16</f>
        <v>M012</v>
      </c>
      <c r="C19" s="66" t="str">
        <f>Mitarbeiter!C16&amp;" "&amp;Mitarbeiter!D16</f>
        <v>Jonas Weiß</v>
      </c>
      <c r="D19" s="67" t="str">
        <f>Mitarbeiter!E16</f>
        <v>Aushilfe Küche</v>
      </c>
      <c r="E19" s="67" t="str">
        <f>Mitarbeiter!F16</f>
        <v>Küche</v>
      </c>
      <c r="F19" s="65" t="str">
        <f>Mitarbeiter!G16</f>
        <v>Aushilfe</v>
      </c>
      <c r="G19" s="68">
        <f>Mitarbeiter!H16</f>
        <v>15</v>
      </c>
      <c r="H19" s="69" t="s">
        <v>152</v>
      </c>
      <c r="I19" s="69" t="s">
        <v>163</v>
      </c>
      <c r="J19" s="69" t="s">
        <v>152</v>
      </c>
      <c r="K19" s="69" t="s">
        <v>163</v>
      </c>
      <c r="L19" s="69" t="s">
        <v>163</v>
      </c>
      <c r="M19" s="69" t="s">
        <v>152</v>
      </c>
      <c r="N19" s="69" t="s">
        <v>163</v>
      </c>
      <c r="O19" s="69" t="s">
        <v>152</v>
      </c>
      <c r="P19" s="69" t="s">
        <v>163</v>
      </c>
      <c r="Q19" s="69" t="s">
        <v>163</v>
      </c>
      <c r="R19" s="69" t="s">
        <v>163</v>
      </c>
      <c r="S19" s="69" t="s">
        <v>163</v>
      </c>
      <c r="T19" s="69" t="s">
        <v>152</v>
      </c>
      <c r="U19" s="69" t="s">
        <v>163</v>
      </c>
      <c r="V19" s="69" t="s">
        <v>152</v>
      </c>
      <c r="W19" s="69" t="s">
        <v>163</v>
      </c>
      <c r="X19" s="69" t="s">
        <v>163</v>
      </c>
      <c r="Y19" s="69" t="s">
        <v>163</v>
      </c>
      <c r="Z19" s="69" t="s">
        <v>163</v>
      </c>
      <c r="AA19" s="69" t="s">
        <v>152</v>
      </c>
      <c r="AB19" s="69" t="s">
        <v>163</v>
      </c>
      <c r="AC19" s="69" t="s">
        <v>152</v>
      </c>
      <c r="AD19" s="69" t="s">
        <v>163</v>
      </c>
      <c r="AE19" s="69" t="s">
        <v>163</v>
      </c>
      <c r="AF19" s="69" t="s">
        <v>163</v>
      </c>
      <c r="AG19" s="69" t="s">
        <v>163</v>
      </c>
      <c r="AH19" s="69" t="s">
        <v>152</v>
      </c>
      <c r="AI19" s="69" t="s">
        <v>163</v>
      </c>
      <c r="AJ19" s="69" t="s">
        <v>152</v>
      </c>
      <c r="AK19" s="69" t="s">
        <v>163</v>
      </c>
      <c r="AL19" s="69" t="s">
        <v>163</v>
      </c>
      <c r="AM19" s="70">
        <f>SUMPRODUCT(IFERROR(VLOOKUP(H19:AL19,Schichten!$B$5:$G$20,6,FALSE()),0))</f>
        <v>0</v>
      </c>
      <c r="AN19" s="71">
        <f t="shared" si="0"/>
        <v>-64.95</v>
      </c>
      <c r="AO19" s="72">
        <f t="shared" si="1"/>
        <v>0</v>
      </c>
      <c r="AP19" s="72">
        <f t="shared" si="2"/>
        <v>0</v>
      </c>
    </row>
    <row r="21" spans="2:42" ht="15" customHeight="1" x14ac:dyDescent="0.25">
      <c r="B21" s="107" t="s">
        <v>188</v>
      </c>
      <c r="C21" s="107"/>
      <c r="D21" s="107"/>
      <c r="E21" s="107"/>
      <c r="F21" s="107"/>
      <c r="G21" s="107"/>
      <c r="H21" s="73">
        <f t="shared" ref="H21:AL21" si="3">COUNTIFS(H8:H19,"&lt;&gt;U",H8:H19,"&lt;&gt;K",H8:H19,"&lt;&gt;FR",H8:H19,"&lt;&gt;X",H8:H19,"&lt;&gt;")</f>
        <v>10</v>
      </c>
      <c r="I21" s="73">
        <f t="shared" si="3"/>
        <v>11</v>
      </c>
      <c r="J21" s="73">
        <f t="shared" si="3"/>
        <v>9</v>
      </c>
      <c r="K21" s="73">
        <f t="shared" si="3"/>
        <v>4</v>
      </c>
      <c r="L21" s="73">
        <f t="shared" si="3"/>
        <v>2</v>
      </c>
      <c r="M21" s="73">
        <f t="shared" si="3"/>
        <v>6</v>
      </c>
      <c r="N21" s="73">
        <f t="shared" si="3"/>
        <v>6</v>
      </c>
      <c r="O21" s="73">
        <f t="shared" si="3"/>
        <v>9</v>
      </c>
      <c r="P21" s="73">
        <f t="shared" si="3"/>
        <v>8</v>
      </c>
      <c r="Q21" s="73">
        <f t="shared" si="3"/>
        <v>3</v>
      </c>
      <c r="R21" s="73">
        <f t="shared" si="3"/>
        <v>4</v>
      </c>
      <c r="S21" s="73">
        <f t="shared" si="3"/>
        <v>3</v>
      </c>
      <c r="T21" s="73">
        <f t="shared" si="3"/>
        <v>7</v>
      </c>
      <c r="U21" s="73">
        <f t="shared" si="3"/>
        <v>7</v>
      </c>
      <c r="V21" s="73">
        <f t="shared" si="3"/>
        <v>9</v>
      </c>
      <c r="W21" s="73">
        <f t="shared" si="3"/>
        <v>8</v>
      </c>
      <c r="X21" s="73">
        <f t="shared" si="3"/>
        <v>4</v>
      </c>
      <c r="Y21" s="73">
        <f t="shared" si="3"/>
        <v>4</v>
      </c>
      <c r="Z21" s="73">
        <f t="shared" si="3"/>
        <v>3</v>
      </c>
      <c r="AA21" s="73">
        <f t="shared" si="3"/>
        <v>6</v>
      </c>
      <c r="AB21" s="73">
        <f t="shared" si="3"/>
        <v>6</v>
      </c>
      <c r="AC21" s="73">
        <f t="shared" si="3"/>
        <v>8</v>
      </c>
      <c r="AD21" s="73">
        <f t="shared" si="3"/>
        <v>8</v>
      </c>
      <c r="AE21" s="73">
        <f t="shared" si="3"/>
        <v>4</v>
      </c>
      <c r="AF21" s="73">
        <f t="shared" si="3"/>
        <v>4</v>
      </c>
      <c r="AG21" s="73">
        <f t="shared" si="3"/>
        <v>2</v>
      </c>
      <c r="AH21" s="73">
        <f t="shared" si="3"/>
        <v>6</v>
      </c>
      <c r="AI21" s="73">
        <f t="shared" si="3"/>
        <v>7</v>
      </c>
      <c r="AJ21" s="73">
        <f t="shared" si="3"/>
        <v>9</v>
      </c>
      <c r="AK21" s="73">
        <f t="shared" si="3"/>
        <v>8</v>
      </c>
      <c r="AL21" s="73">
        <f t="shared" si="3"/>
        <v>3</v>
      </c>
      <c r="AM21" s="74">
        <f>SUM(AM8:AM19)</f>
        <v>0</v>
      </c>
      <c r="AN21" s="73"/>
      <c r="AO21" s="75">
        <f>SUM(AO8:AO19)</f>
        <v>18</v>
      </c>
      <c r="AP21" s="75">
        <f>SUM(AP8:AP19)</f>
        <v>3</v>
      </c>
    </row>
    <row r="22" spans="2:42" ht="15" customHeight="1" x14ac:dyDescent="0.25">
      <c r="B22" s="107" t="s">
        <v>189</v>
      </c>
      <c r="C22" s="107"/>
      <c r="D22" s="107"/>
      <c r="E22" s="107"/>
      <c r="F22" s="107"/>
      <c r="G22" s="107"/>
      <c r="H22" s="76">
        <f>SUMPRODUCT(IFERROR(VLOOKUP(H8:H19,Schichten!$B$5:$G$20,6,FALSE()),0))</f>
        <v>0</v>
      </c>
      <c r="I22" s="76">
        <f>SUMPRODUCT(IFERROR(VLOOKUP(I8:I19,Schichten!$B$5:$G$20,6,FALSE()),0))</f>
        <v>0</v>
      </c>
      <c r="J22" s="76">
        <f>SUMPRODUCT(IFERROR(VLOOKUP(J8:J19,Schichten!$B$5:$G$20,6,FALSE()),0))</f>
        <v>0</v>
      </c>
      <c r="K22" s="76">
        <f>SUMPRODUCT(IFERROR(VLOOKUP(K8:K19,Schichten!$B$5:$G$20,6,FALSE()),0))</f>
        <v>0</v>
      </c>
      <c r="L22" s="76">
        <f>SUMPRODUCT(IFERROR(VLOOKUP(L8:L19,Schichten!$B$5:$G$20,6,FALSE()),0))</f>
        <v>0</v>
      </c>
      <c r="M22" s="76">
        <f>SUMPRODUCT(IFERROR(VLOOKUP(M8:M19,Schichten!$B$5:$G$20,6,FALSE()),0))</f>
        <v>0</v>
      </c>
      <c r="N22" s="76">
        <f>SUMPRODUCT(IFERROR(VLOOKUP(N8:N19,Schichten!$B$5:$G$20,6,FALSE()),0))</f>
        <v>0</v>
      </c>
      <c r="O22" s="76">
        <f>SUMPRODUCT(IFERROR(VLOOKUP(O8:O19,Schichten!$B$5:$G$20,6,FALSE()),0))</f>
        <v>0</v>
      </c>
      <c r="P22" s="76">
        <f>SUMPRODUCT(IFERROR(VLOOKUP(P8:P19,Schichten!$B$5:$G$20,6,FALSE()),0))</f>
        <v>0</v>
      </c>
      <c r="Q22" s="76">
        <f>SUMPRODUCT(IFERROR(VLOOKUP(Q8:Q19,Schichten!$B$5:$G$20,6,FALSE()),0))</f>
        <v>0</v>
      </c>
      <c r="R22" s="76">
        <f>SUMPRODUCT(IFERROR(VLOOKUP(R8:R19,Schichten!$B$5:$G$20,6,FALSE()),0))</f>
        <v>0</v>
      </c>
      <c r="S22" s="76">
        <f>SUMPRODUCT(IFERROR(VLOOKUP(S8:S19,Schichten!$B$5:$G$20,6,FALSE()),0))</f>
        <v>0</v>
      </c>
      <c r="T22" s="76">
        <f>SUMPRODUCT(IFERROR(VLOOKUP(T8:T19,Schichten!$B$5:$G$20,6,FALSE()),0))</f>
        <v>0</v>
      </c>
      <c r="U22" s="76">
        <f>SUMPRODUCT(IFERROR(VLOOKUP(U8:U19,Schichten!$B$5:$G$20,6,FALSE()),0))</f>
        <v>0</v>
      </c>
      <c r="V22" s="76">
        <f>SUMPRODUCT(IFERROR(VLOOKUP(V8:V19,Schichten!$B$5:$G$20,6,FALSE()),0))</f>
        <v>0</v>
      </c>
      <c r="W22" s="76">
        <f>SUMPRODUCT(IFERROR(VLOOKUP(W8:W19,Schichten!$B$5:$G$20,6,FALSE()),0))</f>
        <v>0</v>
      </c>
      <c r="X22" s="76">
        <f>SUMPRODUCT(IFERROR(VLOOKUP(X8:X19,Schichten!$B$5:$G$20,6,FALSE()),0))</f>
        <v>0</v>
      </c>
      <c r="Y22" s="76">
        <f>SUMPRODUCT(IFERROR(VLOOKUP(Y8:Y19,Schichten!$B$5:$G$20,6,FALSE()),0))</f>
        <v>0</v>
      </c>
      <c r="Z22" s="76">
        <f>SUMPRODUCT(IFERROR(VLOOKUP(Z8:Z19,Schichten!$B$5:$G$20,6,FALSE()),0))</f>
        <v>0</v>
      </c>
      <c r="AA22" s="76">
        <f>SUMPRODUCT(IFERROR(VLOOKUP(AA8:AA19,Schichten!$B$5:$G$20,6,FALSE()),0))</f>
        <v>0</v>
      </c>
      <c r="AB22" s="76">
        <f>SUMPRODUCT(IFERROR(VLOOKUP(AB8:AB19,Schichten!$B$5:$G$20,6,FALSE()),0))</f>
        <v>0</v>
      </c>
      <c r="AC22" s="76">
        <f>SUMPRODUCT(IFERROR(VLOOKUP(AC8:AC19,Schichten!$B$5:$G$20,6,FALSE()),0))</f>
        <v>0</v>
      </c>
      <c r="AD22" s="76">
        <f>SUMPRODUCT(IFERROR(VLOOKUP(AD8:AD19,Schichten!$B$5:$G$20,6,FALSE()),0))</f>
        <v>0</v>
      </c>
      <c r="AE22" s="76">
        <f>SUMPRODUCT(IFERROR(VLOOKUP(AE8:AE19,Schichten!$B$5:$G$20,6,FALSE()),0))</f>
        <v>0</v>
      </c>
      <c r="AF22" s="76">
        <f>SUMPRODUCT(IFERROR(VLOOKUP(AF8:AF19,Schichten!$B$5:$G$20,6,FALSE()),0))</f>
        <v>0</v>
      </c>
      <c r="AG22" s="76">
        <f>SUMPRODUCT(IFERROR(VLOOKUP(AG8:AG19,Schichten!$B$5:$G$20,6,FALSE()),0))</f>
        <v>0</v>
      </c>
      <c r="AH22" s="76">
        <f>SUMPRODUCT(IFERROR(VLOOKUP(AH8:AH19,Schichten!$B$5:$G$20,6,FALSE()),0))</f>
        <v>0</v>
      </c>
      <c r="AI22" s="76">
        <f>SUMPRODUCT(IFERROR(VLOOKUP(AI8:AI19,Schichten!$B$5:$G$20,6,FALSE()),0))</f>
        <v>0</v>
      </c>
      <c r="AJ22" s="76">
        <f>SUMPRODUCT(IFERROR(VLOOKUP(AJ8:AJ19,Schichten!$B$5:$G$20,6,FALSE()),0))</f>
        <v>0</v>
      </c>
      <c r="AK22" s="76">
        <f>SUMPRODUCT(IFERROR(VLOOKUP(AK8:AK19,Schichten!$B$5:$G$20,6,FALSE()),0))</f>
        <v>0</v>
      </c>
      <c r="AL22" s="76">
        <f>SUMPRODUCT(IFERROR(VLOOKUP(AL8:AL19,Schichten!$B$5:$G$20,6,FALSE()),0))</f>
        <v>0</v>
      </c>
    </row>
    <row r="25" spans="2:42" ht="15" customHeight="1" x14ac:dyDescent="0.25">
      <c r="B25" s="12" t="s">
        <v>190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42" ht="15" customHeight="1" x14ac:dyDescent="0.25">
      <c r="B26" s="77" t="s">
        <v>126</v>
      </c>
      <c r="C26" s="78" t="s">
        <v>127</v>
      </c>
      <c r="D26" s="79" t="s">
        <v>131</v>
      </c>
      <c r="E26" s="78" t="s">
        <v>132</v>
      </c>
      <c r="F26" s="80" t="s">
        <v>135</v>
      </c>
      <c r="G26" s="78" t="s">
        <v>136</v>
      </c>
      <c r="H26" s="81" t="s">
        <v>138</v>
      </c>
      <c r="I26" s="78" t="s">
        <v>139</v>
      </c>
      <c r="J26" s="82" t="s">
        <v>143</v>
      </c>
      <c r="K26" s="78" t="s">
        <v>144</v>
      </c>
      <c r="L26" s="83" t="s">
        <v>148</v>
      </c>
      <c r="M26" s="78" t="s">
        <v>149</v>
      </c>
    </row>
    <row r="27" spans="2:42" ht="15" customHeight="1" x14ac:dyDescent="0.25">
      <c r="B27" s="84" t="s">
        <v>152</v>
      </c>
      <c r="C27" s="78" t="s">
        <v>153</v>
      </c>
      <c r="D27" s="85" t="s">
        <v>156</v>
      </c>
      <c r="E27" s="78" t="s">
        <v>157</v>
      </c>
      <c r="F27" s="86" t="s">
        <v>160</v>
      </c>
      <c r="G27" s="78" t="s">
        <v>161</v>
      </c>
      <c r="H27" s="87" t="s">
        <v>163</v>
      </c>
      <c r="I27" s="78" t="s">
        <v>164</v>
      </c>
      <c r="J27" s="88" t="s">
        <v>166</v>
      </c>
      <c r="K27" s="78" t="s">
        <v>167</v>
      </c>
    </row>
  </sheetData>
  <mergeCells count="11">
    <mergeCell ref="AM5:AP5"/>
    <mergeCell ref="B21:G21"/>
    <mergeCell ref="B22:G22"/>
    <mergeCell ref="B25:M25"/>
    <mergeCell ref="L2:O2"/>
    <mergeCell ref="B2:F2"/>
    <mergeCell ref="I2:J2"/>
    <mergeCell ref="B3:F3"/>
    <mergeCell ref="H3:M3"/>
    <mergeCell ref="B5:G5"/>
    <mergeCell ref="H5:AL5"/>
  </mergeCells>
  <dataValidations count="2">
    <dataValidation type="list" error="Bitte Monat 1-12 wählen" prompt="Monat als Zahl 1-12" sqref="I2" xr:uid="{00000000-0002-0000-0300-000000000000}">
      <formula1>"1,2,3,4,5,6,7,8,9,10,11,12"</formula1>
      <formula2>0</formula2>
    </dataValidation>
    <dataValidation type="list" allowBlank="1" promptTitle="Schicht zuweisen" prompt="Schichtcode wählen oder eintragen" sqref="H8:AL19" xr:uid="{00000000-0002-0000-0300-000001000000}">
      <formula1>"F,M,S,A,G,B,V,U,K,FR,X"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D7D31"/>
  </sheetPr>
  <dimension ref="B2:R81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2" customWidth="1"/>
    <col min="3" max="3" width="18" customWidth="1"/>
    <col min="4" max="15" width="8" customWidth="1"/>
    <col min="16" max="18" width="12" customWidth="1"/>
  </cols>
  <sheetData>
    <row r="2" spans="2:18" ht="27.75" customHeight="1" x14ac:dyDescent="0.25">
      <c r="B2" s="105" t="s">
        <v>191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2:18" ht="15" customHeight="1" x14ac:dyDescent="0.25">
      <c r="B3" s="106" t="s">
        <v>192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5" spans="2:18" ht="21.75" customHeight="1" x14ac:dyDescent="0.25">
      <c r="B5" s="12" t="s">
        <v>177</v>
      </c>
      <c r="C5" s="12"/>
      <c r="D5" s="12" t="s">
        <v>193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194</v>
      </c>
      <c r="Q5" s="12"/>
      <c r="R5" s="12"/>
    </row>
    <row r="6" spans="2:18" ht="21.75" customHeight="1" x14ac:dyDescent="0.25">
      <c r="B6" s="89" t="s">
        <v>180</v>
      </c>
      <c r="C6" s="89" t="s">
        <v>181</v>
      </c>
      <c r="D6" s="89" t="s">
        <v>195</v>
      </c>
      <c r="E6" s="89" t="s">
        <v>196</v>
      </c>
      <c r="F6" s="89" t="s">
        <v>197</v>
      </c>
      <c r="G6" s="89" t="s">
        <v>198</v>
      </c>
      <c r="H6" s="89" t="s">
        <v>40</v>
      </c>
      <c r="I6" s="89" t="s">
        <v>199</v>
      </c>
      <c r="J6" s="89" t="s">
        <v>200</v>
      </c>
      <c r="K6" s="89" t="s">
        <v>201</v>
      </c>
      <c r="L6" s="89" t="s">
        <v>202</v>
      </c>
      <c r="M6" s="89" t="s">
        <v>203</v>
      </c>
      <c r="N6" s="89" t="s">
        <v>204</v>
      </c>
      <c r="O6" s="89" t="s">
        <v>205</v>
      </c>
      <c r="P6" s="89" t="s">
        <v>206</v>
      </c>
      <c r="Q6" s="89" t="s">
        <v>207</v>
      </c>
      <c r="R6" s="89" t="s">
        <v>208</v>
      </c>
    </row>
    <row r="7" spans="2:18" ht="15" customHeight="1" x14ac:dyDescent="0.25">
      <c r="B7" s="65" t="str">
        <f>Mitarbeiter!B5</f>
        <v>M001</v>
      </c>
      <c r="C7" s="66" t="str">
        <f>Mitarbeiter!C5&amp;" "&amp;Mitarbeiter!D5</f>
        <v>Lena Hoffmann</v>
      </c>
      <c r="D7" s="90">
        <v>166.8</v>
      </c>
      <c r="E7" s="90">
        <v>156.69999999999999</v>
      </c>
      <c r="F7" s="90">
        <v>169.3</v>
      </c>
      <c r="G7" s="90">
        <v>168.4</v>
      </c>
      <c r="H7" s="90">
        <v>186.2</v>
      </c>
      <c r="I7" s="90">
        <v>193.9</v>
      </c>
      <c r="J7" s="90">
        <v>198</v>
      </c>
      <c r="K7" s="90">
        <v>182.7</v>
      </c>
      <c r="L7" s="90">
        <v>171.8</v>
      </c>
      <c r="M7" s="90">
        <v>165.1</v>
      </c>
      <c r="N7" s="90">
        <v>165</v>
      </c>
      <c r="O7" s="90">
        <v>182</v>
      </c>
      <c r="P7" s="91">
        <f t="shared" ref="P7:P50" si="0">SUM(D7:O7)</f>
        <v>2105.9</v>
      </c>
      <c r="Q7" s="92">
        <f>Mitarbeiter!H5*52</f>
        <v>2080</v>
      </c>
      <c r="R7" s="93">
        <f t="shared" ref="R7:R18" si="1">IFERROR(P7/Q7,0)</f>
        <v>1.0124519230769231</v>
      </c>
    </row>
    <row r="8" spans="2:18" ht="15" customHeight="1" x14ac:dyDescent="0.25">
      <c r="B8" s="65" t="str">
        <f>Mitarbeiter!B6</f>
        <v>M002</v>
      </c>
      <c r="C8" s="66" t="str">
        <f>Mitarbeiter!C6&amp;" "&amp;Mitarbeiter!D6</f>
        <v>Tobias Bergmann</v>
      </c>
      <c r="D8" s="90">
        <v>156.69999999999999</v>
      </c>
      <c r="E8" s="90">
        <v>159.6</v>
      </c>
      <c r="F8" s="90">
        <v>175.8</v>
      </c>
      <c r="G8" s="90">
        <v>174</v>
      </c>
      <c r="H8" s="90">
        <v>176.8</v>
      </c>
      <c r="I8" s="90">
        <v>192.2</v>
      </c>
      <c r="J8" s="90">
        <v>196.4</v>
      </c>
      <c r="K8" s="90">
        <v>181.1</v>
      </c>
      <c r="L8" s="90">
        <v>178.5</v>
      </c>
      <c r="M8" s="90">
        <v>176.6</v>
      </c>
      <c r="N8" s="90">
        <v>167</v>
      </c>
      <c r="O8" s="90">
        <v>175.6</v>
      </c>
      <c r="P8" s="91">
        <f t="shared" si="0"/>
        <v>2110.2999999999997</v>
      </c>
      <c r="Q8" s="92">
        <f>Mitarbeiter!H6*52</f>
        <v>2080</v>
      </c>
      <c r="R8" s="93">
        <f t="shared" si="1"/>
        <v>1.0145673076923076</v>
      </c>
    </row>
    <row r="9" spans="2:18" ht="15" customHeight="1" x14ac:dyDescent="0.25">
      <c r="B9" s="65" t="str">
        <f>Mitarbeiter!B7</f>
        <v>M003</v>
      </c>
      <c r="C9" s="66" t="str">
        <f>Mitarbeiter!C7&amp;" "&amp;Mitarbeiter!D7</f>
        <v>Sophia Wagner</v>
      </c>
      <c r="D9" s="90">
        <v>172.1</v>
      </c>
      <c r="E9" s="90">
        <v>161.9</v>
      </c>
      <c r="F9" s="90">
        <v>166.1</v>
      </c>
      <c r="G9" s="90">
        <v>166.2</v>
      </c>
      <c r="H9" s="90">
        <v>188.2</v>
      </c>
      <c r="I9" s="90">
        <v>192.5</v>
      </c>
      <c r="J9" s="90">
        <v>196.4</v>
      </c>
      <c r="K9" s="90">
        <v>194.9</v>
      </c>
      <c r="L9" s="90">
        <v>173.8</v>
      </c>
      <c r="M9" s="90">
        <v>181.4</v>
      </c>
      <c r="N9" s="90">
        <v>167.7</v>
      </c>
      <c r="O9" s="90">
        <v>182.8</v>
      </c>
      <c r="P9" s="91">
        <f t="shared" si="0"/>
        <v>2144.0000000000005</v>
      </c>
      <c r="Q9" s="92">
        <f>Mitarbeiter!H7*52</f>
        <v>2080</v>
      </c>
      <c r="R9" s="93">
        <f t="shared" si="1"/>
        <v>1.0307692307692309</v>
      </c>
    </row>
    <row r="10" spans="2:18" ht="15" customHeight="1" x14ac:dyDescent="0.25">
      <c r="B10" s="65" t="str">
        <f>Mitarbeiter!B8</f>
        <v>M004</v>
      </c>
      <c r="C10" s="66" t="str">
        <f>Mitarbeiter!C8&amp;" "&amp;Mitarbeiter!D8</f>
        <v>Marco Schäfer</v>
      </c>
      <c r="D10" s="90">
        <v>170</v>
      </c>
      <c r="E10" s="90">
        <v>166.5</v>
      </c>
      <c r="F10" s="90">
        <v>179.5</v>
      </c>
      <c r="G10" s="90">
        <v>174.5</v>
      </c>
      <c r="H10" s="90">
        <v>185.6</v>
      </c>
      <c r="I10" s="90">
        <v>181.9</v>
      </c>
      <c r="J10" s="90">
        <v>185.3</v>
      </c>
      <c r="K10" s="90">
        <v>186.5</v>
      </c>
      <c r="L10" s="90">
        <v>165.9</v>
      </c>
      <c r="M10" s="90">
        <v>168.6</v>
      </c>
      <c r="N10" s="90">
        <v>163</v>
      </c>
      <c r="O10" s="90">
        <v>177.8</v>
      </c>
      <c r="P10" s="91">
        <f t="shared" si="0"/>
        <v>2105.1</v>
      </c>
      <c r="Q10" s="92">
        <f>Mitarbeiter!H8*52</f>
        <v>2080</v>
      </c>
      <c r="R10" s="93">
        <f t="shared" si="1"/>
        <v>1.0120673076923077</v>
      </c>
    </row>
    <row r="11" spans="2:18" ht="15" customHeight="1" x14ac:dyDescent="0.25">
      <c r="B11" s="65" t="str">
        <f>Mitarbeiter!B9</f>
        <v>M005</v>
      </c>
      <c r="C11" s="66" t="str">
        <f>Mitarbeiter!C9&amp;" "&amp;Mitarbeiter!D9</f>
        <v>Julia Klein</v>
      </c>
      <c r="D11" s="90">
        <v>104.2</v>
      </c>
      <c r="E11" s="90">
        <v>101.4</v>
      </c>
      <c r="F11" s="90">
        <v>106.8</v>
      </c>
      <c r="G11" s="90">
        <v>105.1</v>
      </c>
      <c r="H11" s="90">
        <v>111</v>
      </c>
      <c r="I11" s="90">
        <v>124.3</v>
      </c>
      <c r="J11" s="90">
        <v>120.8</v>
      </c>
      <c r="K11" s="90">
        <v>120.4</v>
      </c>
      <c r="L11" s="90">
        <v>104.7</v>
      </c>
      <c r="M11" s="90">
        <v>110.7</v>
      </c>
      <c r="N11" s="90">
        <v>102.5</v>
      </c>
      <c r="O11" s="90">
        <v>112.3</v>
      </c>
      <c r="P11" s="91">
        <f t="shared" si="0"/>
        <v>1324.1999999999998</v>
      </c>
      <c r="Q11" s="92">
        <f>Mitarbeiter!H9*52</f>
        <v>1300</v>
      </c>
      <c r="R11" s="93">
        <f t="shared" si="1"/>
        <v>1.0186153846153845</v>
      </c>
    </row>
    <row r="12" spans="2:18" ht="15" customHeight="1" x14ac:dyDescent="0.25">
      <c r="B12" s="65" t="str">
        <f>Mitarbeiter!B10</f>
        <v>M006</v>
      </c>
      <c r="C12" s="66" t="str">
        <f>Mitarbeiter!C10&amp;" "&amp;Mitarbeiter!D10</f>
        <v>David Becker</v>
      </c>
      <c r="D12" s="90">
        <v>172.6</v>
      </c>
      <c r="E12" s="90">
        <v>166.8</v>
      </c>
      <c r="F12" s="90">
        <v>174.2</v>
      </c>
      <c r="G12" s="90">
        <v>176.4</v>
      </c>
      <c r="H12" s="90">
        <v>188.1</v>
      </c>
      <c r="I12" s="90">
        <v>195.8</v>
      </c>
      <c r="J12" s="90">
        <v>185.4</v>
      </c>
      <c r="K12" s="90">
        <v>181.6</v>
      </c>
      <c r="L12" s="90">
        <v>170</v>
      </c>
      <c r="M12" s="90">
        <v>169.2</v>
      </c>
      <c r="N12" s="90">
        <v>164.8</v>
      </c>
      <c r="O12" s="90">
        <v>189.9</v>
      </c>
      <c r="P12" s="91">
        <f t="shared" si="0"/>
        <v>2134.7999999999997</v>
      </c>
      <c r="Q12" s="92">
        <f>Mitarbeiter!H10*52</f>
        <v>2080</v>
      </c>
      <c r="R12" s="93">
        <f t="shared" si="1"/>
        <v>1.0263461538461538</v>
      </c>
    </row>
    <row r="13" spans="2:18" ht="15" customHeight="1" x14ac:dyDescent="0.25">
      <c r="B13" s="65" t="str">
        <f>Mitarbeiter!B11</f>
        <v>M007</v>
      </c>
      <c r="C13" s="66" t="str">
        <f>Mitarbeiter!C11&amp;" "&amp;Mitarbeiter!D11</f>
        <v>Anna Vogel</v>
      </c>
      <c r="D13" s="90">
        <v>85.4</v>
      </c>
      <c r="E13" s="90">
        <v>80.7</v>
      </c>
      <c r="F13" s="90">
        <v>87.9</v>
      </c>
      <c r="G13" s="90">
        <v>85.7</v>
      </c>
      <c r="H13" s="90">
        <v>94.7</v>
      </c>
      <c r="I13" s="90">
        <v>94.9</v>
      </c>
      <c r="J13" s="90">
        <v>93</v>
      </c>
      <c r="K13" s="90">
        <v>92.8</v>
      </c>
      <c r="L13" s="90">
        <v>87.1</v>
      </c>
      <c r="M13" s="90">
        <v>84.5</v>
      </c>
      <c r="N13" s="90">
        <v>85.6</v>
      </c>
      <c r="O13" s="90">
        <v>94.5</v>
      </c>
      <c r="P13" s="91">
        <f t="shared" si="0"/>
        <v>1066.8000000000002</v>
      </c>
      <c r="Q13" s="92">
        <f>Mitarbeiter!H11*52</f>
        <v>1040</v>
      </c>
      <c r="R13" s="93">
        <f t="shared" si="1"/>
        <v>1.025769230769231</v>
      </c>
    </row>
    <row r="14" spans="2:18" ht="15" customHeight="1" x14ac:dyDescent="0.25">
      <c r="B14" s="65" t="str">
        <f>Mitarbeiter!B12</f>
        <v>M008</v>
      </c>
      <c r="C14" s="66" t="str">
        <f>Mitarbeiter!C12&amp;" "&amp;Mitarbeiter!D12</f>
        <v>Felix Krüger</v>
      </c>
      <c r="D14" s="90">
        <v>162.9</v>
      </c>
      <c r="E14" s="90">
        <v>159.9</v>
      </c>
      <c r="F14" s="90">
        <v>181.8</v>
      </c>
      <c r="G14" s="90">
        <v>173.4</v>
      </c>
      <c r="H14" s="90">
        <v>174.4</v>
      </c>
      <c r="I14" s="90">
        <v>181.9</v>
      </c>
      <c r="J14" s="90">
        <v>183.1</v>
      </c>
      <c r="K14" s="90">
        <v>192.9</v>
      </c>
      <c r="L14" s="90">
        <v>178.3</v>
      </c>
      <c r="M14" s="90">
        <v>171.9</v>
      </c>
      <c r="N14" s="90">
        <v>162.30000000000001</v>
      </c>
      <c r="O14" s="90">
        <v>179.7</v>
      </c>
      <c r="P14" s="91">
        <f t="shared" si="0"/>
        <v>2102.5</v>
      </c>
      <c r="Q14" s="92">
        <f>Mitarbeiter!H12*52</f>
        <v>2080</v>
      </c>
      <c r="R14" s="93">
        <f t="shared" si="1"/>
        <v>1.0108173076923077</v>
      </c>
    </row>
    <row r="15" spans="2:18" ht="15" customHeight="1" x14ac:dyDescent="0.25">
      <c r="B15" s="65" t="str">
        <f>Mitarbeiter!B13</f>
        <v>M009</v>
      </c>
      <c r="C15" s="66" t="str">
        <f>Mitarbeiter!C13&amp;" "&amp;Mitarbeiter!D13</f>
        <v>Mia Frank</v>
      </c>
      <c r="D15" s="90">
        <v>39.5</v>
      </c>
      <c r="E15" s="90">
        <v>45.2</v>
      </c>
      <c r="F15" s="90">
        <v>42.8</v>
      </c>
      <c r="G15" s="90">
        <v>39.6</v>
      </c>
      <c r="H15" s="90">
        <v>41.4</v>
      </c>
      <c r="I15" s="90">
        <v>37.799999999999997</v>
      </c>
      <c r="J15" s="90">
        <v>46.8</v>
      </c>
      <c r="K15" s="90">
        <v>34.9</v>
      </c>
      <c r="L15" s="90">
        <v>33.4</v>
      </c>
      <c r="M15" s="90">
        <v>45.4</v>
      </c>
      <c r="N15" s="90">
        <v>41.4</v>
      </c>
      <c r="O15" s="90">
        <v>33</v>
      </c>
      <c r="P15" s="91">
        <f t="shared" si="0"/>
        <v>481.19999999999993</v>
      </c>
      <c r="Q15" s="92">
        <f>Mitarbeiter!H13*52</f>
        <v>520</v>
      </c>
      <c r="R15" s="93">
        <f t="shared" si="1"/>
        <v>0.92538461538461525</v>
      </c>
    </row>
    <row r="16" spans="2:18" ht="15" customHeight="1" x14ac:dyDescent="0.25">
      <c r="B16" s="65" t="str">
        <f>Mitarbeiter!B14</f>
        <v>M010</v>
      </c>
      <c r="C16" s="66" t="str">
        <f>Mitarbeiter!C14&amp;" "&amp;Mitarbeiter!D14</f>
        <v>Leon Huber</v>
      </c>
      <c r="D16" s="90">
        <v>39.700000000000003</v>
      </c>
      <c r="E16" s="90">
        <v>39.5</v>
      </c>
      <c r="F16" s="90">
        <v>35.9</v>
      </c>
      <c r="G16" s="90">
        <v>46.4</v>
      </c>
      <c r="H16" s="90">
        <v>44.7</v>
      </c>
      <c r="I16" s="90">
        <v>31.3</v>
      </c>
      <c r="J16" s="90">
        <v>46.7</v>
      </c>
      <c r="K16" s="90">
        <v>38.700000000000003</v>
      </c>
      <c r="L16" s="90">
        <v>43.5</v>
      </c>
      <c r="M16" s="90">
        <v>32.5</v>
      </c>
      <c r="N16" s="90">
        <v>39.799999999999997</v>
      </c>
      <c r="O16" s="90">
        <v>45.4</v>
      </c>
      <c r="P16" s="91">
        <f t="shared" si="0"/>
        <v>484.09999999999997</v>
      </c>
      <c r="Q16" s="92">
        <f>Mitarbeiter!H14*52</f>
        <v>520</v>
      </c>
      <c r="R16" s="93">
        <f t="shared" si="1"/>
        <v>0.9309615384615384</v>
      </c>
    </row>
    <row r="17" spans="2:18" ht="15" customHeight="1" x14ac:dyDescent="0.25">
      <c r="B17" s="65" t="str">
        <f>Mitarbeiter!B15</f>
        <v>M011</v>
      </c>
      <c r="C17" s="66" t="str">
        <f>Mitarbeiter!C15&amp;" "&amp;Mitarbeiter!D15</f>
        <v>Emilia Sommer</v>
      </c>
      <c r="D17" s="90">
        <v>122.5</v>
      </c>
      <c r="E17" s="90">
        <v>119.8</v>
      </c>
      <c r="F17" s="90">
        <v>130.4</v>
      </c>
      <c r="G17" s="90">
        <v>132.9</v>
      </c>
      <c r="H17" s="90">
        <v>132.30000000000001</v>
      </c>
      <c r="I17" s="90">
        <v>140.19999999999999</v>
      </c>
      <c r="J17" s="90">
        <v>150</v>
      </c>
      <c r="K17" s="90">
        <v>145</v>
      </c>
      <c r="L17" s="90">
        <v>129.1</v>
      </c>
      <c r="M17" s="90">
        <v>130.1</v>
      </c>
      <c r="N17" s="90">
        <v>122.5</v>
      </c>
      <c r="O17" s="90">
        <v>132.6</v>
      </c>
      <c r="P17" s="91">
        <f t="shared" si="0"/>
        <v>1587.3999999999999</v>
      </c>
      <c r="Q17" s="92">
        <f>Mitarbeiter!H15*52</f>
        <v>1560</v>
      </c>
      <c r="R17" s="93">
        <f t="shared" si="1"/>
        <v>1.0175641025641025</v>
      </c>
    </row>
    <row r="18" spans="2:18" ht="15" customHeight="1" x14ac:dyDescent="0.25">
      <c r="B18" s="65" t="str">
        <f>Mitarbeiter!B16</f>
        <v>M012</v>
      </c>
      <c r="C18" s="66" t="str">
        <f>Mitarbeiter!C16&amp;" "&amp;Mitarbeiter!D16</f>
        <v>Jonas Weiß</v>
      </c>
      <c r="D18" s="90">
        <v>60.7</v>
      </c>
      <c r="E18" s="90">
        <v>51.2</v>
      </c>
      <c r="F18" s="90">
        <v>61.9</v>
      </c>
      <c r="G18" s="90">
        <v>69</v>
      </c>
      <c r="H18" s="90">
        <v>47.3</v>
      </c>
      <c r="I18" s="90">
        <v>62.8</v>
      </c>
      <c r="J18" s="90">
        <v>48.9</v>
      </c>
      <c r="K18" s="90">
        <v>60.3</v>
      </c>
      <c r="L18" s="90">
        <v>65.8</v>
      </c>
      <c r="M18" s="90">
        <v>50.4</v>
      </c>
      <c r="N18" s="90">
        <v>56.7</v>
      </c>
      <c r="O18" s="90">
        <v>57.6</v>
      </c>
      <c r="P18" s="91">
        <f t="shared" si="0"/>
        <v>692.6</v>
      </c>
      <c r="Q18" s="92">
        <f>Mitarbeiter!H16*52</f>
        <v>780</v>
      </c>
      <c r="R18" s="93">
        <f t="shared" si="1"/>
        <v>0.88794871794871799</v>
      </c>
    </row>
    <row r="19" spans="2:18" ht="15" customHeight="1" x14ac:dyDescent="0.25">
      <c r="B19" s="65"/>
      <c r="C19" s="65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1">
        <f t="shared" si="0"/>
        <v>0</v>
      </c>
      <c r="Q19" s="94"/>
      <c r="R19" s="94"/>
    </row>
    <row r="20" spans="2:18" ht="15" customHeight="1" x14ac:dyDescent="0.25">
      <c r="B20" s="65"/>
      <c r="C20" s="65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1">
        <f t="shared" si="0"/>
        <v>0</v>
      </c>
      <c r="Q20" s="94"/>
      <c r="R20" s="94"/>
    </row>
    <row r="21" spans="2:18" ht="15" customHeight="1" x14ac:dyDescent="0.25">
      <c r="B21" s="65"/>
      <c r="C21" s="65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1">
        <f t="shared" si="0"/>
        <v>0</v>
      </c>
      <c r="Q21" s="94"/>
      <c r="R21" s="94"/>
    </row>
    <row r="22" spans="2:18" ht="15" customHeight="1" x14ac:dyDescent="0.25">
      <c r="B22" s="65"/>
      <c r="C22" s="65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1">
        <f t="shared" si="0"/>
        <v>0</v>
      </c>
      <c r="Q22" s="94"/>
      <c r="R22" s="94"/>
    </row>
    <row r="23" spans="2:18" ht="15" customHeight="1" x14ac:dyDescent="0.25">
      <c r="B23" s="65"/>
      <c r="C23" s="65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1">
        <f t="shared" si="0"/>
        <v>0</v>
      </c>
      <c r="Q23" s="94"/>
      <c r="R23" s="94"/>
    </row>
    <row r="24" spans="2:18" ht="15" customHeight="1" x14ac:dyDescent="0.25">
      <c r="B24" s="65"/>
      <c r="C24" s="65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1">
        <f t="shared" si="0"/>
        <v>0</v>
      </c>
      <c r="Q24" s="94"/>
      <c r="R24" s="94"/>
    </row>
    <row r="25" spans="2:18" ht="15" customHeight="1" x14ac:dyDescent="0.25">
      <c r="B25" s="65"/>
      <c r="C25" s="65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1">
        <f t="shared" si="0"/>
        <v>0</v>
      </c>
      <c r="Q25" s="94"/>
      <c r="R25" s="94"/>
    </row>
    <row r="26" spans="2:18" ht="15" customHeight="1" x14ac:dyDescent="0.25">
      <c r="B26" s="65"/>
      <c r="C26" s="65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1">
        <f t="shared" si="0"/>
        <v>0</v>
      </c>
      <c r="Q26" s="94"/>
      <c r="R26" s="94"/>
    </row>
    <row r="27" spans="2:18" ht="15" customHeight="1" x14ac:dyDescent="0.25">
      <c r="B27" s="65"/>
      <c r="C27" s="65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1">
        <f t="shared" si="0"/>
        <v>0</v>
      </c>
      <c r="Q27" s="94"/>
      <c r="R27" s="94"/>
    </row>
    <row r="28" spans="2:18" ht="15" customHeight="1" x14ac:dyDescent="0.25">
      <c r="B28" s="65"/>
      <c r="C28" s="65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1">
        <f t="shared" si="0"/>
        <v>0</v>
      </c>
      <c r="Q28" s="94"/>
      <c r="R28" s="94"/>
    </row>
    <row r="29" spans="2:18" ht="15" customHeight="1" x14ac:dyDescent="0.25">
      <c r="B29" s="65"/>
      <c r="C29" s="65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1">
        <f t="shared" si="0"/>
        <v>0</v>
      </c>
      <c r="Q29" s="94"/>
      <c r="R29" s="94"/>
    </row>
    <row r="30" spans="2:18" ht="15" customHeight="1" x14ac:dyDescent="0.25">
      <c r="B30" s="65"/>
      <c r="C30" s="65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1">
        <f t="shared" si="0"/>
        <v>0</v>
      </c>
      <c r="Q30" s="94"/>
      <c r="R30" s="94"/>
    </row>
    <row r="31" spans="2:18" ht="15" customHeight="1" x14ac:dyDescent="0.25">
      <c r="B31" s="65"/>
      <c r="C31" s="65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1">
        <f t="shared" si="0"/>
        <v>0</v>
      </c>
      <c r="Q31" s="94"/>
      <c r="R31" s="94"/>
    </row>
    <row r="32" spans="2:18" ht="15" customHeight="1" x14ac:dyDescent="0.25">
      <c r="B32" s="65"/>
      <c r="C32" s="65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1">
        <f t="shared" si="0"/>
        <v>0</v>
      </c>
      <c r="Q32" s="94"/>
      <c r="R32" s="94"/>
    </row>
    <row r="33" spans="2:18" ht="15" customHeight="1" x14ac:dyDescent="0.25">
      <c r="B33" s="65"/>
      <c r="C33" s="65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1">
        <f t="shared" si="0"/>
        <v>0</v>
      </c>
      <c r="Q33" s="94"/>
      <c r="R33" s="94"/>
    </row>
    <row r="34" spans="2:18" ht="15" customHeight="1" x14ac:dyDescent="0.25">
      <c r="B34" s="65"/>
      <c r="C34" s="65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1">
        <f t="shared" si="0"/>
        <v>0</v>
      </c>
      <c r="Q34" s="94"/>
      <c r="R34" s="94"/>
    </row>
    <row r="35" spans="2:18" ht="15" customHeight="1" x14ac:dyDescent="0.25">
      <c r="B35" s="65"/>
      <c r="C35" s="65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1">
        <f t="shared" si="0"/>
        <v>0</v>
      </c>
      <c r="Q35" s="94"/>
      <c r="R35" s="94"/>
    </row>
    <row r="36" spans="2:18" ht="15" customHeight="1" x14ac:dyDescent="0.25">
      <c r="B36" s="65"/>
      <c r="C36" s="65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1">
        <f t="shared" si="0"/>
        <v>0</v>
      </c>
      <c r="Q36" s="94"/>
      <c r="R36" s="94"/>
    </row>
    <row r="37" spans="2:18" ht="15" customHeight="1" x14ac:dyDescent="0.25">
      <c r="B37" s="65"/>
      <c r="C37" s="65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>
        <f t="shared" si="0"/>
        <v>0</v>
      </c>
      <c r="Q37" s="94"/>
      <c r="R37" s="94"/>
    </row>
    <row r="38" spans="2:18" ht="15" customHeight="1" x14ac:dyDescent="0.25">
      <c r="B38" s="65"/>
      <c r="C38" s="65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1">
        <f t="shared" si="0"/>
        <v>0</v>
      </c>
      <c r="Q38" s="94"/>
      <c r="R38" s="94"/>
    </row>
    <row r="39" spans="2:18" ht="15" customHeight="1" x14ac:dyDescent="0.25">
      <c r="B39" s="65"/>
      <c r="C39" s="65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>
        <f t="shared" si="0"/>
        <v>0</v>
      </c>
      <c r="Q39" s="94"/>
      <c r="R39" s="94"/>
    </row>
    <row r="40" spans="2:18" ht="15" customHeight="1" x14ac:dyDescent="0.25">
      <c r="B40" s="65"/>
      <c r="C40" s="65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1">
        <f t="shared" si="0"/>
        <v>0</v>
      </c>
      <c r="Q40" s="94"/>
      <c r="R40" s="94"/>
    </row>
    <row r="41" spans="2:18" ht="15" customHeight="1" x14ac:dyDescent="0.25">
      <c r="B41" s="65"/>
      <c r="C41" s="65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1">
        <f t="shared" si="0"/>
        <v>0</v>
      </c>
      <c r="Q41" s="94"/>
      <c r="R41" s="94"/>
    </row>
    <row r="42" spans="2:18" ht="15" customHeight="1" x14ac:dyDescent="0.25">
      <c r="B42" s="65"/>
      <c r="C42" s="65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1">
        <f t="shared" si="0"/>
        <v>0</v>
      </c>
      <c r="Q42" s="94"/>
      <c r="R42" s="94"/>
    </row>
    <row r="43" spans="2:18" ht="15" customHeight="1" x14ac:dyDescent="0.25">
      <c r="B43" s="65"/>
      <c r="C43" s="65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1">
        <f t="shared" si="0"/>
        <v>0</v>
      </c>
      <c r="Q43" s="94"/>
      <c r="R43" s="94"/>
    </row>
    <row r="44" spans="2:18" ht="15" customHeight="1" x14ac:dyDescent="0.25">
      <c r="B44" s="65"/>
      <c r="C44" s="65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1">
        <f t="shared" si="0"/>
        <v>0</v>
      </c>
      <c r="Q44" s="94"/>
      <c r="R44" s="94"/>
    </row>
    <row r="45" spans="2:18" ht="15" customHeight="1" x14ac:dyDescent="0.25">
      <c r="B45" s="65"/>
      <c r="C45" s="65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1">
        <f t="shared" si="0"/>
        <v>0</v>
      </c>
      <c r="Q45" s="94"/>
      <c r="R45" s="94"/>
    </row>
    <row r="46" spans="2:18" ht="15" customHeight="1" x14ac:dyDescent="0.25">
      <c r="B46" s="65"/>
      <c r="C46" s="65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1">
        <f t="shared" si="0"/>
        <v>0</v>
      </c>
      <c r="Q46" s="94"/>
      <c r="R46" s="94"/>
    </row>
    <row r="47" spans="2:18" ht="15" customHeight="1" x14ac:dyDescent="0.25">
      <c r="B47" s="65"/>
      <c r="C47" s="65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1">
        <f t="shared" si="0"/>
        <v>0</v>
      </c>
      <c r="Q47" s="94"/>
      <c r="R47" s="94"/>
    </row>
    <row r="48" spans="2:18" ht="15" customHeight="1" x14ac:dyDescent="0.25">
      <c r="B48" s="65"/>
      <c r="C48" s="65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1">
        <f t="shared" si="0"/>
        <v>0</v>
      </c>
      <c r="Q48" s="94"/>
      <c r="R48" s="94"/>
    </row>
    <row r="49" spans="2:18" ht="15" customHeight="1" x14ac:dyDescent="0.25">
      <c r="B49" s="65"/>
      <c r="C49" s="65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1">
        <f t="shared" si="0"/>
        <v>0</v>
      </c>
      <c r="Q49" s="94"/>
      <c r="R49" s="94"/>
    </row>
    <row r="50" spans="2:18" ht="15" customHeight="1" x14ac:dyDescent="0.25">
      <c r="B50" s="65"/>
      <c r="C50" s="65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1">
        <f t="shared" si="0"/>
        <v>0</v>
      </c>
      <c r="Q50" s="94"/>
      <c r="R50" s="94"/>
    </row>
    <row r="51" spans="2:18" ht="15" customHeight="1" x14ac:dyDescent="0.25">
      <c r="B51" s="107" t="s">
        <v>48</v>
      </c>
      <c r="C51" s="107"/>
      <c r="D51" s="95">
        <f t="shared" ref="D51:Q51" si="2">SUM(D7:D50)</f>
        <v>1453.1000000000004</v>
      </c>
      <c r="E51" s="95">
        <f t="shared" si="2"/>
        <v>1409.2</v>
      </c>
      <c r="F51" s="95">
        <f t="shared" si="2"/>
        <v>1512.4000000000003</v>
      </c>
      <c r="G51" s="95">
        <f t="shared" si="2"/>
        <v>1511.6000000000001</v>
      </c>
      <c r="H51" s="95">
        <f t="shared" si="2"/>
        <v>1570.7000000000003</v>
      </c>
      <c r="I51" s="95">
        <f t="shared" si="2"/>
        <v>1629.5</v>
      </c>
      <c r="J51" s="95">
        <f t="shared" si="2"/>
        <v>1650.8</v>
      </c>
      <c r="K51" s="95">
        <f t="shared" si="2"/>
        <v>1611.8</v>
      </c>
      <c r="L51" s="95">
        <f t="shared" si="2"/>
        <v>1501.8999999999999</v>
      </c>
      <c r="M51" s="95">
        <f t="shared" si="2"/>
        <v>1486.4000000000003</v>
      </c>
      <c r="N51" s="95">
        <f t="shared" si="2"/>
        <v>1438.3000000000002</v>
      </c>
      <c r="O51" s="95">
        <f t="shared" si="2"/>
        <v>1563.2</v>
      </c>
      <c r="P51" s="96">
        <f t="shared" si="2"/>
        <v>18338.899999999998</v>
      </c>
      <c r="Q51" s="97">
        <f t="shared" si="2"/>
        <v>18200</v>
      </c>
      <c r="R51" s="98">
        <f>IFERROR(AVERAGE(R7:R50),0)</f>
        <v>0.99277190170940166</v>
      </c>
    </row>
    <row r="54" spans="2:18" ht="21.75" customHeight="1" x14ac:dyDescent="0.25">
      <c r="B54" s="111" t="s">
        <v>209</v>
      </c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</row>
    <row r="56" spans="2:18" ht="21.75" customHeight="1" x14ac:dyDescent="0.25">
      <c r="B56" s="12" t="s">
        <v>177</v>
      </c>
      <c r="C56" s="12"/>
      <c r="D56" s="12" t="s">
        <v>210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29" t="s">
        <v>211</v>
      </c>
      <c r="Q56" s="29" t="s">
        <v>212</v>
      </c>
      <c r="R56" s="29" t="s">
        <v>213</v>
      </c>
    </row>
    <row r="57" spans="2:18" ht="21.75" customHeight="1" x14ac:dyDescent="0.25">
      <c r="B57" s="89" t="s">
        <v>181</v>
      </c>
      <c r="C57" s="89" t="s">
        <v>214</v>
      </c>
      <c r="D57" s="89" t="s">
        <v>195</v>
      </c>
      <c r="E57" s="89" t="s">
        <v>196</v>
      </c>
      <c r="F57" s="89" t="s">
        <v>197</v>
      </c>
      <c r="G57" s="89" t="s">
        <v>198</v>
      </c>
      <c r="H57" s="89" t="s">
        <v>40</v>
      </c>
      <c r="I57" s="89" t="s">
        <v>199</v>
      </c>
      <c r="J57" s="89" t="s">
        <v>200</v>
      </c>
      <c r="K57" s="89" t="s">
        <v>201</v>
      </c>
      <c r="L57" s="89" t="s">
        <v>202</v>
      </c>
      <c r="M57" s="89" t="s">
        <v>203</v>
      </c>
      <c r="N57" s="89" t="s">
        <v>204</v>
      </c>
      <c r="O57" s="89" t="s">
        <v>205</v>
      </c>
      <c r="P57" s="89" t="s">
        <v>215</v>
      </c>
      <c r="Q57" s="89" t="s">
        <v>212</v>
      </c>
      <c r="R57" s="89" t="s">
        <v>213</v>
      </c>
    </row>
    <row r="58" spans="2:18" ht="15" customHeight="1" x14ac:dyDescent="0.25">
      <c r="B58" s="112" t="str">
        <f>Mitarbeiter!C5&amp;" "&amp;Mitarbeiter!D5</f>
        <v>Lena Hoffmann</v>
      </c>
      <c r="C58" s="99" t="s">
        <v>157</v>
      </c>
      <c r="D58" s="100"/>
      <c r="E58" s="100">
        <v>2</v>
      </c>
      <c r="F58" s="100"/>
      <c r="G58" s="100">
        <v>3</v>
      </c>
      <c r="H58" s="100">
        <v>2</v>
      </c>
      <c r="I58" s="100"/>
      <c r="J58" s="100"/>
      <c r="K58" s="100">
        <v>11</v>
      </c>
      <c r="L58" s="100">
        <v>2</v>
      </c>
      <c r="M58" s="100">
        <v>2</v>
      </c>
      <c r="N58" s="100"/>
      <c r="O58" s="100">
        <v>3</v>
      </c>
      <c r="P58" s="72">
        <f t="shared" ref="P58:P81" si="3">SUM(D58:O58)</f>
        <v>25</v>
      </c>
      <c r="Q58" s="72">
        <f>Mitarbeiter!J5</f>
        <v>30</v>
      </c>
      <c r="R58" s="72">
        <f>Q58-P58</f>
        <v>5</v>
      </c>
    </row>
    <row r="59" spans="2:18" ht="15" customHeight="1" x14ac:dyDescent="0.25">
      <c r="B59" s="112"/>
      <c r="C59" s="101" t="s">
        <v>161</v>
      </c>
      <c r="D59" s="100"/>
      <c r="E59" s="100"/>
      <c r="F59" s="100"/>
      <c r="G59" s="100"/>
      <c r="H59" s="100">
        <v>1</v>
      </c>
      <c r="I59" s="100"/>
      <c r="J59" s="100">
        <v>1</v>
      </c>
      <c r="K59" s="100"/>
      <c r="L59" s="100"/>
      <c r="M59" s="100"/>
      <c r="N59" s="100"/>
      <c r="O59" s="100"/>
      <c r="P59" s="72">
        <f t="shared" si="3"/>
        <v>2</v>
      </c>
      <c r="Q59" s="102" t="s">
        <v>158</v>
      </c>
      <c r="R59" s="102" t="s">
        <v>158</v>
      </c>
    </row>
    <row r="60" spans="2:18" ht="15" customHeight="1" x14ac:dyDescent="0.25">
      <c r="B60" s="112" t="str">
        <f>Mitarbeiter!C6&amp;" "&amp;Mitarbeiter!D6</f>
        <v>Tobias Bergmann</v>
      </c>
      <c r="C60" s="99" t="s">
        <v>157</v>
      </c>
      <c r="D60" s="100">
        <v>3</v>
      </c>
      <c r="E60" s="100">
        <v>1</v>
      </c>
      <c r="F60" s="100">
        <v>1</v>
      </c>
      <c r="G60" s="100"/>
      <c r="H60" s="100">
        <v>1</v>
      </c>
      <c r="I60" s="100">
        <v>2</v>
      </c>
      <c r="J60" s="100">
        <v>3</v>
      </c>
      <c r="K60" s="100">
        <v>8</v>
      </c>
      <c r="L60" s="100">
        <v>1</v>
      </c>
      <c r="M60" s="100">
        <v>2</v>
      </c>
      <c r="N60" s="100"/>
      <c r="O60" s="100">
        <v>3</v>
      </c>
      <c r="P60" s="72">
        <f t="shared" si="3"/>
        <v>25</v>
      </c>
      <c r="Q60" s="72">
        <f>Mitarbeiter!J6</f>
        <v>30</v>
      </c>
      <c r="R60" s="72">
        <f>Q60-P60</f>
        <v>5</v>
      </c>
    </row>
    <row r="61" spans="2:18" ht="15" customHeight="1" x14ac:dyDescent="0.25">
      <c r="B61" s="112"/>
      <c r="C61" s="101" t="s">
        <v>161</v>
      </c>
      <c r="D61" s="100"/>
      <c r="E61" s="100">
        <v>2</v>
      </c>
      <c r="F61" s="100"/>
      <c r="G61" s="100"/>
      <c r="H61" s="100"/>
      <c r="I61" s="100">
        <v>1</v>
      </c>
      <c r="J61" s="100"/>
      <c r="K61" s="100"/>
      <c r="L61" s="100"/>
      <c r="M61" s="100"/>
      <c r="N61" s="100">
        <v>1</v>
      </c>
      <c r="O61" s="100">
        <v>1</v>
      </c>
      <c r="P61" s="72">
        <f t="shared" si="3"/>
        <v>5</v>
      </c>
      <c r="Q61" s="102" t="s">
        <v>158</v>
      </c>
      <c r="R61" s="102" t="s">
        <v>158</v>
      </c>
    </row>
    <row r="62" spans="2:18" ht="15" customHeight="1" x14ac:dyDescent="0.25">
      <c r="B62" s="112" t="str">
        <f>Mitarbeiter!C7&amp;" "&amp;Mitarbeiter!D7</f>
        <v>Sophia Wagner</v>
      </c>
      <c r="C62" s="99" t="s">
        <v>157</v>
      </c>
      <c r="D62" s="100">
        <v>3</v>
      </c>
      <c r="E62" s="100">
        <v>2</v>
      </c>
      <c r="F62" s="100">
        <v>2</v>
      </c>
      <c r="G62" s="100">
        <v>1</v>
      </c>
      <c r="H62" s="100"/>
      <c r="I62" s="100">
        <v>1</v>
      </c>
      <c r="J62" s="100">
        <v>3</v>
      </c>
      <c r="K62" s="100">
        <v>4</v>
      </c>
      <c r="L62" s="100">
        <v>2</v>
      </c>
      <c r="M62" s="100">
        <v>3</v>
      </c>
      <c r="N62" s="100">
        <v>1</v>
      </c>
      <c r="O62" s="100">
        <v>2</v>
      </c>
      <c r="P62" s="72">
        <f t="shared" si="3"/>
        <v>24</v>
      </c>
      <c r="Q62" s="72">
        <f>Mitarbeiter!J7</f>
        <v>28</v>
      </c>
      <c r="R62" s="72">
        <f>Q62-P62</f>
        <v>4</v>
      </c>
    </row>
    <row r="63" spans="2:18" ht="15" customHeight="1" x14ac:dyDescent="0.25">
      <c r="B63" s="112"/>
      <c r="C63" s="101" t="s">
        <v>161</v>
      </c>
      <c r="D63" s="100"/>
      <c r="E63" s="100"/>
      <c r="F63" s="100">
        <v>1</v>
      </c>
      <c r="G63" s="100"/>
      <c r="H63" s="100"/>
      <c r="I63" s="100"/>
      <c r="J63" s="100"/>
      <c r="K63" s="100"/>
      <c r="L63" s="100">
        <v>1</v>
      </c>
      <c r="M63" s="100"/>
      <c r="N63" s="100">
        <v>2</v>
      </c>
      <c r="O63" s="100">
        <v>3</v>
      </c>
      <c r="P63" s="72">
        <f t="shared" si="3"/>
        <v>7</v>
      </c>
      <c r="Q63" s="102" t="s">
        <v>158</v>
      </c>
      <c r="R63" s="102" t="s">
        <v>158</v>
      </c>
    </row>
    <row r="64" spans="2:18" ht="15" customHeight="1" x14ac:dyDescent="0.25">
      <c r="B64" s="112" t="str">
        <f>Mitarbeiter!C8&amp;" "&amp;Mitarbeiter!D8</f>
        <v>Marco Schäfer</v>
      </c>
      <c r="C64" s="99" t="s">
        <v>157</v>
      </c>
      <c r="D64" s="100">
        <v>2</v>
      </c>
      <c r="E64" s="100"/>
      <c r="F64" s="100">
        <v>2</v>
      </c>
      <c r="G64" s="100">
        <v>2</v>
      </c>
      <c r="H64" s="100">
        <v>1</v>
      </c>
      <c r="I64" s="100">
        <v>2</v>
      </c>
      <c r="J64" s="100">
        <v>1</v>
      </c>
      <c r="K64" s="100">
        <v>5</v>
      </c>
      <c r="L64" s="100">
        <v>2</v>
      </c>
      <c r="M64" s="100">
        <v>2</v>
      </c>
      <c r="N64" s="100">
        <v>2</v>
      </c>
      <c r="O64" s="100">
        <v>2</v>
      </c>
      <c r="P64" s="72">
        <f t="shared" si="3"/>
        <v>23</v>
      </c>
      <c r="Q64" s="72">
        <f>Mitarbeiter!J8</f>
        <v>28</v>
      </c>
      <c r="R64" s="72">
        <f>Q64-P64</f>
        <v>5</v>
      </c>
    </row>
    <row r="65" spans="2:18" ht="15" customHeight="1" x14ac:dyDescent="0.25">
      <c r="B65" s="112"/>
      <c r="C65" s="101" t="s">
        <v>161</v>
      </c>
      <c r="D65" s="100"/>
      <c r="E65" s="100"/>
      <c r="F65" s="100"/>
      <c r="G65" s="100"/>
      <c r="H65" s="100"/>
      <c r="I65" s="100">
        <v>2</v>
      </c>
      <c r="J65" s="100"/>
      <c r="K65" s="100"/>
      <c r="L65" s="100"/>
      <c r="M65" s="100"/>
      <c r="N65" s="100">
        <v>1</v>
      </c>
      <c r="O65" s="100"/>
      <c r="P65" s="72">
        <f t="shared" si="3"/>
        <v>3</v>
      </c>
      <c r="Q65" s="102" t="s">
        <v>158</v>
      </c>
      <c r="R65" s="102" t="s">
        <v>158</v>
      </c>
    </row>
    <row r="66" spans="2:18" ht="15" customHeight="1" x14ac:dyDescent="0.25">
      <c r="B66" s="112" t="str">
        <f>Mitarbeiter!C9&amp;" "&amp;Mitarbeiter!D9</f>
        <v>Julia Klein</v>
      </c>
      <c r="C66" s="99" t="s">
        <v>157</v>
      </c>
      <c r="D66" s="100"/>
      <c r="E66" s="100">
        <v>2</v>
      </c>
      <c r="F66" s="100"/>
      <c r="G66" s="100">
        <v>2</v>
      </c>
      <c r="H66" s="100"/>
      <c r="I66" s="100">
        <v>1</v>
      </c>
      <c r="J66" s="100">
        <v>1</v>
      </c>
      <c r="K66" s="100">
        <v>6</v>
      </c>
      <c r="L66" s="100"/>
      <c r="M66" s="100">
        <v>2</v>
      </c>
      <c r="N66" s="100">
        <v>1</v>
      </c>
      <c r="O66" s="100">
        <v>3</v>
      </c>
      <c r="P66" s="72">
        <f t="shared" si="3"/>
        <v>18</v>
      </c>
      <c r="Q66" s="72">
        <f>Mitarbeiter!J9</f>
        <v>20</v>
      </c>
      <c r="R66" s="72">
        <f>Q66-P66</f>
        <v>2</v>
      </c>
    </row>
    <row r="67" spans="2:18" ht="15" customHeight="1" x14ac:dyDescent="0.25">
      <c r="B67" s="112"/>
      <c r="C67" s="101" t="s">
        <v>161</v>
      </c>
      <c r="D67" s="100"/>
      <c r="E67" s="100">
        <v>1</v>
      </c>
      <c r="F67" s="100">
        <v>2</v>
      </c>
      <c r="G67" s="100">
        <v>1</v>
      </c>
      <c r="H67" s="100"/>
      <c r="I67" s="100"/>
      <c r="J67" s="100"/>
      <c r="K67" s="100"/>
      <c r="L67" s="100"/>
      <c r="M67" s="100"/>
      <c r="N67" s="100">
        <v>2</v>
      </c>
      <c r="O67" s="100"/>
      <c r="P67" s="72">
        <f t="shared" si="3"/>
        <v>6</v>
      </c>
      <c r="Q67" s="102" t="s">
        <v>158</v>
      </c>
      <c r="R67" s="102" t="s">
        <v>158</v>
      </c>
    </row>
    <row r="68" spans="2:18" ht="15" customHeight="1" x14ac:dyDescent="0.25">
      <c r="B68" s="112" t="str">
        <f>Mitarbeiter!C10&amp;" "&amp;Mitarbeiter!D10</f>
        <v>David Becker</v>
      </c>
      <c r="C68" s="99" t="s">
        <v>157</v>
      </c>
      <c r="D68" s="100">
        <v>3</v>
      </c>
      <c r="E68" s="100">
        <v>2</v>
      </c>
      <c r="F68" s="100">
        <v>1</v>
      </c>
      <c r="G68" s="100">
        <v>1</v>
      </c>
      <c r="H68" s="100">
        <v>1</v>
      </c>
      <c r="I68" s="100">
        <v>2</v>
      </c>
      <c r="J68" s="100">
        <v>1</v>
      </c>
      <c r="K68" s="100">
        <v>5</v>
      </c>
      <c r="L68" s="100">
        <v>1</v>
      </c>
      <c r="M68" s="100">
        <v>3</v>
      </c>
      <c r="N68" s="100"/>
      <c r="O68" s="100">
        <v>2</v>
      </c>
      <c r="P68" s="72">
        <f t="shared" si="3"/>
        <v>22</v>
      </c>
      <c r="Q68" s="72">
        <f>Mitarbeiter!J10</f>
        <v>28</v>
      </c>
      <c r="R68" s="72">
        <f>Q68-P68</f>
        <v>6</v>
      </c>
    </row>
    <row r="69" spans="2:18" ht="15" customHeight="1" x14ac:dyDescent="0.25">
      <c r="B69" s="112"/>
      <c r="C69" s="101" t="s">
        <v>161</v>
      </c>
      <c r="D69" s="100">
        <v>2</v>
      </c>
      <c r="E69" s="100"/>
      <c r="F69" s="100"/>
      <c r="G69" s="100"/>
      <c r="H69" s="100"/>
      <c r="I69" s="100"/>
      <c r="J69" s="100">
        <v>1</v>
      </c>
      <c r="K69" s="100"/>
      <c r="L69" s="100">
        <v>2</v>
      </c>
      <c r="M69" s="100"/>
      <c r="N69" s="100"/>
      <c r="O69" s="100">
        <v>1</v>
      </c>
      <c r="P69" s="72">
        <f t="shared" si="3"/>
        <v>6</v>
      </c>
      <c r="Q69" s="102" t="s">
        <v>158</v>
      </c>
      <c r="R69" s="102" t="s">
        <v>158</v>
      </c>
    </row>
    <row r="70" spans="2:18" ht="15" customHeight="1" x14ac:dyDescent="0.25">
      <c r="B70" s="112" t="str">
        <f>Mitarbeiter!C11&amp;" "&amp;Mitarbeiter!D11</f>
        <v>Anna Vogel</v>
      </c>
      <c r="C70" s="99" t="s">
        <v>157</v>
      </c>
      <c r="D70" s="100"/>
      <c r="E70" s="100">
        <v>1</v>
      </c>
      <c r="F70" s="100">
        <v>1</v>
      </c>
      <c r="G70" s="100">
        <v>1</v>
      </c>
      <c r="H70" s="100">
        <v>1</v>
      </c>
      <c r="I70" s="100"/>
      <c r="J70" s="100">
        <v>2</v>
      </c>
      <c r="K70" s="100">
        <v>5</v>
      </c>
      <c r="L70" s="100">
        <v>1</v>
      </c>
      <c r="M70" s="100">
        <v>2</v>
      </c>
      <c r="N70" s="100">
        <v>1</v>
      </c>
      <c r="O70" s="100">
        <v>1</v>
      </c>
      <c r="P70" s="72">
        <f t="shared" si="3"/>
        <v>16</v>
      </c>
      <c r="Q70" s="72">
        <f>Mitarbeiter!J11</f>
        <v>18</v>
      </c>
      <c r="R70" s="72">
        <f>Q70-P70</f>
        <v>2</v>
      </c>
    </row>
    <row r="71" spans="2:18" ht="15" customHeight="1" x14ac:dyDescent="0.25">
      <c r="B71" s="112"/>
      <c r="C71" s="101" t="s">
        <v>161</v>
      </c>
      <c r="D71" s="100"/>
      <c r="E71" s="100"/>
      <c r="F71" s="100"/>
      <c r="G71" s="100"/>
      <c r="H71" s="100"/>
      <c r="I71" s="100">
        <v>1</v>
      </c>
      <c r="J71" s="100"/>
      <c r="K71" s="100"/>
      <c r="L71" s="100"/>
      <c r="M71" s="100">
        <v>2</v>
      </c>
      <c r="N71" s="100">
        <v>2</v>
      </c>
      <c r="O71" s="100"/>
      <c r="P71" s="72">
        <f t="shared" si="3"/>
        <v>5</v>
      </c>
      <c r="Q71" s="102" t="s">
        <v>158</v>
      </c>
      <c r="R71" s="102" t="s">
        <v>158</v>
      </c>
    </row>
    <row r="72" spans="2:18" ht="15" customHeight="1" x14ac:dyDescent="0.25">
      <c r="B72" s="112" t="str">
        <f>Mitarbeiter!C12&amp;" "&amp;Mitarbeiter!D12</f>
        <v>Felix Krüger</v>
      </c>
      <c r="C72" s="99" t="s">
        <v>157</v>
      </c>
      <c r="D72" s="100">
        <v>3</v>
      </c>
      <c r="E72" s="100">
        <v>1</v>
      </c>
      <c r="F72" s="100"/>
      <c r="G72" s="100">
        <v>1</v>
      </c>
      <c r="H72" s="100"/>
      <c r="I72" s="100">
        <v>1</v>
      </c>
      <c r="J72" s="100">
        <v>3</v>
      </c>
      <c r="K72" s="100">
        <v>8</v>
      </c>
      <c r="L72" s="100">
        <v>1</v>
      </c>
      <c r="M72" s="100">
        <v>3</v>
      </c>
      <c r="N72" s="100">
        <v>1</v>
      </c>
      <c r="O72" s="100">
        <v>3</v>
      </c>
      <c r="P72" s="72">
        <f t="shared" si="3"/>
        <v>25</v>
      </c>
      <c r="Q72" s="72">
        <f>Mitarbeiter!J12</f>
        <v>28</v>
      </c>
      <c r="R72" s="72">
        <f>Q72-P72</f>
        <v>3</v>
      </c>
    </row>
    <row r="73" spans="2:18" ht="15" customHeight="1" x14ac:dyDescent="0.25">
      <c r="B73" s="112"/>
      <c r="C73" s="101" t="s">
        <v>161</v>
      </c>
      <c r="D73" s="100"/>
      <c r="E73" s="100"/>
      <c r="F73" s="100"/>
      <c r="G73" s="100"/>
      <c r="H73" s="100">
        <v>1</v>
      </c>
      <c r="I73" s="100">
        <v>1</v>
      </c>
      <c r="J73" s="100"/>
      <c r="K73" s="100">
        <v>1</v>
      </c>
      <c r="L73" s="100">
        <v>1</v>
      </c>
      <c r="M73" s="100">
        <v>1</v>
      </c>
      <c r="N73" s="100">
        <v>1</v>
      </c>
      <c r="O73" s="100"/>
      <c r="P73" s="72">
        <f t="shared" si="3"/>
        <v>6</v>
      </c>
      <c r="Q73" s="102" t="s">
        <v>158</v>
      </c>
      <c r="R73" s="102" t="s">
        <v>158</v>
      </c>
    </row>
    <row r="74" spans="2:18" ht="15" customHeight="1" x14ac:dyDescent="0.25">
      <c r="B74" s="112" t="str">
        <f>Mitarbeiter!C13&amp;" "&amp;Mitarbeiter!D13</f>
        <v>Mia Frank</v>
      </c>
      <c r="C74" s="99" t="s">
        <v>157</v>
      </c>
      <c r="D74" s="100">
        <v>1</v>
      </c>
      <c r="E74" s="100">
        <v>1</v>
      </c>
      <c r="F74" s="100"/>
      <c r="G74" s="100"/>
      <c r="H74" s="100"/>
      <c r="I74" s="100"/>
      <c r="J74" s="100">
        <v>1</v>
      </c>
      <c r="K74" s="100">
        <v>2</v>
      </c>
      <c r="L74" s="100">
        <v>1</v>
      </c>
      <c r="M74" s="100"/>
      <c r="N74" s="100"/>
      <c r="O74" s="100">
        <v>1</v>
      </c>
      <c r="P74" s="72">
        <f t="shared" si="3"/>
        <v>7</v>
      </c>
      <c r="Q74" s="72">
        <f>Mitarbeiter!J13</f>
        <v>8</v>
      </c>
      <c r="R74" s="72">
        <f>Q74-P74</f>
        <v>1</v>
      </c>
    </row>
    <row r="75" spans="2:18" ht="15" customHeight="1" x14ac:dyDescent="0.25">
      <c r="B75" s="112"/>
      <c r="C75" s="101" t="s">
        <v>161</v>
      </c>
      <c r="D75" s="100">
        <v>1</v>
      </c>
      <c r="E75" s="100"/>
      <c r="F75" s="100"/>
      <c r="G75" s="100">
        <v>1</v>
      </c>
      <c r="H75" s="100"/>
      <c r="I75" s="100">
        <v>2</v>
      </c>
      <c r="J75" s="100"/>
      <c r="K75" s="100"/>
      <c r="L75" s="100"/>
      <c r="M75" s="100">
        <v>1</v>
      </c>
      <c r="N75" s="100"/>
      <c r="O75" s="100"/>
      <c r="P75" s="72">
        <f t="shared" si="3"/>
        <v>5</v>
      </c>
      <c r="Q75" s="102" t="s">
        <v>158</v>
      </c>
      <c r="R75" s="102" t="s">
        <v>158</v>
      </c>
    </row>
    <row r="76" spans="2:18" ht="15" customHeight="1" x14ac:dyDescent="0.25">
      <c r="B76" s="112" t="str">
        <f>Mitarbeiter!C14&amp;" "&amp;Mitarbeiter!D14</f>
        <v>Leon Huber</v>
      </c>
      <c r="C76" s="99" t="s">
        <v>157</v>
      </c>
      <c r="D76" s="100">
        <v>1</v>
      </c>
      <c r="E76" s="100"/>
      <c r="F76" s="100">
        <v>1</v>
      </c>
      <c r="G76" s="100"/>
      <c r="H76" s="100">
        <v>1</v>
      </c>
      <c r="I76" s="100">
        <v>1</v>
      </c>
      <c r="J76" s="100"/>
      <c r="K76" s="100">
        <v>2</v>
      </c>
      <c r="L76" s="100"/>
      <c r="M76" s="100">
        <v>1</v>
      </c>
      <c r="N76" s="100">
        <v>1</v>
      </c>
      <c r="O76" s="100">
        <v>1</v>
      </c>
      <c r="P76" s="72">
        <f t="shared" si="3"/>
        <v>9</v>
      </c>
      <c r="Q76" s="72">
        <f>Mitarbeiter!J14</f>
        <v>8</v>
      </c>
      <c r="R76" s="72">
        <f>Q76-P76</f>
        <v>-1</v>
      </c>
    </row>
    <row r="77" spans="2:18" ht="15" customHeight="1" x14ac:dyDescent="0.25">
      <c r="B77" s="112"/>
      <c r="C77" s="101" t="s">
        <v>161</v>
      </c>
      <c r="D77" s="100"/>
      <c r="E77" s="100"/>
      <c r="F77" s="100">
        <v>2</v>
      </c>
      <c r="G77" s="100"/>
      <c r="H77" s="100"/>
      <c r="I77" s="100"/>
      <c r="J77" s="100"/>
      <c r="K77" s="100"/>
      <c r="L77" s="100"/>
      <c r="M77" s="100"/>
      <c r="N77" s="100"/>
      <c r="O77" s="100">
        <v>2</v>
      </c>
      <c r="P77" s="72">
        <f t="shared" si="3"/>
        <v>4</v>
      </c>
      <c r="Q77" s="102" t="s">
        <v>158</v>
      </c>
      <c r="R77" s="102" t="s">
        <v>158</v>
      </c>
    </row>
    <row r="78" spans="2:18" ht="15" customHeight="1" x14ac:dyDescent="0.25">
      <c r="B78" s="112" t="str">
        <f>Mitarbeiter!C15&amp;" "&amp;Mitarbeiter!D15</f>
        <v>Emilia Sommer</v>
      </c>
      <c r="C78" s="99" t="s">
        <v>157</v>
      </c>
      <c r="D78" s="100">
        <v>1</v>
      </c>
      <c r="E78" s="100">
        <v>1</v>
      </c>
      <c r="F78" s="100"/>
      <c r="G78" s="100">
        <v>1</v>
      </c>
      <c r="H78" s="100"/>
      <c r="I78" s="100"/>
      <c r="J78" s="100">
        <v>2</v>
      </c>
      <c r="K78" s="100">
        <v>8</v>
      </c>
      <c r="L78" s="100">
        <v>1</v>
      </c>
      <c r="M78" s="100">
        <v>2</v>
      </c>
      <c r="N78" s="100"/>
      <c r="O78" s="100">
        <v>3</v>
      </c>
      <c r="P78" s="72">
        <f t="shared" si="3"/>
        <v>19</v>
      </c>
      <c r="Q78" s="72">
        <f>Mitarbeiter!J15</f>
        <v>22</v>
      </c>
      <c r="R78" s="72">
        <f>Q78-P78</f>
        <v>3</v>
      </c>
    </row>
    <row r="79" spans="2:18" ht="15" customHeight="1" x14ac:dyDescent="0.25">
      <c r="B79" s="112"/>
      <c r="C79" s="101" t="s">
        <v>161</v>
      </c>
      <c r="D79" s="100">
        <v>3</v>
      </c>
      <c r="E79" s="100"/>
      <c r="F79" s="100">
        <v>1</v>
      </c>
      <c r="G79" s="100">
        <v>1</v>
      </c>
      <c r="H79" s="100"/>
      <c r="I79" s="100">
        <v>1</v>
      </c>
      <c r="J79" s="100"/>
      <c r="K79" s="100">
        <v>1</v>
      </c>
      <c r="L79" s="100">
        <v>1</v>
      </c>
      <c r="M79" s="100"/>
      <c r="N79" s="100"/>
      <c r="O79" s="100"/>
      <c r="P79" s="72">
        <f t="shared" si="3"/>
        <v>8</v>
      </c>
      <c r="Q79" s="102" t="s">
        <v>158</v>
      </c>
      <c r="R79" s="102" t="s">
        <v>158</v>
      </c>
    </row>
    <row r="80" spans="2:18" ht="15" customHeight="1" x14ac:dyDescent="0.25">
      <c r="B80" s="112" t="str">
        <f>Mitarbeiter!C16&amp;" "&amp;Mitarbeiter!D16</f>
        <v>Jonas Weiß</v>
      </c>
      <c r="C80" s="99" t="s">
        <v>157</v>
      </c>
      <c r="D80" s="100"/>
      <c r="E80" s="100">
        <v>1</v>
      </c>
      <c r="F80" s="100">
        <v>1</v>
      </c>
      <c r="G80" s="100"/>
      <c r="H80" s="100"/>
      <c r="I80" s="100">
        <v>1</v>
      </c>
      <c r="J80" s="100">
        <v>1</v>
      </c>
      <c r="K80" s="100">
        <v>3</v>
      </c>
      <c r="L80" s="100">
        <v>1</v>
      </c>
      <c r="M80" s="100">
        <v>1</v>
      </c>
      <c r="N80" s="100">
        <v>1</v>
      </c>
      <c r="O80" s="100">
        <v>1</v>
      </c>
      <c r="P80" s="72">
        <f t="shared" si="3"/>
        <v>11</v>
      </c>
      <c r="Q80" s="72">
        <f>Mitarbeiter!J16</f>
        <v>12</v>
      </c>
      <c r="R80" s="72">
        <f>Q80-P80</f>
        <v>1</v>
      </c>
    </row>
    <row r="81" spans="2:18" ht="15" customHeight="1" x14ac:dyDescent="0.25">
      <c r="B81" s="112"/>
      <c r="C81" s="101" t="s">
        <v>161</v>
      </c>
      <c r="D81" s="100">
        <v>1</v>
      </c>
      <c r="E81" s="100"/>
      <c r="F81" s="100"/>
      <c r="G81" s="100"/>
      <c r="H81" s="100"/>
      <c r="I81" s="100"/>
      <c r="J81" s="100">
        <v>1</v>
      </c>
      <c r="K81" s="100">
        <v>1</v>
      </c>
      <c r="L81" s="100"/>
      <c r="M81" s="100">
        <v>1</v>
      </c>
      <c r="N81" s="100"/>
      <c r="O81" s="100"/>
      <c r="P81" s="72">
        <f t="shared" si="3"/>
        <v>4</v>
      </c>
      <c r="Q81" s="102" t="s">
        <v>158</v>
      </c>
      <c r="R81" s="102" t="s">
        <v>158</v>
      </c>
    </row>
  </sheetData>
  <mergeCells count="21">
    <mergeCell ref="B80:B81"/>
    <mergeCell ref="B70:B71"/>
    <mergeCell ref="B72:B73"/>
    <mergeCell ref="B74:B75"/>
    <mergeCell ref="B76:B77"/>
    <mergeCell ref="B78:B79"/>
    <mergeCell ref="B60:B61"/>
    <mergeCell ref="B62:B63"/>
    <mergeCell ref="B64:B65"/>
    <mergeCell ref="B66:B67"/>
    <mergeCell ref="B68:B69"/>
    <mergeCell ref="B51:C51"/>
    <mergeCell ref="B54:R54"/>
    <mergeCell ref="B56:C56"/>
    <mergeCell ref="D56:O56"/>
    <mergeCell ref="B58:B59"/>
    <mergeCell ref="B2:R2"/>
    <mergeCell ref="B3:R3"/>
    <mergeCell ref="B5:C5"/>
    <mergeCell ref="D5:O5"/>
    <mergeCell ref="P5:R5"/>
  </mergeCells>
  <conditionalFormatting sqref="R7:R50">
    <cfRule type="colorScale" priority="2">
      <colorScale>
        <cfvo type="num" val="0.5"/>
        <cfvo type="num" val="0.9"/>
        <cfvo type="num" val="1.1000000000000001"/>
        <color rgb="FFF8696B"/>
        <color rgb="FFFFEB84"/>
        <color rgb="FF63BE7B"/>
      </colorScale>
    </cfRule>
  </conditionalFormatting>
  <conditionalFormatting sqref="R58:R81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5A5A5"/>
  </sheetPr>
  <dimension ref="B2:F31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6" customWidth="1"/>
    <col min="3" max="4" width="14" customWidth="1"/>
    <col min="5" max="5" width="26" customWidth="1"/>
    <col min="6" max="6" width="38" customWidth="1"/>
  </cols>
  <sheetData>
    <row r="2" spans="2:6" ht="27.75" customHeight="1" x14ac:dyDescent="0.25">
      <c r="B2" s="105" t="s">
        <v>216</v>
      </c>
      <c r="C2" s="105"/>
      <c r="D2" s="105"/>
      <c r="E2" s="105"/>
      <c r="F2" s="105"/>
    </row>
    <row r="3" spans="2:6" ht="15" customHeight="1" x14ac:dyDescent="0.25">
      <c r="B3" s="106" t="s">
        <v>217</v>
      </c>
      <c r="C3" s="106"/>
      <c r="D3" s="106"/>
      <c r="E3" s="106"/>
      <c r="F3" s="106"/>
    </row>
    <row r="4" spans="2:6" ht="27.75" customHeight="1" x14ac:dyDescent="0.25">
      <c r="B4" s="29" t="s">
        <v>218</v>
      </c>
      <c r="C4" s="29" t="s">
        <v>219</v>
      </c>
      <c r="D4" s="29" t="s">
        <v>220</v>
      </c>
      <c r="E4" s="29" t="s">
        <v>221</v>
      </c>
      <c r="F4" s="29" t="s">
        <v>222</v>
      </c>
    </row>
    <row r="5" spans="2:6" ht="15" customHeight="1" x14ac:dyDescent="0.25">
      <c r="B5" s="65">
        <v>1</v>
      </c>
      <c r="C5" s="103">
        <v>46023</v>
      </c>
      <c r="D5" s="65" t="s">
        <v>223</v>
      </c>
      <c r="E5" s="104" t="s">
        <v>224</v>
      </c>
      <c r="F5" s="67" t="s">
        <v>225</v>
      </c>
    </row>
    <row r="6" spans="2:6" ht="15" customHeight="1" x14ac:dyDescent="0.25">
      <c r="B6" s="65">
        <v>2</v>
      </c>
      <c r="C6" s="103">
        <v>46028</v>
      </c>
      <c r="D6" s="65" t="s">
        <v>226</v>
      </c>
      <c r="E6" s="104" t="s">
        <v>227</v>
      </c>
      <c r="F6" s="67" t="s">
        <v>228</v>
      </c>
    </row>
    <row r="7" spans="2:6" ht="15" customHeight="1" x14ac:dyDescent="0.25">
      <c r="B7" s="65">
        <v>3</v>
      </c>
      <c r="C7" s="103">
        <v>46115</v>
      </c>
      <c r="D7" s="65" t="s">
        <v>229</v>
      </c>
      <c r="E7" s="104" t="s">
        <v>230</v>
      </c>
      <c r="F7" s="67" t="s">
        <v>225</v>
      </c>
    </row>
    <row r="8" spans="2:6" ht="15" customHeight="1" x14ac:dyDescent="0.25">
      <c r="B8" s="65">
        <v>4</v>
      </c>
      <c r="C8" s="103">
        <v>46117</v>
      </c>
      <c r="D8" s="65" t="s">
        <v>231</v>
      </c>
      <c r="E8" s="104" t="s">
        <v>232</v>
      </c>
      <c r="F8" s="67" t="s">
        <v>233</v>
      </c>
    </row>
    <row r="9" spans="2:6" ht="15" customHeight="1" x14ac:dyDescent="0.25">
      <c r="B9" s="65">
        <v>5</v>
      </c>
      <c r="C9" s="103">
        <v>46118</v>
      </c>
      <c r="D9" s="65" t="s">
        <v>234</v>
      </c>
      <c r="E9" s="104" t="s">
        <v>235</v>
      </c>
      <c r="F9" s="67" t="s">
        <v>225</v>
      </c>
    </row>
    <row r="10" spans="2:6" ht="15" customHeight="1" x14ac:dyDescent="0.25">
      <c r="B10" s="65">
        <v>6</v>
      </c>
      <c r="C10" s="103">
        <v>46143</v>
      </c>
      <c r="D10" s="65" t="s">
        <v>229</v>
      </c>
      <c r="E10" s="104" t="s">
        <v>236</v>
      </c>
      <c r="F10" s="67" t="s">
        <v>225</v>
      </c>
    </row>
    <row r="11" spans="2:6" ht="15" customHeight="1" x14ac:dyDescent="0.25">
      <c r="B11" s="65">
        <v>7</v>
      </c>
      <c r="C11" s="103">
        <v>46156</v>
      </c>
      <c r="D11" s="65" t="s">
        <v>223</v>
      </c>
      <c r="E11" s="104" t="s">
        <v>237</v>
      </c>
      <c r="F11" s="67" t="s">
        <v>225</v>
      </c>
    </row>
    <row r="12" spans="2:6" ht="15" customHeight="1" x14ac:dyDescent="0.25">
      <c r="B12" s="65">
        <v>8</v>
      </c>
      <c r="C12" s="103">
        <v>46166</v>
      </c>
      <c r="D12" s="65" t="s">
        <v>231</v>
      </c>
      <c r="E12" s="104" t="s">
        <v>238</v>
      </c>
      <c r="F12" s="67" t="s">
        <v>233</v>
      </c>
    </row>
    <row r="13" spans="2:6" ht="15" customHeight="1" x14ac:dyDescent="0.25">
      <c r="B13" s="65">
        <v>9</v>
      </c>
      <c r="C13" s="103">
        <v>46167</v>
      </c>
      <c r="D13" s="65" t="s">
        <v>234</v>
      </c>
      <c r="E13" s="104" t="s">
        <v>239</v>
      </c>
      <c r="F13" s="67" t="s">
        <v>225</v>
      </c>
    </row>
    <row r="14" spans="2:6" ht="15" customHeight="1" x14ac:dyDescent="0.25">
      <c r="B14" s="65">
        <v>10</v>
      </c>
      <c r="C14" s="103">
        <v>46177</v>
      </c>
      <c r="D14" s="65" t="s">
        <v>223</v>
      </c>
      <c r="E14" s="104" t="s">
        <v>240</v>
      </c>
      <c r="F14" s="67" t="s">
        <v>241</v>
      </c>
    </row>
    <row r="15" spans="2:6" ht="15" customHeight="1" x14ac:dyDescent="0.25">
      <c r="B15" s="65">
        <v>11</v>
      </c>
      <c r="C15" s="103">
        <v>46249</v>
      </c>
      <c r="D15" s="65" t="s">
        <v>242</v>
      </c>
      <c r="E15" s="104" t="s">
        <v>243</v>
      </c>
      <c r="F15" s="67" t="s">
        <v>244</v>
      </c>
    </row>
    <row r="16" spans="2:6" ht="15" customHeight="1" x14ac:dyDescent="0.25">
      <c r="B16" s="65">
        <v>12</v>
      </c>
      <c r="C16" s="103">
        <v>46298</v>
      </c>
      <c r="D16" s="65" t="s">
        <v>242</v>
      </c>
      <c r="E16" s="104" t="s">
        <v>245</v>
      </c>
      <c r="F16" s="67" t="s">
        <v>225</v>
      </c>
    </row>
    <row r="17" spans="2:6" ht="15" customHeight="1" x14ac:dyDescent="0.25">
      <c r="B17" s="65">
        <v>13</v>
      </c>
      <c r="C17" s="103">
        <v>46326</v>
      </c>
      <c r="D17" s="65" t="s">
        <v>242</v>
      </c>
      <c r="E17" s="104" t="s">
        <v>246</v>
      </c>
      <c r="F17" s="67" t="s">
        <v>247</v>
      </c>
    </row>
    <row r="18" spans="2:6" ht="15" customHeight="1" x14ac:dyDescent="0.25">
      <c r="B18" s="65">
        <v>14</v>
      </c>
      <c r="C18" s="103">
        <v>46327</v>
      </c>
      <c r="D18" s="65" t="s">
        <v>231</v>
      </c>
      <c r="E18" s="104" t="s">
        <v>248</v>
      </c>
      <c r="F18" s="67" t="s">
        <v>249</v>
      </c>
    </row>
    <row r="19" spans="2:6" ht="15" customHeight="1" x14ac:dyDescent="0.25">
      <c r="B19" s="65">
        <v>15</v>
      </c>
      <c r="C19" s="103">
        <v>46344</v>
      </c>
      <c r="D19" s="65" t="s">
        <v>250</v>
      </c>
      <c r="E19" s="104" t="s">
        <v>251</v>
      </c>
      <c r="F19" s="67" t="s">
        <v>252</v>
      </c>
    </row>
    <row r="20" spans="2:6" ht="15" customHeight="1" x14ac:dyDescent="0.25">
      <c r="B20" s="65">
        <v>16</v>
      </c>
      <c r="C20" s="103">
        <v>46381</v>
      </c>
      <c r="D20" s="65" t="s">
        <v>229</v>
      </c>
      <c r="E20" s="104" t="s">
        <v>253</v>
      </c>
      <c r="F20" s="67" t="s">
        <v>225</v>
      </c>
    </row>
    <row r="21" spans="2:6" ht="15" customHeight="1" x14ac:dyDescent="0.25">
      <c r="B21" s="65">
        <v>17</v>
      </c>
      <c r="C21" s="103">
        <v>46382</v>
      </c>
      <c r="D21" s="65" t="s">
        <v>242</v>
      </c>
      <c r="E21" s="104" t="s">
        <v>254</v>
      </c>
      <c r="F21" s="67" t="s">
        <v>225</v>
      </c>
    </row>
    <row r="24" spans="2:6" ht="15" customHeight="1" x14ac:dyDescent="0.25">
      <c r="B24" s="12" t="s">
        <v>255</v>
      </c>
      <c r="C24" s="12"/>
      <c r="D24" s="12"/>
      <c r="E24" s="12"/>
      <c r="F24" s="12"/>
    </row>
    <row r="25" spans="2:6" ht="15" customHeight="1" x14ac:dyDescent="0.25">
      <c r="B25" s="108" t="s">
        <v>256</v>
      </c>
      <c r="C25" s="108"/>
      <c r="D25" s="108"/>
      <c r="E25" s="108"/>
      <c r="F25" s="108"/>
    </row>
    <row r="26" spans="2:6" ht="15" customHeight="1" x14ac:dyDescent="0.25">
      <c r="B26" s="108" t="s">
        <v>257</v>
      </c>
      <c r="C26" s="108"/>
      <c r="D26" s="108"/>
      <c r="E26" s="108"/>
      <c r="F26" s="108"/>
    </row>
    <row r="27" spans="2:6" ht="15" customHeight="1" x14ac:dyDescent="0.25">
      <c r="B27" s="108" t="s">
        <v>258</v>
      </c>
      <c r="C27" s="108"/>
      <c r="D27" s="108"/>
      <c r="E27" s="108"/>
      <c r="F27" s="108"/>
    </row>
    <row r="28" spans="2:6" ht="15" customHeight="1" x14ac:dyDescent="0.25">
      <c r="B28" s="108"/>
      <c r="C28" s="108"/>
      <c r="D28" s="108"/>
      <c r="E28" s="108"/>
      <c r="F28" s="108"/>
    </row>
    <row r="29" spans="2:6" ht="15" customHeight="1" x14ac:dyDescent="0.25">
      <c r="B29" s="108" t="s">
        <v>259</v>
      </c>
      <c r="C29" s="108"/>
      <c r="D29" s="108"/>
      <c r="E29" s="108"/>
      <c r="F29" s="108"/>
    </row>
    <row r="30" spans="2:6" ht="15" customHeight="1" x14ac:dyDescent="0.25">
      <c r="B30" s="108" t="s">
        <v>260</v>
      </c>
      <c r="C30" s="108"/>
      <c r="D30" s="108"/>
      <c r="E30" s="108"/>
      <c r="F30" s="108"/>
    </row>
    <row r="31" spans="2:6" ht="15" customHeight="1" x14ac:dyDescent="0.25">
      <c r="B31" s="108" t="s">
        <v>261</v>
      </c>
      <c r="C31" s="108"/>
      <c r="D31" s="108"/>
      <c r="E31" s="108"/>
      <c r="F31" s="108"/>
    </row>
  </sheetData>
  <mergeCells count="10">
    <mergeCell ref="B27:F27"/>
    <mergeCell ref="B28:F28"/>
    <mergeCell ref="B29:F29"/>
    <mergeCell ref="B30:F30"/>
    <mergeCell ref="B31:F31"/>
    <mergeCell ref="B2:F2"/>
    <mergeCell ref="B3:F3"/>
    <mergeCell ref="B24:F24"/>
    <mergeCell ref="B25:F25"/>
    <mergeCell ref="B26:F2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Übersicht</vt:lpstr>
      <vt:lpstr>Mitarbeiter</vt:lpstr>
      <vt:lpstr>Schichten</vt:lpstr>
      <vt:lpstr>Dienstplan</vt:lpstr>
      <vt:lpstr>Auswertung</vt:lpstr>
      <vt:lpstr>Feiertage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2026-05-21T09:58:27Z</dcterms:created>
  <dcterms:modified xsi:type="dcterms:W3CDTF">2026-05-21T10:31:33Z</dcterms:modified>
  <dc:language>en-US</dc:language>
</cp:coreProperties>
</file>