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controlling\"/>
    </mc:Choice>
  </mc:AlternateContent>
  <xr:revisionPtr revIDLastSave="0" documentId="13_ncr:1_{91F45437-177E-44F4-96A6-0F79B4AFFE6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📊 Dashboard" sheetId="1" r:id="rId1"/>
    <sheet name="📊 GuV" sheetId="2" r:id="rId2"/>
    <sheet name="📈 Plan-Ist" sheetId="3" r:id="rId3"/>
    <sheet name="🏭 Kostenstellen" sheetId="4" r:id="rId4"/>
    <sheet name="💧 Liquidität" sheetId="5" r:id="rId5"/>
    <sheet name="📋 Projekte" sheetId="6" r:id="rId6"/>
  </sheets>
  <definedNames>
    <definedName name="_xlnm.Print_Titles" localSheetId="3">'🏭 Kostenstellen'!$1:$2</definedName>
    <definedName name="_xlnm.Print_Titles" localSheetId="4">'💧 Liquidität'!$1:$2</definedName>
    <definedName name="_xlnm.Print_Titles" localSheetId="2">'📈 Plan-Ist'!$1:$2</definedName>
    <definedName name="_xlnm.Print_Titles" localSheetId="0">'📊 Dashboard'!$1:$2</definedName>
    <definedName name="_xlnm.Print_Titles" localSheetId="1">'📊 GuV'!$1:$2</definedName>
    <definedName name="_xlnm.Print_Titles" localSheetId="5">'📋 Projekte'!$1:$2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6" l="1"/>
  <c r="F10" i="6"/>
  <c r="E10" i="6"/>
  <c r="D10" i="6"/>
  <c r="L10" i="6" s="1"/>
  <c r="K9" i="6"/>
  <c r="L9" i="6" s="1"/>
  <c r="G9" i="6"/>
  <c r="L8" i="6"/>
  <c r="K8" i="6"/>
  <c r="G8" i="6"/>
  <c r="K7" i="6"/>
  <c r="L7" i="6" s="1"/>
  <c r="G7" i="6"/>
  <c r="L6" i="6"/>
  <c r="K6" i="6"/>
  <c r="G6" i="6"/>
  <c r="K5" i="6"/>
  <c r="L5" i="6" s="1"/>
  <c r="G5" i="6"/>
  <c r="G10" i="6" s="1"/>
  <c r="L4" i="6"/>
  <c r="K4" i="6"/>
  <c r="G4" i="6"/>
  <c r="K3" i="6"/>
  <c r="L3" i="6" s="1"/>
  <c r="G3" i="6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O8" i="5"/>
  <c r="O17" i="5" s="1"/>
  <c r="O18" i="5" s="1"/>
  <c r="O20" i="5" s="1"/>
  <c r="N8" i="5"/>
  <c r="N17" i="5" s="1"/>
  <c r="N18" i="5" s="1"/>
  <c r="N20" i="5" s="1"/>
  <c r="M8" i="5"/>
  <c r="M17" i="5" s="1"/>
  <c r="M18" i="5" s="1"/>
  <c r="M20" i="5" s="1"/>
  <c r="L8" i="5"/>
  <c r="L17" i="5" s="1"/>
  <c r="L18" i="5" s="1"/>
  <c r="L20" i="5" s="1"/>
  <c r="K8" i="5"/>
  <c r="K17" i="5" s="1"/>
  <c r="K18" i="5" s="1"/>
  <c r="K20" i="5" s="1"/>
  <c r="J8" i="5"/>
  <c r="J17" i="5" s="1"/>
  <c r="J18" i="5" s="1"/>
  <c r="J20" i="5" s="1"/>
  <c r="I8" i="5"/>
  <c r="I17" i="5" s="1"/>
  <c r="I18" i="5" s="1"/>
  <c r="I20" i="5" s="1"/>
  <c r="H8" i="5"/>
  <c r="H17" i="5" s="1"/>
  <c r="H18" i="5" s="1"/>
  <c r="H20" i="5" s="1"/>
  <c r="G8" i="5"/>
  <c r="G17" i="5" s="1"/>
  <c r="G18" i="5" s="1"/>
  <c r="G20" i="5" s="1"/>
  <c r="F8" i="5"/>
  <c r="F17" i="5" s="1"/>
  <c r="F18" i="5" s="1"/>
  <c r="F20" i="5" s="1"/>
  <c r="E8" i="5"/>
  <c r="E17" i="5" s="1"/>
  <c r="E18" i="5" s="1"/>
  <c r="E20" i="5" s="1"/>
  <c r="D8" i="5"/>
  <c r="D17" i="5" s="1"/>
  <c r="D18" i="5" s="1"/>
  <c r="D20" i="5" s="1"/>
  <c r="C8" i="5"/>
  <c r="C17" i="5" s="1"/>
  <c r="C18" i="5" s="1"/>
  <c r="C20" i="5" s="1"/>
  <c r="J20" i="4"/>
  <c r="I20" i="4"/>
  <c r="H20" i="4"/>
  <c r="G20" i="4"/>
  <c r="C20" i="4"/>
  <c r="D19" i="4"/>
  <c r="D18" i="4"/>
  <c r="D17" i="4"/>
  <c r="D16" i="4"/>
  <c r="D15" i="4"/>
  <c r="J13" i="4"/>
  <c r="I13" i="4"/>
  <c r="H13" i="4"/>
  <c r="G13" i="4"/>
  <c r="C13" i="4"/>
  <c r="D12" i="4"/>
  <c r="D11" i="4"/>
  <c r="D10" i="4"/>
  <c r="J8" i="4"/>
  <c r="J21" i="4" s="1"/>
  <c r="I8" i="4"/>
  <c r="I21" i="4" s="1"/>
  <c r="H8" i="4"/>
  <c r="H21" i="4" s="1"/>
  <c r="G8" i="4"/>
  <c r="G21" i="4" s="1"/>
  <c r="C8" i="4"/>
  <c r="D7" i="4"/>
  <c r="D6" i="4"/>
  <c r="D5" i="4"/>
  <c r="D4" i="4"/>
  <c r="C31" i="3"/>
  <c r="C30" i="3"/>
  <c r="C29" i="3"/>
  <c r="C28" i="3"/>
  <c r="C27" i="3"/>
  <c r="O24" i="3"/>
  <c r="N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M24" i="3" s="1"/>
  <c r="L22" i="3"/>
  <c r="L24" i="3" s="1"/>
  <c r="K22" i="3"/>
  <c r="K24" i="3" s="1"/>
  <c r="J22" i="3"/>
  <c r="J24" i="3" s="1"/>
  <c r="I22" i="3"/>
  <c r="I24" i="3" s="1"/>
  <c r="H22" i="3"/>
  <c r="H24" i="3" s="1"/>
  <c r="G22" i="3"/>
  <c r="F22" i="3"/>
  <c r="E22" i="3"/>
  <c r="D22" i="3"/>
  <c r="C22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P19" i="3"/>
  <c r="P18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P12" i="3"/>
  <c r="P13" i="3" s="1"/>
  <c r="P11" i="3"/>
  <c r="O9" i="3"/>
  <c r="N9" i="3"/>
  <c r="M9" i="3"/>
  <c r="L9" i="3"/>
  <c r="K9" i="3"/>
  <c r="J9" i="3"/>
  <c r="I9" i="3"/>
  <c r="H9" i="3"/>
  <c r="G9" i="3"/>
  <c r="F9" i="3"/>
  <c r="E9" i="3"/>
  <c r="D9" i="3"/>
  <c r="C9" i="3"/>
  <c r="O8" i="3"/>
  <c r="N8" i="3"/>
  <c r="M8" i="3"/>
  <c r="L8" i="3"/>
  <c r="K8" i="3"/>
  <c r="J8" i="3"/>
  <c r="I8" i="3"/>
  <c r="H8" i="3"/>
  <c r="G8" i="3"/>
  <c r="F8" i="3"/>
  <c r="E8" i="3"/>
  <c r="D8" i="3"/>
  <c r="C8" i="3"/>
  <c r="P7" i="3"/>
  <c r="P5" i="3"/>
  <c r="D35" i="2"/>
  <c r="E35" i="2" s="1"/>
  <c r="C35" i="2"/>
  <c r="F35" i="2" s="1"/>
  <c r="F34" i="2"/>
  <c r="E34" i="2"/>
  <c r="F33" i="2"/>
  <c r="E33" i="2"/>
  <c r="F29" i="2"/>
  <c r="E29" i="2"/>
  <c r="D27" i="2"/>
  <c r="E27" i="2" s="1"/>
  <c r="C27" i="2"/>
  <c r="F27" i="2" s="1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D18" i="2"/>
  <c r="C18" i="2"/>
  <c r="F17" i="2"/>
  <c r="E17" i="2"/>
  <c r="F16" i="2"/>
  <c r="E16" i="2"/>
  <c r="F12" i="2"/>
  <c r="E12" i="2"/>
  <c r="F11" i="2"/>
  <c r="E11" i="2"/>
  <c r="F10" i="2"/>
  <c r="E10" i="2"/>
  <c r="D8" i="2"/>
  <c r="C8" i="2"/>
  <c r="F7" i="2"/>
  <c r="E7" i="2"/>
  <c r="F6" i="2"/>
  <c r="E6" i="2"/>
  <c r="F5" i="2"/>
  <c r="E5" i="2"/>
  <c r="F4" i="2"/>
  <c r="E4" i="2"/>
  <c r="E24" i="1"/>
  <c r="F24" i="1" s="1"/>
  <c r="C24" i="1"/>
  <c r="E23" i="1"/>
  <c r="F23" i="1" s="1"/>
  <c r="C23" i="1"/>
  <c r="E22" i="1"/>
  <c r="F22" i="1" s="1"/>
  <c r="C22" i="1"/>
  <c r="E21" i="1"/>
  <c r="F21" i="1" s="1"/>
  <c r="C21" i="1"/>
  <c r="P16" i="1"/>
  <c r="Q16" i="1" s="1"/>
  <c r="O16" i="1"/>
  <c r="R16" i="1" s="1"/>
  <c r="J16" i="1"/>
  <c r="I16" i="1"/>
  <c r="L16" i="1" s="1"/>
  <c r="D16" i="1"/>
  <c r="C16" i="1"/>
  <c r="F16" i="1" s="1"/>
  <c r="P15" i="1"/>
  <c r="Q15" i="1" s="1"/>
  <c r="O15" i="1"/>
  <c r="R15" i="1" s="1"/>
  <c r="J15" i="1"/>
  <c r="I15" i="1"/>
  <c r="L15" i="1" s="1"/>
  <c r="D15" i="1"/>
  <c r="C15" i="1"/>
  <c r="F15" i="1" s="1"/>
  <c r="P14" i="1"/>
  <c r="O14" i="1"/>
  <c r="R14" i="1" s="1"/>
  <c r="J14" i="1"/>
  <c r="I14" i="1"/>
  <c r="L14" i="1" s="1"/>
  <c r="D14" i="1"/>
  <c r="C14" i="1"/>
  <c r="F14" i="1" s="1"/>
  <c r="P13" i="1"/>
  <c r="O13" i="1"/>
  <c r="R13" i="1" s="1"/>
  <c r="J13" i="1"/>
  <c r="I13" i="1"/>
  <c r="L13" i="1" s="1"/>
  <c r="D13" i="1"/>
  <c r="E13" i="1" s="1"/>
  <c r="C13" i="1"/>
  <c r="F13" i="1" s="1"/>
  <c r="H7" i="1"/>
  <c r="E7" i="1"/>
  <c r="B7" i="1"/>
  <c r="H5" i="1"/>
  <c r="E5" i="1"/>
  <c r="B5" i="1"/>
  <c r="K14" i="1" l="1"/>
  <c r="Q13" i="1"/>
  <c r="E15" i="1"/>
  <c r="E16" i="1"/>
  <c r="K15" i="1"/>
  <c r="Q14" i="1"/>
  <c r="E14" i="1"/>
  <c r="K13" i="1"/>
  <c r="K16" i="1"/>
  <c r="E19" i="4"/>
  <c r="F19" i="4"/>
  <c r="E18" i="4"/>
  <c r="F18" i="4"/>
  <c r="E17" i="4"/>
  <c r="F17" i="4"/>
  <c r="F16" i="4"/>
  <c r="E16" i="4"/>
  <c r="D20" i="4"/>
  <c r="E15" i="4"/>
  <c r="F15" i="4"/>
  <c r="F12" i="4"/>
  <c r="E12" i="4"/>
  <c r="F11" i="4"/>
  <c r="E11" i="4"/>
  <c r="D13" i="4"/>
  <c r="E10" i="4"/>
  <c r="F10" i="4"/>
  <c r="C21" i="4"/>
  <c r="F7" i="4"/>
  <c r="E7" i="4"/>
  <c r="E6" i="4"/>
  <c r="F6" i="4"/>
  <c r="F5" i="4"/>
  <c r="E5" i="4"/>
  <c r="D8" i="4"/>
  <c r="F8" i="4" s="1"/>
  <c r="F4" i="4"/>
  <c r="E4" i="4"/>
  <c r="P8" i="3"/>
  <c r="P22" i="3"/>
  <c r="P24" i="3" s="1"/>
  <c r="P9" i="3"/>
  <c r="P21" i="3"/>
  <c r="P23" i="3" s="1"/>
  <c r="P15" i="3"/>
  <c r="E18" i="2"/>
  <c r="C25" i="1"/>
  <c r="F18" i="2"/>
  <c r="E25" i="1"/>
  <c r="F25" i="1" s="1"/>
  <c r="D13" i="2"/>
  <c r="D14" i="2" s="1"/>
  <c r="E8" i="2"/>
  <c r="C13" i="2"/>
  <c r="C14" i="2" s="1"/>
  <c r="F8" i="2"/>
  <c r="F20" i="4" l="1"/>
  <c r="E20" i="4"/>
  <c r="F13" i="4"/>
  <c r="E13" i="4"/>
  <c r="E8" i="4"/>
  <c r="D21" i="4"/>
  <c r="E13" i="2"/>
  <c r="D28" i="2"/>
  <c r="F13" i="2"/>
  <c r="C28" i="2"/>
  <c r="E14" i="2"/>
  <c r="F21" i="4" l="1"/>
  <c r="E21" i="4"/>
  <c r="E28" i="2"/>
  <c r="D30" i="2"/>
  <c r="F28" i="2"/>
  <c r="C30" i="2"/>
  <c r="D31" i="2" l="1"/>
  <c r="E31" i="2" s="1"/>
  <c r="E30" i="2"/>
  <c r="D36" i="2"/>
  <c r="C36" i="2"/>
  <c r="C31" i="2"/>
  <c r="F30" i="2"/>
  <c r="E36" i="2" l="1"/>
  <c r="D37" i="2"/>
  <c r="E37" i="2" s="1"/>
  <c r="D38" i="2"/>
  <c r="E38" i="2" s="1"/>
  <c r="F36" i="2"/>
  <c r="C37" i="2"/>
  <c r="C38" i="2"/>
  <c r="F38" i="2" l="1"/>
</calcChain>
</file>

<file path=xl/sharedStrings.xml><?xml version="1.0" encoding="utf-8"?>
<sst xmlns="http://schemas.openxmlformats.org/spreadsheetml/2006/main" count="276" uniqueCount="206">
  <si>
    <t>💰 Umsatz YTD</t>
  </si>
  <si>
    <t>📈 EBIT YTD</t>
  </si>
  <si>
    <t>💧 Liquidität</t>
  </si>
  <si>
    <t>👥 Mitarbeiter</t>
  </si>
  <si>
    <t>📦 Auftragsbestand</t>
  </si>
  <si>
    <t>IST</t>
  </si>
  <si>
    <t>PLAN</t>
  </si>
  <si>
    <t>MONATLICHER UMSATZVERLAUF  |  Plan vs. Ist (EUR)</t>
  </si>
  <si>
    <t>Monat</t>
  </si>
  <si>
    <t>Plan (€)</t>
  </si>
  <si>
    <t>IST (€)</t>
  </si>
  <si>
    <t>Abw. (€)</t>
  </si>
  <si>
    <t>Abw. %</t>
  </si>
  <si>
    <t>Jan</t>
  </si>
  <si>
    <t>Mai</t>
  </si>
  <si>
    <t>Sep</t>
  </si>
  <si>
    <t>Feb</t>
  </si>
  <si>
    <t>Jun</t>
  </si>
  <si>
    <t>Okt</t>
  </si>
  <si>
    <t>Mär</t>
  </si>
  <si>
    <t>Jul</t>
  </si>
  <si>
    <t>Nov</t>
  </si>
  <si>
    <t>Apr</t>
  </si>
  <si>
    <t>Aug</t>
  </si>
  <si>
    <t>Dez</t>
  </si>
  <si>
    <t>KENNZAHLEN-AMPEL (Zielerreichung)</t>
  </si>
  <si>
    <t>Kennzahl</t>
  </si>
  <si>
    <t>Status</t>
  </si>
  <si>
    <t>Trend</t>
  </si>
  <si>
    <t>Kommentar</t>
  </si>
  <si>
    <t>Umsatz (YTD)</t>
  </si>
  <si>
    <t>🟢 Über Plan</t>
  </si>
  <si>
    <t>↑</t>
  </si>
  <si>
    <t>Starkes Q4</t>
  </si>
  <si>
    <t>EBIT (YTD)</t>
  </si>
  <si>
    <t>Kostensenkung wirkt</t>
  </si>
  <si>
    <t>EBIT-Marge</t>
  </si>
  <si>
    <t>🟡 Im Plan</t>
  </si>
  <si>
    <t>→</t>
  </si>
  <si>
    <t>Leicht unter Ziel</t>
  </si>
  <si>
    <t>Liquidität (€)</t>
  </si>
  <si>
    <t>🟢 OK</t>
  </si>
  <si>
    <t>Komfortabler Puffer</t>
  </si>
  <si>
    <t>Personalkosten</t>
  </si>
  <si>
    <t>🔴 Über Budget</t>
  </si>
  <si>
    <t>↓</t>
  </si>
  <si>
    <t>Tariferhöhung Q3</t>
  </si>
  <si>
    <t>Legende: 🔵 Eingabezellen  |  ⚫ Formeln/Berechnungen  |  🟢 Verknüpfungen aus anderen Blättern  |  🟡 Zellen für Benutzer-Eingabe</t>
  </si>
  <si>
    <t>Position</t>
  </si>
  <si>
    <t>Plan GJ 2025 (€)</t>
  </si>
  <si>
    <t>IST GJ 2025 (€)</t>
  </si>
  <si>
    <t>I. UMSATZERLÖSE</t>
  </si>
  <si>
    <t xml:space="preserve">  Produktumsatz Stahl &amp; Metall</t>
  </si>
  <si>
    <t xml:space="preserve">  Projektgeschäft / Sonderanfertigungen</t>
  </si>
  <si>
    <t xml:space="preserve">  Dienstleistungen &amp; Wartung</t>
  </si>
  <si>
    <t xml:space="preserve">  Sonstige Umsatzerlöse</t>
  </si>
  <si>
    <t>GESAMTUMSATZ</t>
  </si>
  <si>
    <t>II. MATERIALAUFWAND</t>
  </si>
  <si>
    <t xml:space="preserve">  Rohstoffe &amp; Halbzeuge</t>
  </si>
  <si>
    <t xml:space="preserve">  Hilfsstoffe &amp; Betriebsstoffe</t>
  </si>
  <si>
    <t xml:space="preserve">  Fremdleistungen</t>
  </si>
  <si>
    <t>ROHERTRAG (Materialaufwand)</t>
  </si>
  <si>
    <t>Rohmarge %</t>
  </si>
  <si>
    <t>III. PERSONALAUFWAND</t>
  </si>
  <si>
    <t xml:space="preserve">  Löhne &amp; Gehälter</t>
  </si>
  <si>
    <t xml:space="preserve">  Sozialabgaben &amp; Nebenkosten</t>
  </si>
  <si>
    <t>PERSONALKOSTEN GESAMT</t>
  </si>
  <si>
    <t>IV. SONSTIGE BETRIEBSAUFWENDUNGEN</t>
  </si>
  <si>
    <t xml:space="preserve">  Miete &amp; Nebenkosten</t>
  </si>
  <si>
    <t xml:space="preserve">  Energie &amp; Wasser</t>
  </si>
  <si>
    <t xml:space="preserve">  Fahrzeugkosten &amp; Fuhrpark</t>
  </si>
  <si>
    <t xml:space="preserve">  Marketing &amp; Vertrieb</t>
  </si>
  <si>
    <t xml:space="preserve">  IT &amp; Lizenzen</t>
  </si>
  <si>
    <t xml:space="preserve">  Versicherungen</t>
  </si>
  <si>
    <t xml:space="preserve">  Sonstige Aufwendungen</t>
  </si>
  <si>
    <t>SONSTIGE BETR.-AUFW. GESAMT</t>
  </si>
  <si>
    <t>V. EBITDA</t>
  </si>
  <si>
    <t xml:space="preserve">  Abschreibungen (AfA)</t>
  </si>
  <si>
    <t>EBIT (Betriebsergebnis)</t>
  </si>
  <si>
    <t>EBIT-Marge %</t>
  </si>
  <si>
    <t>VI. FINANZERGEBNIS</t>
  </si>
  <si>
    <t xml:space="preserve">  Zinserträge</t>
  </si>
  <si>
    <t xml:space="preserve">  Zinsaufwendungen</t>
  </si>
  <si>
    <t>FINANZERGEBNIS GESAMT</t>
  </si>
  <si>
    <t>EBT (Ergebnis vor Steuern)</t>
  </si>
  <si>
    <t xml:space="preserve">  Ertragssteuern (Schätzung 30%)</t>
  </si>
  <si>
    <t>JAHRESÜBERSCHUSS</t>
  </si>
  <si>
    <t>Gesamt Plan</t>
  </si>
  <si>
    <t>Gesamt IST</t>
  </si>
  <si>
    <t>€</t>
  </si>
  <si>
    <t>UMSATZ (PLAN)</t>
  </si>
  <si>
    <t>Umsatz Plan (€)</t>
  </si>
  <si>
    <t>UMSATZ (IST)</t>
  </si>
  <si>
    <t>Umsatz IST (€)</t>
  </si>
  <si>
    <t>Abweichung Umsatz (€)</t>
  </si>
  <si>
    <t>Abweichung Umsatz (%)</t>
  </si>
  <si>
    <t>MATERIALAUFWAND</t>
  </si>
  <si>
    <t>Materialaufwand Plan (€)</t>
  </si>
  <si>
    <t>Materialaufwand IST (€)</t>
  </si>
  <si>
    <t>Abw. Materialaufwand (€)</t>
  </si>
  <si>
    <t>ROHERTRAG</t>
  </si>
  <si>
    <t>Rohertrag Plan (€)</t>
  </si>
  <si>
    <t>Rohertrag IST (€)</t>
  </si>
  <si>
    <t>PERSONALKOSTEN</t>
  </si>
  <si>
    <t>Personalkosten Plan (€)</t>
  </si>
  <si>
    <t>Personalkosten IST (€)</t>
  </si>
  <si>
    <t>EBIT</t>
  </si>
  <si>
    <t>EBIT Plan (€)</t>
  </si>
  <si>
    <t>EBIT IST (€)</t>
  </si>
  <si>
    <t>EBIT-Marge Plan</t>
  </si>
  <si>
    <t>EBIT-Marge IST</t>
  </si>
  <si>
    <t>YTD-ZUSAMMENFASSUNG (Jahressumme)</t>
  </si>
  <si>
    <t>Umsatz Plan YTD (€)</t>
  </si>
  <si>
    <t>Umsatz IST YTD (€)</t>
  </si>
  <si>
    <t>Abw. Umsatz YTD (€)</t>
  </si>
  <si>
    <t>EBIT Plan YTD (€)</t>
  </si>
  <si>
    <t>EBIT IST YTD (€)</t>
  </si>
  <si>
    <t>Kostenstelle / Kostenart</t>
  </si>
  <si>
    <t>Budget GJ 2025</t>
  </si>
  <si>
    <t>IST Jan-Dez</t>
  </si>
  <si>
    <t>Abw. Absolut</t>
  </si>
  <si>
    <t>Q1 IST</t>
  </si>
  <si>
    <t>Q2 IST</t>
  </si>
  <si>
    <t>Q3 IST</t>
  </si>
  <si>
    <t>Q4 IST</t>
  </si>
  <si>
    <t xml:space="preserve">  PRODUKTION</t>
  </si>
  <si>
    <t xml:space="preserve">  [1000]  Fertigung Stahlbau</t>
  </si>
  <si>
    <t xml:space="preserve">  [1100]  Fertigung Metallbau</t>
  </si>
  <si>
    <t xml:space="preserve">  [1200]  Qualitätskontrolle</t>
  </si>
  <si>
    <t xml:space="preserve">  [1300]  Instandhaltung &amp; Wartung</t>
  </si>
  <si>
    <t xml:space="preserve">  SUMME PRODUKTION</t>
  </si>
  <si>
    <t xml:space="preserve">  VERTRIEB &amp; MARKETING</t>
  </si>
  <si>
    <t xml:space="preserve">  [2000]  Vertrieb Inland</t>
  </si>
  <si>
    <t xml:space="preserve">  [2100]  Vertrieb Export</t>
  </si>
  <si>
    <t xml:space="preserve">  [2200]  Marketing &amp; Messen</t>
  </si>
  <si>
    <t xml:space="preserve">  SUMME VERTRIEB</t>
  </si>
  <si>
    <t xml:space="preserve">  VERWALTUNG &amp; OVERHEAD</t>
  </si>
  <si>
    <t xml:space="preserve">  [3000]  Geschäftsführung</t>
  </si>
  <si>
    <t xml:space="preserve">  [3100]  Buchhaltung &amp; Controlling</t>
  </si>
  <si>
    <t xml:space="preserve">  [3200]  IT &amp; Systeme</t>
  </si>
  <si>
    <t xml:space="preserve">  [3300]  Personalwesen (HR)</t>
  </si>
  <si>
    <t xml:space="preserve">  [3400]  Allgemeine Verwaltung</t>
  </si>
  <si>
    <t xml:space="preserve">  SUMME VERWALTUNG</t>
  </si>
  <si>
    <t xml:space="preserve">  GESAMTKOSTEN UNTERNEHMEN</t>
  </si>
  <si>
    <t>ANFANGSBESTAND KASSE/BANK</t>
  </si>
  <si>
    <t xml:space="preserve">  Anfangsbestand (€)</t>
  </si>
  <si>
    <t>EINNAHMEN</t>
  </si>
  <si>
    <t xml:space="preserve">  Kundenzahlungen (€)</t>
  </si>
  <si>
    <t xml:space="preserve">  Sonstige Einnahmen (€)</t>
  </si>
  <si>
    <t xml:space="preserve">  SUMME EINNAHMEN</t>
  </si>
  <si>
    <t>AUSGABEN</t>
  </si>
  <si>
    <t xml:space="preserve">  Materiallieferanten (€)</t>
  </si>
  <si>
    <t xml:space="preserve">  Lohn- &amp; Gehaltsauszahlungen (€)</t>
  </si>
  <si>
    <t xml:space="preserve">  Miete &amp; Betriebskosten (€)</t>
  </si>
  <si>
    <t xml:space="preserve">  Steuervorauszahlungen (€)</t>
  </si>
  <si>
    <t xml:space="preserve">  Investitionen &amp; Anlagen (€)</t>
  </si>
  <si>
    <t xml:space="preserve">  Sonstige Auszahlungen (€)</t>
  </si>
  <si>
    <t xml:space="preserve">  SUMME AUSGABEN</t>
  </si>
  <si>
    <t xml:space="preserve">  NETTOZUFLUSS DES MONATS</t>
  </si>
  <si>
    <t xml:space="preserve">  ENDBESTAND KASSE/BANK</t>
  </si>
  <si>
    <t xml:space="preserve">  Mindestliquidität (Sicherheitspuffer)</t>
  </si>
  <si>
    <t xml:space="preserve">  FREIE LIQUIDITÄT (über Mindestbestand)</t>
  </si>
  <si>
    <t>PROJEKTCONTROLLING  |  Aktive Projekte GJ 2025  |  Metallbau Rheinwerk GmbH</t>
  </si>
  <si>
    <t>Proj-Nr.</t>
  </si>
  <si>
    <t>Projektbezeichnung</t>
  </si>
  <si>
    <t>Auftragswert (€)</t>
  </si>
  <si>
    <t>Budget (€)</t>
  </si>
  <si>
    <t>IST-Kosten (€)</t>
  </si>
  <si>
    <t>Fertigg. %</t>
  </si>
  <si>
    <t>Geplant. Ende</t>
  </si>
  <si>
    <t>Akt. Status</t>
  </si>
  <si>
    <t>EAC (Schätzung €)</t>
  </si>
  <si>
    <t>Marge %</t>
  </si>
  <si>
    <t>P-2501</t>
  </si>
  <si>
    <t>Stahlkonstruktion Logistikhalle Nord</t>
  </si>
  <si>
    <t>2025-09-30</t>
  </si>
  <si>
    <t>🟢 Im Plan</t>
  </si>
  <si>
    <t>P-2502</t>
  </si>
  <si>
    <t>Metallbau Bürokomplex Weststadt</t>
  </si>
  <si>
    <t>2025-07-15</t>
  </si>
  <si>
    <t>🟡 Leichte Verzögerung</t>
  </si>
  <si>
    <t>P-2503</t>
  </si>
  <si>
    <t>Sonderanfertigung Kranbrücke Typ-A</t>
  </si>
  <si>
    <t>2025-12-20</t>
  </si>
  <si>
    <t>P-2504</t>
  </si>
  <si>
    <t>Wartungsvertrag Chemiewerk Süd</t>
  </si>
  <si>
    <t>2025-12-31</t>
  </si>
  <si>
    <t>🟢 Laufend</t>
  </si>
  <si>
    <t>P-2505</t>
  </si>
  <si>
    <t>Treppenbau &amp; Geländer Wohnanlage</t>
  </si>
  <si>
    <t>2025-06-30</t>
  </si>
  <si>
    <t>🔴 Überschreitung</t>
  </si>
  <si>
    <t>P-2506</t>
  </si>
  <si>
    <t>Maschinengestelle Serie B-12</t>
  </si>
  <si>
    <t>2025-11-15</t>
  </si>
  <si>
    <t>P-2507</t>
  </si>
  <si>
    <t>Fassadenverkleidung Verwaltungsgebäude</t>
  </si>
  <si>
    <t>2025-08-31</t>
  </si>
  <si>
    <t>🟡 Risiko Lieferzeit</t>
  </si>
  <si>
    <t>GESAMT</t>
  </si>
  <si>
    <t>UNTERNEHMENS-CONTROLLING  |  Geschäftsjahr 2027  |  Metallbau Rheinwerk GmbH</t>
  </si>
  <si>
    <t>Stand: Dezember 2027  |  Alle Beträge in EUR</t>
  </si>
  <si>
    <t>GEWINN- UND VERLUSTRECHNUNG  |  GJ 2027  |  Metallbau Rheinwerk GmbH</t>
  </si>
  <si>
    <t>MONATLICHER PLAN-IST-VERGLEICH  |  GJ 2027  |  Metallbau Rheinwerk GmbH</t>
  </si>
  <si>
    <t>KOSTENSTELLENRECHNUNG  |  GJ 2027  |  Metallbau Rheinwerk GmbH</t>
  </si>
  <si>
    <t>LIQUIDITÄTSPLANUNG  |  GJ 2027  |  Metallbau Rheinwerk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</si>
</sst>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"/>
    <numFmt numFmtId="165" formatCode="0.0%"/>
  </numFmts>
  <fonts count="3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FFFFFF"/>
      <name val="Arial"/>
      <charset val="1"/>
    </font>
    <font>
      <b/>
      <sz val="9"/>
      <color rgb="FFFFFFFF"/>
      <name val="Arial"/>
      <charset val="1"/>
    </font>
    <font>
      <b/>
      <sz val="20"/>
      <color rgb="FF2E5FAC"/>
      <name val="Arial"/>
      <charset val="1"/>
    </font>
    <font>
      <b/>
      <sz val="20"/>
      <color rgb="FF1E8449"/>
      <name val="Arial"/>
      <charset val="1"/>
    </font>
    <font>
      <b/>
      <sz val="20"/>
      <color rgb="FFE67E22"/>
      <name val="Arial"/>
      <charset val="1"/>
    </font>
    <font>
      <b/>
      <sz val="20"/>
      <color rgb="FF1F3864"/>
      <name val="Arial"/>
      <charset val="1"/>
    </font>
    <font>
      <b/>
      <sz val="8"/>
      <color rgb="FF666666"/>
      <name val="Arial"/>
      <charset val="1"/>
    </font>
    <font>
      <sz val="10"/>
      <color rgb="FF444444"/>
      <name val="Arial"/>
      <charset val="1"/>
    </font>
    <font>
      <i/>
      <sz val="8"/>
      <color rgb="FF888888"/>
      <name val="Arial"/>
      <charset val="1"/>
    </font>
    <font>
      <b/>
      <sz val="10"/>
      <color rgb="FFFFFFFF"/>
      <name val="Arial"/>
      <charset val="1"/>
    </font>
    <font>
      <b/>
      <sz val="9"/>
      <color rgb="FF000000"/>
      <name val="Arial"/>
      <charset val="1"/>
    </font>
    <font>
      <sz val="9"/>
      <color rgb="FF0000FF"/>
      <name val="Arial"/>
      <charset val="1"/>
    </font>
    <font>
      <sz val="9"/>
      <color rgb="FF008000"/>
      <name val="Arial"/>
      <charset val="1"/>
    </font>
    <font>
      <sz val="9"/>
      <color rgb="FF000000"/>
      <name val="Arial"/>
      <charset val="1"/>
    </font>
    <font>
      <b/>
      <sz val="12"/>
      <color rgb="FF1E8449"/>
      <name val="Arial"/>
      <charset val="1"/>
    </font>
    <font>
      <sz val="9"/>
      <name val="Arial"/>
      <charset val="1"/>
    </font>
    <font>
      <b/>
      <sz val="12"/>
      <color rgb="FFE67E22"/>
      <name val="Arial"/>
      <charset val="1"/>
    </font>
    <font>
      <b/>
      <sz val="12"/>
      <color rgb="FFC0392B"/>
      <name val="Arial"/>
      <charset val="1"/>
    </font>
    <font>
      <i/>
      <sz val="8"/>
      <color rgb="FF777777"/>
      <name val="Arial"/>
      <charset val="1"/>
    </font>
    <font>
      <b/>
      <sz val="14"/>
      <color rgb="FFFFFFFF"/>
      <name val="Arial"/>
      <charset val="1"/>
    </font>
    <font>
      <b/>
      <sz val="10"/>
      <color rgb="FF000000"/>
      <name val="Arial"/>
      <charset val="1"/>
    </font>
    <font>
      <sz val="8"/>
      <color rgb="FFFFFFFF"/>
      <name val="Arial"/>
      <charset val="1"/>
    </font>
    <font>
      <b/>
      <sz val="9"/>
      <color rgb="FF0000FF"/>
      <name val="Arial"/>
      <charset val="1"/>
    </font>
    <font>
      <b/>
      <sz val="9"/>
      <color rgb="FF008000"/>
      <name val="Arial"/>
      <charset val="1"/>
    </font>
    <font>
      <b/>
      <sz val="11"/>
      <color rgb="FF000000"/>
      <name val="Arial"/>
      <charset val="1"/>
    </font>
    <font>
      <b/>
      <sz val="9"/>
      <color rgb="FFC0392B"/>
      <name val="Arial"/>
      <charset val="1"/>
    </font>
    <font>
      <sz val="9"/>
      <color rgb="FFC0392B"/>
      <name val="Arial"/>
      <charset val="1"/>
    </font>
    <font>
      <b/>
      <sz val="8"/>
      <color rgb="FF000000"/>
      <name val="Arial"/>
      <charset val="1"/>
    </font>
    <font>
      <b/>
      <sz val="16"/>
      <color rgb="FFFFFFFF"/>
      <name val="Arial"/>
      <family val="2"/>
    </font>
    <font>
      <i/>
      <sz val="9"/>
      <color rgb="FFFFFFFF"/>
      <name val="Arial"/>
      <family val="2"/>
    </font>
    <font>
      <b/>
      <sz val="14"/>
      <color rgb="FFFFFF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E5FAC"/>
        <bgColor rgb="FF3366FF"/>
      </patternFill>
    </fill>
    <fill>
      <patternFill patternType="solid">
        <fgColor rgb="FF1E8449"/>
        <bgColor rgb="FF008080"/>
      </patternFill>
    </fill>
    <fill>
      <patternFill patternType="solid">
        <fgColor rgb="FFE67E22"/>
        <bgColor rgb="FFFF9900"/>
      </patternFill>
    </fill>
    <fill>
      <patternFill patternType="solid">
        <fgColor rgb="FFEEF3FB"/>
        <bgColor rgb="FFF2F2F2"/>
      </patternFill>
    </fill>
    <fill>
      <patternFill patternType="solid">
        <fgColor rgb="FFF2F2F2"/>
        <bgColor rgb="FFEEF3FB"/>
      </patternFill>
    </fill>
    <fill>
      <patternFill patternType="solid">
        <fgColor rgb="FFFFFFFF"/>
        <bgColor rgb="FFF2F2F2"/>
      </patternFill>
    </fill>
    <fill>
      <patternFill patternType="solid">
        <fgColor rgb="FFD5E8D4"/>
        <bgColor rgb="FFD9E1F2"/>
      </patternFill>
    </fill>
    <fill>
      <patternFill patternType="solid">
        <fgColor rgb="FFFDEBD0"/>
        <bgColor rgb="FFFFF2CC"/>
      </patternFill>
    </fill>
    <fill>
      <patternFill patternType="solid">
        <fgColor rgb="FFFADBD8"/>
        <bgColor rgb="FFFDEBD0"/>
      </patternFill>
    </fill>
    <fill>
      <patternFill patternType="solid">
        <fgColor rgb="FFD9E1F2"/>
        <bgColor rgb="FFD5E8D4"/>
      </patternFill>
    </fill>
    <fill>
      <patternFill patternType="solid">
        <fgColor rgb="FFFFF2CC"/>
        <bgColor rgb="FFFDEBD0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9" fillId="6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/>
    <xf numFmtId="0" fontId="11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right" vertical="center"/>
    </xf>
    <xf numFmtId="3" fontId="14" fillId="7" borderId="1" xfId="0" applyNumberFormat="1" applyFont="1" applyFill="1" applyBorder="1" applyAlignment="1">
      <alignment horizontal="right" vertical="center"/>
    </xf>
    <xf numFmtId="3" fontId="15" fillId="7" borderId="1" xfId="0" applyNumberFormat="1" applyFont="1" applyFill="1" applyBorder="1" applyAlignment="1">
      <alignment horizontal="right" vertical="center"/>
    </xf>
    <xf numFmtId="165" fontId="15" fillId="7" borderId="1" xfId="0" applyNumberFormat="1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center" vertical="center"/>
    </xf>
    <xf numFmtId="3" fontId="13" fillId="8" borderId="1" xfId="0" applyNumberFormat="1" applyFont="1" applyFill="1" applyBorder="1" applyAlignment="1">
      <alignment horizontal="right" vertical="center"/>
    </xf>
    <xf numFmtId="3" fontId="14" fillId="8" borderId="1" xfId="0" applyNumberFormat="1" applyFont="1" applyFill="1" applyBorder="1" applyAlignment="1">
      <alignment horizontal="right" vertical="center"/>
    </xf>
    <xf numFmtId="3" fontId="15" fillId="8" borderId="1" xfId="0" applyNumberFormat="1" applyFont="1" applyFill="1" applyBorder="1" applyAlignment="1">
      <alignment horizontal="right" vertical="center"/>
    </xf>
    <xf numFmtId="165" fontId="15" fillId="8" borderId="1" xfId="0" applyNumberFormat="1" applyFont="1" applyFill="1" applyBorder="1" applyAlignment="1">
      <alignment horizontal="right" vertical="center"/>
    </xf>
    <xf numFmtId="0" fontId="16" fillId="7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165" fontId="13" fillId="7" borderId="1" xfId="0" applyNumberFormat="1" applyFont="1" applyFill="1" applyBorder="1" applyAlignment="1">
      <alignment horizontal="right" vertical="center"/>
    </xf>
    <xf numFmtId="165" fontId="1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left" vertical="center"/>
    </xf>
    <xf numFmtId="0" fontId="22" fillId="12" borderId="3" xfId="0" applyFont="1" applyFill="1" applyBorder="1" applyAlignment="1">
      <alignment horizontal="left" vertical="center"/>
    </xf>
    <xf numFmtId="3" fontId="12" fillId="12" borderId="3" xfId="0" applyNumberFormat="1" applyFont="1" applyFill="1" applyBorder="1" applyAlignment="1">
      <alignment horizontal="right" vertical="center"/>
    </xf>
    <xf numFmtId="3" fontId="15" fillId="12" borderId="3" xfId="0" applyNumberFormat="1" applyFont="1" applyFill="1" applyBorder="1" applyAlignment="1">
      <alignment horizontal="right" vertical="center"/>
    </xf>
    <xf numFmtId="165" fontId="15" fillId="12" borderId="3" xfId="0" applyNumberFormat="1" applyFont="1" applyFill="1" applyBorder="1" applyAlignment="1">
      <alignment horizontal="right" vertical="center"/>
    </xf>
    <xf numFmtId="165" fontId="0" fillId="7" borderId="1" xfId="0" applyNumberFormat="1" applyFill="1" applyBorder="1" applyAlignment="1">
      <alignment horizontal="right" vertical="center"/>
    </xf>
    <xf numFmtId="0" fontId="0" fillId="7" borderId="1" xfId="0" applyFill="1" applyBorder="1"/>
    <xf numFmtId="165" fontId="0" fillId="8" borderId="1" xfId="0" applyNumberFormat="1" applyFill="1" applyBorder="1" applyAlignment="1">
      <alignment horizontal="right" vertical="center"/>
    </xf>
    <xf numFmtId="0" fontId="0" fillId="8" borderId="1" xfId="0" applyFill="1" applyBorder="1"/>
    <xf numFmtId="3" fontId="0" fillId="8" borderId="1" xfId="0" applyNumberForma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3" fontId="24" fillId="12" borderId="0" xfId="0" applyNumberFormat="1" applyFont="1" applyFill="1" applyAlignment="1">
      <alignment horizontal="right" vertical="center"/>
    </xf>
    <xf numFmtId="3" fontId="13" fillId="8" borderId="0" xfId="0" applyNumberFormat="1" applyFont="1" applyFill="1" applyAlignment="1">
      <alignment horizontal="right" vertical="center"/>
    </xf>
    <xf numFmtId="3" fontId="12" fillId="12" borderId="0" xfId="0" applyNumberFormat="1" applyFont="1" applyFill="1" applyAlignment="1">
      <alignment horizontal="right" vertical="center"/>
    </xf>
    <xf numFmtId="3" fontId="25" fillId="12" borderId="0" xfId="0" applyNumberFormat="1" applyFont="1" applyFill="1" applyAlignment="1">
      <alignment horizontal="right" vertical="center"/>
    </xf>
    <xf numFmtId="3" fontId="14" fillId="8" borderId="0" xfId="0" applyNumberFormat="1" applyFont="1" applyFill="1" applyAlignment="1">
      <alignment horizontal="right" vertical="center"/>
    </xf>
    <xf numFmtId="0" fontId="12" fillId="7" borderId="1" xfId="0" applyFont="1" applyFill="1" applyBorder="1" applyAlignment="1">
      <alignment horizontal="left" vertical="center"/>
    </xf>
    <xf numFmtId="3" fontId="14" fillId="7" borderId="0" xfId="0" applyNumberFormat="1" applyFont="1" applyFill="1" applyAlignment="1">
      <alignment horizontal="right" vertical="center"/>
    </xf>
    <xf numFmtId="3" fontId="12" fillId="12" borderId="1" xfId="0" applyNumberFormat="1" applyFont="1" applyFill="1" applyBorder="1" applyAlignment="1">
      <alignment horizontal="right" vertical="center"/>
    </xf>
    <xf numFmtId="3" fontId="13" fillId="7" borderId="0" xfId="0" applyNumberFormat="1" applyFont="1" applyFill="1" applyAlignment="1">
      <alignment horizontal="right" vertical="center"/>
    </xf>
    <xf numFmtId="0" fontId="12" fillId="12" borderId="1" xfId="0" applyFont="1" applyFill="1" applyBorder="1" applyAlignment="1">
      <alignment horizontal="left" vertical="center"/>
    </xf>
    <xf numFmtId="3" fontId="26" fillId="12" borderId="3" xfId="0" applyNumberFormat="1" applyFont="1" applyFill="1" applyBorder="1" applyAlignment="1">
      <alignment horizontal="right" vertical="center"/>
    </xf>
    <xf numFmtId="0" fontId="12" fillId="12" borderId="3" xfId="0" applyFont="1" applyFill="1" applyBorder="1" applyAlignment="1">
      <alignment horizontal="left" vertical="center"/>
    </xf>
    <xf numFmtId="165" fontId="12" fillId="1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>
      <alignment horizontal="right" vertical="center"/>
    </xf>
    <xf numFmtId="165" fontId="11" fillId="2" borderId="3" xfId="0" applyNumberFormat="1" applyFont="1" applyFill="1" applyBorder="1" applyAlignment="1">
      <alignment horizontal="right" vertical="center"/>
    </xf>
    <xf numFmtId="3" fontId="24" fillId="12" borderId="1" xfId="0" applyNumberFormat="1" applyFont="1" applyFill="1" applyBorder="1" applyAlignment="1">
      <alignment horizontal="right" vertical="center"/>
    </xf>
    <xf numFmtId="3" fontId="27" fillId="12" borderId="1" xfId="0" applyNumberFormat="1" applyFont="1" applyFill="1" applyBorder="1" applyAlignment="1">
      <alignment horizontal="right" vertical="center"/>
    </xf>
    <xf numFmtId="3" fontId="28" fillId="7" borderId="1" xfId="0" applyNumberFormat="1" applyFont="1" applyFill="1" applyBorder="1" applyAlignment="1">
      <alignment horizontal="right" vertical="center"/>
    </xf>
    <xf numFmtId="3" fontId="28" fillId="8" borderId="1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3" fontId="11" fillId="4" borderId="3" xfId="0" applyNumberFormat="1" applyFont="1" applyFill="1" applyBorder="1" applyAlignment="1">
      <alignment horizontal="right" vertical="center"/>
    </xf>
    <xf numFmtId="0" fontId="12" fillId="13" borderId="1" xfId="0" applyFont="1" applyFill="1" applyBorder="1" applyAlignment="1">
      <alignment horizontal="left" vertical="center"/>
    </xf>
    <xf numFmtId="3" fontId="13" fillId="13" borderId="1" xfId="0" applyNumberFormat="1" applyFont="1" applyFill="1" applyBorder="1" applyAlignment="1">
      <alignment horizontal="right" vertical="center"/>
    </xf>
    <xf numFmtId="0" fontId="22" fillId="9" borderId="3" xfId="0" applyFont="1" applyFill="1" applyBorder="1" applyAlignment="1">
      <alignment horizontal="left" vertical="center"/>
    </xf>
    <xf numFmtId="3" fontId="22" fillId="9" borderId="3" xfId="0" applyNumberFormat="1" applyFont="1" applyFill="1" applyBorder="1" applyAlignment="1">
      <alignment horizontal="right" vertical="center"/>
    </xf>
    <xf numFmtId="9" fontId="15" fillId="7" borderId="1" xfId="0" applyNumberFormat="1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right" vertical="center"/>
    </xf>
    <xf numFmtId="9" fontId="15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29" fillId="10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vertical="center"/>
    </xf>
    <xf numFmtId="0" fontId="12" fillId="7" borderId="2" xfId="0" applyFont="1" applyFill="1" applyBorder="1" applyAlignment="1">
      <alignment vertical="center"/>
    </xf>
    <xf numFmtId="3" fontId="14" fillId="7" borderId="2" xfId="0" applyNumberFormat="1" applyFont="1" applyFill="1" applyBorder="1" applyAlignment="1">
      <alignment horizontal="center" vertical="center"/>
    </xf>
    <xf numFmtId="3" fontId="14" fillId="7" borderId="7" xfId="0" applyNumberFormat="1" applyFont="1" applyFill="1" applyBorder="1" applyAlignment="1">
      <alignment horizontal="center" vertical="center"/>
    </xf>
    <xf numFmtId="3" fontId="14" fillId="8" borderId="2" xfId="0" applyNumberFormat="1" applyFont="1" applyFill="1" applyBorder="1" applyAlignment="1">
      <alignment horizontal="center" vertical="center"/>
    </xf>
    <xf numFmtId="3" fontId="14" fillId="8" borderId="7" xfId="0" applyNumberFormat="1" applyFont="1" applyFill="1" applyBorder="1" applyAlignment="1">
      <alignment horizontal="center" vertical="center"/>
    </xf>
    <xf numFmtId="165" fontId="14" fillId="7" borderId="2" xfId="0" applyNumberFormat="1" applyFont="1" applyFill="1" applyBorder="1" applyAlignment="1">
      <alignment horizontal="center" vertical="center"/>
    </xf>
    <xf numFmtId="165" fontId="14" fillId="7" borderId="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left" vertical="center"/>
    </xf>
    <xf numFmtId="165" fontId="15" fillId="7" borderId="7" xfId="0" applyNumberFormat="1" applyFont="1" applyFill="1" applyBorder="1" applyAlignment="1">
      <alignment horizontal="left" vertical="center"/>
    </xf>
    <xf numFmtId="165" fontId="15" fillId="8" borderId="2" xfId="0" applyNumberFormat="1" applyFont="1" applyFill="1" applyBorder="1" applyAlignment="1">
      <alignment horizontal="left" vertical="center"/>
    </xf>
    <xf numFmtId="165" fontId="15" fillId="8" borderId="7" xfId="0" applyNumberFormat="1" applyFont="1" applyFill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7777"/>
      <rgbColor rgb="FF800080"/>
      <rgbColor rgb="FF008080"/>
      <rgbColor rgb="FFBFBFBF"/>
      <rgbColor rgb="FF7F7F7F"/>
      <rgbColor rgb="FF9999FF"/>
      <rgbColor rgb="FF993366"/>
      <rgbColor rgb="FFFFF2CC"/>
      <rgbColor rgb="FFEEF3FB"/>
      <rgbColor rgb="FF660066"/>
      <rgbColor rgb="FFFF8080"/>
      <rgbColor rgb="FF2E5FA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5E8D4"/>
      <rgbColor rgb="FFFDEBD0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E67E22"/>
      <rgbColor rgb="FF666666"/>
      <rgbColor rgb="FF888888"/>
      <rgbColor rgb="FF1F3864"/>
      <rgbColor rgb="FF1E8449"/>
      <rgbColor rgb="FF003300"/>
      <rgbColor rgb="FF333300"/>
      <rgbColor rgb="FFC0392B"/>
      <rgbColor rgb="FF993366"/>
      <rgbColor rgb="FF555555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27" sqref="R27"/>
    </sheetView>
  </sheetViews>
  <sheetFormatPr baseColWidth="10" defaultColWidth="8.7109375" defaultRowHeight="15" x14ac:dyDescent="0.25"/>
  <cols>
    <col min="1" max="1" width="1.5703125" customWidth="1"/>
    <col min="2" max="2" width="18" customWidth="1"/>
    <col min="3" max="3" width="12" customWidth="1"/>
    <col min="4" max="4" width="1.5703125" customWidth="1"/>
    <col min="5" max="5" width="18" customWidth="1"/>
    <col min="6" max="6" width="12" customWidth="1"/>
    <col min="7" max="7" width="1.5703125" customWidth="1"/>
    <col min="8" max="8" width="18" customWidth="1"/>
    <col min="9" max="9" width="12" customWidth="1"/>
    <col min="10" max="10" width="1.5703125" customWidth="1"/>
    <col min="11" max="11" width="18" customWidth="1"/>
    <col min="12" max="12" width="12" customWidth="1"/>
    <col min="13" max="13" width="1.5703125" customWidth="1"/>
    <col min="14" max="14" width="18" customWidth="1"/>
    <col min="15" max="15" width="12" customWidth="1"/>
  </cols>
  <sheetData>
    <row r="1" spans="1:18" ht="49.5" customHeight="1" x14ac:dyDescent="0.25">
      <c r="A1" s="109" t="s">
        <v>200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8" ht="19.5" customHeight="1" x14ac:dyDescent="0.25">
      <c r="A2" s="110" t="s">
        <v>201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ht="9.75" customHeight="1" x14ac:dyDescent="0.25"/>
    <row r="4" spans="1:18" ht="18" customHeight="1" x14ac:dyDescent="0.25">
      <c r="B4" s="12" t="s">
        <v>0</v>
      </c>
      <c r="C4" s="12"/>
      <c r="E4" s="11" t="s">
        <v>1</v>
      </c>
      <c r="F4" s="11"/>
      <c r="H4" s="10" t="s">
        <v>2</v>
      </c>
      <c r="I4" s="10"/>
      <c r="K4" s="9" t="s">
        <v>3</v>
      </c>
      <c r="L4" s="9"/>
      <c r="N4" s="12" t="s">
        <v>4</v>
      </c>
      <c r="O4" s="12"/>
    </row>
    <row r="5" spans="1:18" ht="30" customHeight="1" x14ac:dyDescent="0.25">
      <c r="B5" s="8">
        <f>'📈 Plan-Ist'!C57</f>
        <v>0</v>
      </c>
      <c r="C5" s="8"/>
      <c r="E5" s="7">
        <f>'📈 Plan-Ist'!C63</f>
        <v>0</v>
      </c>
      <c r="F5" s="7"/>
      <c r="H5" s="6">
        <f>'💧 Liquidität'!B51</f>
        <v>0</v>
      </c>
      <c r="I5" s="6"/>
      <c r="K5" s="5">
        <v>85</v>
      </c>
      <c r="L5" s="5"/>
      <c r="N5" s="4">
        <v>1245800</v>
      </c>
      <c r="O5" s="4"/>
    </row>
    <row r="6" spans="1:18" ht="21.75" customHeight="1" x14ac:dyDescent="0.25">
      <c r="B6" s="3" t="s">
        <v>5</v>
      </c>
      <c r="C6" s="3"/>
      <c r="E6" s="3" t="s">
        <v>5</v>
      </c>
      <c r="F6" s="3"/>
      <c r="H6" s="3" t="s">
        <v>5</v>
      </c>
      <c r="I6" s="3"/>
      <c r="K6" s="3" t="s">
        <v>5</v>
      </c>
      <c r="L6" s="3"/>
      <c r="N6" s="3" t="s">
        <v>5</v>
      </c>
      <c r="O6" s="3"/>
    </row>
    <row r="7" spans="1:18" ht="21.75" customHeight="1" x14ac:dyDescent="0.25">
      <c r="B7" s="2">
        <f>'📈 Plan-Ist'!E57</f>
        <v>0</v>
      </c>
      <c r="C7" s="2"/>
      <c r="E7" s="2">
        <f>'📈 Plan-Ist'!E63</f>
        <v>0</v>
      </c>
      <c r="F7" s="2"/>
      <c r="H7" s="2">
        <f>'💧 Liquidität'!B50</f>
        <v>0</v>
      </c>
      <c r="I7" s="2"/>
      <c r="K7" s="1">
        <v>82</v>
      </c>
      <c r="L7" s="1"/>
      <c r="N7" s="2">
        <v>1100000</v>
      </c>
      <c r="O7" s="2"/>
    </row>
    <row r="8" spans="1:18" ht="21.75" customHeight="1" x14ac:dyDescent="0.25">
      <c r="B8" s="81" t="s">
        <v>6</v>
      </c>
      <c r="C8" s="81"/>
      <c r="E8" s="81" t="s">
        <v>6</v>
      </c>
      <c r="F8" s="81"/>
      <c r="H8" s="81" t="s">
        <v>6</v>
      </c>
      <c r="I8" s="81"/>
      <c r="K8" s="81" t="s">
        <v>6</v>
      </c>
      <c r="L8" s="81"/>
      <c r="N8" s="81" t="s">
        <v>6</v>
      </c>
      <c r="O8" s="81"/>
    </row>
    <row r="9" spans="1:18" ht="9.75" customHeight="1" x14ac:dyDescent="0.25">
      <c r="B9" s="15"/>
      <c r="C9" s="15"/>
      <c r="E9" s="15"/>
      <c r="F9" s="15"/>
      <c r="H9" s="15"/>
      <c r="I9" s="15"/>
      <c r="K9" s="15"/>
      <c r="L9" s="15"/>
      <c r="N9" s="15"/>
      <c r="O9" s="15"/>
    </row>
    <row r="10" spans="1:18" ht="9.75" customHeight="1" x14ac:dyDescent="0.25"/>
    <row r="11" spans="1:18" ht="18" customHeight="1" x14ac:dyDescent="0.25">
      <c r="B11" s="82" t="s">
        <v>7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spans="1:18" ht="15.75" customHeight="1" x14ac:dyDescent="0.25">
      <c r="B12" s="16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H12" s="16" t="s">
        <v>8</v>
      </c>
      <c r="I12" s="16" t="s">
        <v>9</v>
      </c>
      <c r="J12" s="16" t="s">
        <v>10</v>
      </c>
      <c r="K12" s="16" t="s">
        <v>11</v>
      </c>
      <c r="L12" s="16" t="s">
        <v>12</v>
      </c>
      <c r="N12" s="16" t="s">
        <v>8</v>
      </c>
      <c r="O12" s="16" t="s">
        <v>9</v>
      </c>
      <c r="P12" s="16" t="s">
        <v>10</v>
      </c>
      <c r="Q12" s="16" t="s">
        <v>11</v>
      </c>
      <c r="R12" s="16" t="s">
        <v>12</v>
      </c>
    </row>
    <row r="13" spans="1:18" ht="15.75" customHeight="1" x14ac:dyDescent="0.25">
      <c r="B13" s="17" t="s">
        <v>13</v>
      </c>
      <c r="C13" s="18">
        <f>'📈 Plan-Ist'!D6</f>
        <v>0</v>
      </c>
      <c r="D13" s="19">
        <f>'📈 Plan-Ist'!D7</f>
        <v>348000</v>
      </c>
      <c r="E13" s="20">
        <f>D13-C13</f>
        <v>348000</v>
      </c>
      <c r="F13" s="21">
        <f>IF(C13&lt;&gt;0,(D13-C13)/C13,0)</f>
        <v>0</v>
      </c>
      <c r="H13" s="17" t="s">
        <v>14</v>
      </c>
      <c r="I13" s="18">
        <f>'📈 Plan-Ist'!H6</f>
        <v>0</v>
      </c>
      <c r="J13" s="19">
        <f>'📈 Plan-Ist'!H7</f>
        <v>398000</v>
      </c>
      <c r="K13" s="20">
        <f>J13-I13</f>
        <v>398000</v>
      </c>
      <c r="L13" s="21">
        <f>IF(I13&lt;&gt;0,(J13-I13)/I13,0)</f>
        <v>0</v>
      </c>
      <c r="N13" s="17" t="s">
        <v>15</v>
      </c>
      <c r="O13" s="18">
        <f>'📈 Plan-Ist'!L6</f>
        <v>0</v>
      </c>
      <c r="P13" s="19">
        <f>'📈 Plan-Ist'!L7</f>
        <v>438000</v>
      </c>
      <c r="Q13" s="20">
        <f>P13-O13</f>
        <v>438000</v>
      </c>
      <c r="R13" s="21">
        <f>IF(O13&lt;&gt;0,(P13-O13)/O13,0)</f>
        <v>0</v>
      </c>
    </row>
    <row r="14" spans="1:18" ht="15.75" customHeight="1" x14ac:dyDescent="0.25">
      <c r="B14" s="22" t="s">
        <v>16</v>
      </c>
      <c r="C14" s="23">
        <f>'📈 Plan-Ist'!E6</f>
        <v>0</v>
      </c>
      <c r="D14" s="24">
        <f>'📈 Plan-Ist'!E7</f>
        <v>325000</v>
      </c>
      <c r="E14" s="25">
        <f>D14-C14</f>
        <v>325000</v>
      </c>
      <c r="F14" s="26">
        <f>IF(C14&lt;&gt;0,(D14-C14)/C14,0)</f>
        <v>0</v>
      </c>
      <c r="H14" s="22" t="s">
        <v>17</v>
      </c>
      <c r="I14" s="23">
        <f>'📈 Plan-Ist'!I6</f>
        <v>0</v>
      </c>
      <c r="J14" s="24">
        <f>'📈 Plan-Ist'!I7</f>
        <v>412000</v>
      </c>
      <c r="K14" s="25">
        <f>J14-I14</f>
        <v>412000</v>
      </c>
      <c r="L14" s="26">
        <f>IF(I14&lt;&gt;0,(J14-I14)/I14,0)</f>
        <v>0</v>
      </c>
      <c r="N14" s="22" t="s">
        <v>18</v>
      </c>
      <c r="O14" s="23">
        <f>'📈 Plan-Ist'!M6</f>
        <v>0</v>
      </c>
      <c r="P14" s="24">
        <f>'📈 Plan-Ist'!M7</f>
        <v>431000</v>
      </c>
      <c r="Q14" s="25">
        <f>P14-O14</f>
        <v>431000</v>
      </c>
      <c r="R14" s="26">
        <f>IF(O14&lt;&gt;0,(P14-O14)/O14,0)</f>
        <v>0</v>
      </c>
    </row>
    <row r="15" spans="1:18" ht="15.75" customHeight="1" x14ac:dyDescent="0.25">
      <c r="B15" s="17" t="s">
        <v>19</v>
      </c>
      <c r="C15" s="18">
        <f>'📈 Plan-Ist'!F6</f>
        <v>0</v>
      </c>
      <c r="D15" s="19">
        <f>'📈 Plan-Ist'!F7</f>
        <v>360000</v>
      </c>
      <c r="E15" s="20">
        <f>D15-C15</f>
        <v>360000</v>
      </c>
      <c r="F15" s="21">
        <f>IF(C15&lt;&gt;0,(D15-C15)/C15,0)</f>
        <v>0</v>
      </c>
      <c r="H15" s="17" t="s">
        <v>20</v>
      </c>
      <c r="I15" s="18">
        <f>'📈 Plan-Ist'!J6</f>
        <v>0</v>
      </c>
      <c r="J15" s="19">
        <f>'📈 Plan-Ist'!J7</f>
        <v>418000</v>
      </c>
      <c r="K15" s="20">
        <f>J15-I15</f>
        <v>418000</v>
      </c>
      <c r="L15" s="21">
        <f>IF(I15&lt;&gt;0,(J15-I15)/I15,0)</f>
        <v>0</v>
      </c>
      <c r="N15" s="17" t="s">
        <v>21</v>
      </c>
      <c r="O15" s="18">
        <f>'📈 Plan-Ist'!N6</f>
        <v>0</v>
      </c>
      <c r="P15" s="19">
        <f>'📈 Plan-Ist'!N7</f>
        <v>405000</v>
      </c>
      <c r="Q15" s="20">
        <f>P15-O15</f>
        <v>405000</v>
      </c>
      <c r="R15" s="21">
        <f>IF(O15&lt;&gt;0,(P15-O15)/O15,0)</f>
        <v>0</v>
      </c>
    </row>
    <row r="16" spans="1:18" ht="15.75" customHeight="1" x14ac:dyDescent="0.25">
      <c r="B16" s="22" t="s">
        <v>22</v>
      </c>
      <c r="C16" s="23">
        <f>'📈 Plan-Ist'!G6</f>
        <v>0</v>
      </c>
      <c r="D16" s="24">
        <f>'📈 Plan-Ist'!G7</f>
        <v>385000</v>
      </c>
      <c r="E16" s="25">
        <f>D16-C16</f>
        <v>385000</v>
      </c>
      <c r="F16" s="26">
        <f>IF(C16&lt;&gt;0,(D16-C16)/C16,0)</f>
        <v>0</v>
      </c>
      <c r="H16" s="22" t="s">
        <v>23</v>
      </c>
      <c r="I16" s="23">
        <f>'📈 Plan-Ist'!K6</f>
        <v>0</v>
      </c>
      <c r="J16" s="24">
        <f>'📈 Plan-Ist'!K7</f>
        <v>425000</v>
      </c>
      <c r="K16" s="25">
        <f>J16-I16</f>
        <v>425000</v>
      </c>
      <c r="L16" s="26">
        <f>IF(I16&lt;&gt;0,(J16-I16)/I16,0)</f>
        <v>0</v>
      </c>
      <c r="N16" s="22" t="s">
        <v>24</v>
      </c>
      <c r="O16" s="23">
        <f>'📈 Plan-Ist'!O6</f>
        <v>0</v>
      </c>
      <c r="P16" s="24">
        <f>'📈 Plan-Ist'!O7</f>
        <v>405000</v>
      </c>
      <c r="Q16" s="25">
        <f>P16-O16</f>
        <v>405000</v>
      </c>
      <c r="R16" s="26">
        <f>IF(O16&lt;&gt;0,(P16-O16)/O16,0)</f>
        <v>0</v>
      </c>
    </row>
    <row r="18" spans="2:11" ht="9.75" customHeight="1" x14ac:dyDescent="0.25"/>
    <row r="19" spans="2:11" ht="18" customHeight="1" x14ac:dyDescent="0.25">
      <c r="B19" s="102" t="s">
        <v>25</v>
      </c>
      <c r="C19" s="102"/>
      <c r="D19" s="102"/>
      <c r="E19" s="102"/>
      <c r="F19" s="102"/>
      <c r="G19" s="102"/>
      <c r="H19" s="102"/>
      <c r="I19" s="102"/>
      <c r="J19" s="102"/>
      <c r="K19" s="102"/>
    </row>
    <row r="20" spans="2:11" ht="19.5" customHeight="1" x14ac:dyDescent="0.25">
      <c r="B20" s="16" t="s">
        <v>26</v>
      </c>
      <c r="C20" s="103" t="s">
        <v>5</v>
      </c>
      <c r="D20" s="104"/>
      <c r="E20" s="16" t="s">
        <v>6</v>
      </c>
      <c r="F20" s="16" t="s">
        <v>12</v>
      </c>
      <c r="G20" s="103" t="s">
        <v>27</v>
      </c>
      <c r="H20" s="104"/>
      <c r="I20" s="16" t="s">
        <v>28</v>
      </c>
      <c r="J20" s="103" t="s">
        <v>29</v>
      </c>
      <c r="K20" s="104"/>
    </row>
    <row r="21" spans="2:11" ht="19.5" customHeight="1" x14ac:dyDescent="0.25">
      <c r="B21" s="95" t="s">
        <v>30</v>
      </c>
      <c r="C21" s="96">
        <f>'📈 Plan-Ist'!C57</f>
        <v>0</v>
      </c>
      <c r="D21" s="97"/>
      <c r="E21" s="18">
        <f>'📈 Plan-Ist'!B57</f>
        <v>0</v>
      </c>
      <c r="F21" s="21">
        <f>IF(E21&lt;&gt;0,(C21-E21)/ABS(E21),0)</f>
        <v>0</v>
      </c>
      <c r="G21" s="88" t="s">
        <v>31</v>
      </c>
      <c r="H21" s="89"/>
      <c r="I21" s="27" t="s">
        <v>32</v>
      </c>
      <c r="J21" s="105" t="s">
        <v>33</v>
      </c>
      <c r="K21" s="106"/>
    </row>
    <row r="22" spans="2:11" ht="19.5" customHeight="1" x14ac:dyDescent="0.25">
      <c r="B22" s="94" t="s">
        <v>34</v>
      </c>
      <c r="C22" s="98">
        <f>'📈 Plan-Ist'!C63</f>
        <v>0</v>
      </c>
      <c r="D22" s="99"/>
      <c r="E22" s="23">
        <f>'📈 Plan-Ist'!B63</f>
        <v>0</v>
      </c>
      <c r="F22" s="26">
        <f>IF(E22&lt;&gt;0,(C22-E22)/ABS(E22),0)</f>
        <v>0</v>
      </c>
      <c r="G22" s="88" t="s">
        <v>31</v>
      </c>
      <c r="H22" s="89"/>
      <c r="I22" s="28" t="s">
        <v>32</v>
      </c>
      <c r="J22" s="107" t="s">
        <v>35</v>
      </c>
      <c r="K22" s="108"/>
    </row>
    <row r="23" spans="2:11" ht="19.5" customHeight="1" x14ac:dyDescent="0.25">
      <c r="B23" s="95" t="s">
        <v>36</v>
      </c>
      <c r="C23" s="100">
        <f>'📊 GuV'!D29</f>
        <v>-191000</v>
      </c>
      <c r="D23" s="101"/>
      <c r="E23" s="29">
        <f>'📊 GuV'!C29</f>
        <v>-185000</v>
      </c>
      <c r="F23" s="30">
        <f>IF(E23&lt;&gt;0,(C23-E23)/ABS(E23),0)</f>
        <v>-3.2432432432432434E-2</v>
      </c>
      <c r="G23" s="90" t="s">
        <v>37</v>
      </c>
      <c r="H23" s="91"/>
      <c r="I23" s="31" t="s">
        <v>38</v>
      </c>
      <c r="J23" s="105" t="s">
        <v>39</v>
      </c>
      <c r="K23" s="106"/>
    </row>
    <row r="24" spans="2:11" ht="19.5" customHeight="1" x14ac:dyDescent="0.25">
      <c r="B24" s="94" t="s">
        <v>40</v>
      </c>
      <c r="C24" s="98">
        <f>'💧 Liquidität'!B51</f>
        <v>0</v>
      </c>
      <c r="D24" s="99"/>
      <c r="E24" s="23">
        <f>'💧 Liquidität'!B50</f>
        <v>0</v>
      </c>
      <c r="F24" s="26">
        <f>IF(E24&lt;&gt;0,(C24-E24)/ABS(E24),0)</f>
        <v>0</v>
      </c>
      <c r="G24" s="88" t="s">
        <v>41</v>
      </c>
      <c r="H24" s="89"/>
      <c r="I24" s="28" t="s">
        <v>32</v>
      </c>
      <c r="J24" s="107" t="s">
        <v>42</v>
      </c>
      <c r="K24" s="108"/>
    </row>
    <row r="25" spans="2:11" ht="15" customHeight="1" x14ac:dyDescent="0.25">
      <c r="B25" s="95" t="s">
        <v>43</v>
      </c>
      <c r="C25" s="96">
        <f>'📊 GuV'!D18</f>
        <v>-1259000</v>
      </c>
      <c r="D25" s="97"/>
      <c r="E25" s="18">
        <f>'📊 GuV'!C18</f>
        <v>-1176000</v>
      </c>
      <c r="F25" s="30">
        <f>IF(E25&lt;&gt;0,(C25-E25)/ABS(E25),0)</f>
        <v>-7.0578231292517002E-2</v>
      </c>
      <c r="G25" s="92" t="s">
        <v>44</v>
      </c>
      <c r="H25" s="93"/>
      <c r="I25" s="32" t="s">
        <v>45</v>
      </c>
      <c r="J25" s="107" t="s">
        <v>46</v>
      </c>
      <c r="K25" s="108"/>
    </row>
    <row r="27" spans="2:11" ht="13.5" customHeight="1" x14ac:dyDescent="0.25">
      <c r="B27" s="83" t="s">
        <v>47</v>
      </c>
      <c r="C27" s="83"/>
      <c r="D27" s="83"/>
      <c r="E27" s="83"/>
      <c r="F27" s="83"/>
      <c r="G27" s="83"/>
      <c r="H27" s="83"/>
      <c r="I27" s="83"/>
    </row>
  </sheetData>
  <mergeCells count="48">
    <mergeCell ref="J24:K24"/>
    <mergeCell ref="J25:K25"/>
    <mergeCell ref="C20:D20"/>
    <mergeCell ref="C21:D21"/>
    <mergeCell ref="C22:D22"/>
    <mergeCell ref="C23:D23"/>
    <mergeCell ref="C24:D24"/>
    <mergeCell ref="C25:D25"/>
    <mergeCell ref="B27:I27"/>
    <mergeCell ref="G20:H20"/>
    <mergeCell ref="G21:H21"/>
    <mergeCell ref="G24:H24"/>
    <mergeCell ref="G23:H23"/>
    <mergeCell ref="G22:H22"/>
    <mergeCell ref="G25:H25"/>
    <mergeCell ref="J20:K20"/>
    <mergeCell ref="J21:K21"/>
    <mergeCell ref="J22:K22"/>
    <mergeCell ref="J23:K23"/>
    <mergeCell ref="B19:K19"/>
    <mergeCell ref="B11:R11"/>
    <mergeCell ref="B8:C8"/>
    <mergeCell ref="E8:F8"/>
    <mergeCell ref="H8:I8"/>
    <mergeCell ref="K8:L8"/>
    <mergeCell ref="N8:O8"/>
    <mergeCell ref="B7:C7"/>
    <mergeCell ref="E7:F7"/>
    <mergeCell ref="H7:I7"/>
    <mergeCell ref="K7:L7"/>
    <mergeCell ref="N7:O7"/>
    <mergeCell ref="B6:C6"/>
    <mergeCell ref="E6:F6"/>
    <mergeCell ref="H6:I6"/>
    <mergeCell ref="K6:L6"/>
    <mergeCell ref="N6:O6"/>
    <mergeCell ref="B5:C5"/>
    <mergeCell ref="E5:F5"/>
    <mergeCell ref="H5:I5"/>
    <mergeCell ref="K5:L5"/>
    <mergeCell ref="N5:O5"/>
    <mergeCell ref="A1:O1"/>
    <mergeCell ref="A2:O2"/>
    <mergeCell ref="B4:C4"/>
    <mergeCell ref="E4:F4"/>
    <mergeCell ref="H4:I4"/>
    <mergeCell ref="K4:L4"/>
    <mergeCell ref="N4:O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8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22" sqref="L22"/>
    </sheetView>
  </sheetViews>
  <sheetFormatPr baseColWidth="10" defaultColWidth="8.7109375" defaultRowHeight="15" x14ac:dyDescent="0.25"/>
  <cols>
    <col min="1" max="1" width="2" customWidth="1"/>
    <col min="2" max="2" width="32.42578125" bestFit="1" customWidth="1"/>
    <col min="3" max="3" width="15.42578125" bestFit="1" customWidth="1"/>
    <col min="4" max="4" width="14.28515625" bestFit="1" customWidth="1"/>
    <col min="5" max="5" width="8.28515625" bestFit="1" customWidth="1"/>
    <col min="6" max="6" width="7.5703125" bestFit="1" customWidth="1"/>
    <col min="7" max="7" width="2" customWidth="1"/>
  </cols>
  <sheetData>
    <row r="1" spans="2:6" ht="45" customHeight="1" x14ac:dyDescent="0.25">
      <c r="B1" s="112" t="s">
        <v>202</v>
      </c>
      <c r="C1" s="113"/>
      <c r="D1" s="113"/>
      <c r="E1" s="113"/>
      <c r="F1" s="113"/>
    </row>
    <row r="2" spans="2:6" ht="15.75" customHeight="1" x14ac:dyDescent="0.25">
      <c r="B2" s="16" t="s">
        <v>48</v>
      </c>
      <c r="C2" s="16" t="s">
        <v>49</v>
      </c>
      <c r="D2" s="16" t="s">
        <v>50</v>
      </c>
      <c r="E2" s="16" t="s">
        <v>11</v>
      </c>
      <c r="F2" s="16" t="s">
        <v>12</v>
      </c>
    </row>
    <row r="3" spans="2:6" ht="18" customHeight="1" x14ac:dyDescent="0.25">
      <c r="B3" s="85" t="s">
        <v>51</v>
      </c>
      <c r="C3" s="85"/>
      <c r="D3" s="85"/>
      <c r="E3" s="85"/>
      <c r="F3" s="85"/>
    </row>
    <row r="4" spans="2:6" ht="18" customHeight="1" x14ac:dyDescent="0.25">
      <c r="B4" s="33" t="s">
        <v>52</v>
      </c>
      <c r="C4" s="18">
        <v>3850000</v>
      </c>
      <c r="D4" s="19">
        <v>4120000</v>
      </c>
      <c r="E4" s="20">
        <f>D4-C4</f>
        <v>270000</v>
      </c>
      <c r="F4" s="21">
        <f>IF(C4&lt;&gt;0,(D4-C4)/ABS(C4),0)</f>
        <v>7.0129870129870125E-2</v>
      </c>
    </row>
    <row r="5" spans="2:6" ht="18" customHeight="1" x14ac:dyDescent="0.25">
      <c r="B5" s="34" t="s">
        <v>53</v>
      </c>
      <c r="C5" s="23">
        <v>980000</v>
      </c>
      <c r="D5" s="24">
        <v>1045000</v>
      </c>
      <c r="E5" s="25">
        <f>D5-C5</f>
        <v>65000</v>
      </c>
      <c r="F5" s="26">
        <f>IF(C5&lt;&gt;0,(D5-C5)/ABS(C5),0)</f>
        <v>6.6326530612244902E-2</v>
      </c>
    </row>
    <row r="6" spans="2:6" ht="18" customHeight="1" x14ac:dyDescent="0.25">
      <c r="B6" s="33" t="s">
        <v>54</v>
      </c>
      <c r="C6" s="18">
        <v>220000</v>
      </c>
      <c r="D6" s="19">
        <v>198000</v>
      </c>
      <c r="E6" s="20">
        <f>D6-C6</f>
        <v>-22000</v>
      </c>
      <c r="F6" s="21">
        <f>IF(C6&lt;&gt;0,(D6-C6)/ABS(C6),0)</f>
        <v>-0.1</v>
      </c>
    </row>
    <row r="7" spans="2:6" ht="18" customHeight="1" x14ac:dyDescent="0.25">
      <c r="B7" s="34" t="s">
        <v>55</v>
      </c>
      <c r="C7" s="23">
        <v>50000</v>
      </c>
      <c r="D7" s="24">
        <v>42000</v>
      </c>
      <c r="E7" s="25">
        <f>D7-C7</f>
        <v>-8000</v>
      </c>
      <c r="F7" s="26">
        <f>IF(C7&lt;&gt;0,(D7-C7)/ABS(C7),0)</f>
        <v>-0.16</v>
      </c>
    </row>
    <row r="8" spans="2:6" ht="18" customHeight="1" x14ac:dyDescent="0.25">
      <c r="B8" s="35" t="s">
        <v>56</v>
      </c>
      <c r="C8" s="36">
        <f>SUM(C4:C7)</f>
        <v>5100000</v>
      </c>
      <c r="D8" s="36">
        <f>SUM(D4:D7)</f>
        <v>5405000</v>
      </c>
      <c r="E8" s="37">
        <f>D8-C8</f>
        <v>305000</v>
      </c>
      <c r="F8" s="38">
        <f>IF(C8&lt;&gt;0,(D8-C8)/ABS(C8),0)</f>
        <v>5.9803921568627454E-2</v>
      </c>
    </row>
    <row r="9" spans="2:6" ht="18" customHeight="1" x14ac:dyDescent="0.25">
      <c r="B9" s="85" t="s">
        <v>57</v>
      </c>
      <c r="C9" s="85"/>
      <c r="D9" s="85"/>
      <c r="E9" s="85"/>
      <c r="F9" s="85"/>
    </row>
    <row r="10" spans="2:6" ht="18" customHeight="1" x14ac:dyDescent="0.25">
      <c r="B10" s="33" t="s">
        <v>58</v>
      </c>
      <c r="C10" s="18">
        <v>-1540000</v>
      </c>
      <c r="D10" s="19">
        <v>-1680000</v>
      </c>
      <c r="E10" s="20">
        <f>D10-C10</f>
        <v>-140000</v>
      </c>
      <c r="F10" s="21">
        <f>IF(C10&lt;&gt;0,(D10-C10)/ABS(C10),0)</f>
        <v>-9.0909090909090912E-2</v>
      </c>
    </row>
    <row r="11" spans="2:6" ht="18" customHeight="1" x14ac:dyDescent="0.25">
      <c r="B11" s="34" t="s">
        <v>59</v>
      </c>
      <c r="C11" s="23">
        <v>-210000</v>
      </c>
      <c r="D11" s="24">
        <v>-198000</v>
      </c>
      <c r="E11" s="25">
        <f>D11-C11</f>
        <v>12000</v>
      </c>
      <c r="F11" s="26">
        <f>IF(C11&lt;&gt;0,(D11-C11)/ABS(C11),0)</f>
        <v>5.7142857142857141E-2</v>
      </c>
    </row>
    <row r="12" spans="2:6" ht="18" customHeight="1" x14ac:dyDescent="0.25">
      <c r="B12" s="33" t="s">
        <v>60</v>
      </c>
      <c r="C12" s="18">
        <v>-380000</v>
      </c>
      <c r="D12" s="19">
        <v>-355000</v>
      </c>
      <c r="E12" s="20">
        <f>D12-C12</f>
        <v>25000</v>
      </c>
      <c r="F12" s="21">
        <f>IF(C12&lt;&gt;0,(D12-C12)/ABS(C12),0)</f>
        <v>6.5789473684210523E-2</v>
      </c>
    </row>
    <row r="13" spans="2:6" ht="18" customHeight="1" x14ac:dyDescent="0.25">
      <c r="B13" s="35" t="s">
        <v>61</v>
      </c>
      <c r="C13" s="36">
        <f>C8+SUM(C10:C12)</f>
        <v>2970000</v>
      </c>
      <c r="D13" s="36">
        <f>D8+SUM(D10:D12)</f>
        <v>3172000</v>
      </c>
      <c r="E13" s="37">
        <f>D13-C13</f>
        <v>202000</v>
      </c>
      <c r="F13" s="38">
        <f>IF(C13&lt;&gt;0,(D13-C13)/ABS(C13),0)</f>
        <v>6.8013468013468012E-2</v>
      </c>
    </row>
    <row r="14" spans="2:6" ht="18" customHeight="1" x14ac:dyDescent="0.25">
      <c r="B14" s="33" t="s">
        <v>62</v>
      </c>
      <c r="C14" s="39">
        <f>IF(C8&lt;&gt;0,C13/C8,0)</f>
        <v>0.58235294117647063</v>
      </c>
      <c r="D14" s="39">
        <f>IF(D8&lt;&gt;0,D13/D8,0)</f>
        <v>0.58686401480111006</v>
      </c>
      <c r="E14" s="39">
        <f>D14-C14</f>
        <v>4.5110736246394278E-3</v>
      </c>
      <c r="F14" s="40"/>
    </row>
    <row r="15" spans="2:6" ht="18" customHeight="1" x14ac:dyDescent="0.25">
      <c r="B15" s="85" t="s">
        <v>63</v>
      </c>
      <c r="C15" s="85"/>
      <c r="D15" s="85"/>
      <c r="E15" s="85"/>
      <c r="F15" s="85"/>
    </row>
    <row r="16" spans="2:6" ht="18" customHeight="1" x14ac:dyDescent="0.25">
      <c r="B16" s="33" t="s">
        <v>64</v>
      </c>
      <c r="C16" s="18">
        <v>-980000</v>
      </c>
      <c r="D16" s="19">
        <v>-1045000</v>
      </c>
      <c r="E16" s="20">
        <f>D16-C16</f>
        <v>-65000</v>
      </c>
      <c r="F16" s="21">
        <f>IF(C16&lt;&gt;0,(D16-C16)/ABS(C16),0)</f>
        <v>-6.6326530612244902E-2</v>
      </c>
    </row>
    <row r="17" spans="2:6" ht="18" customHeight="1" x14ac:dyDescent="0.25">
      <c r="B17" s="34" t="s">
        <v>65</v>
      </c>
      <c r="C17" s="23">
        <v>-196000</v>
      </c>
      <c r="D17" s="24">
        <v>-214000</v>
      </c>
      <c r="E17" s="25">
        <f>D17-C17</f>
        <v>-18000</v>
      </c>
      <c r="F17" s="26">
        <f>IF(C17&lt;&gt;0,(D17-C17)/ABS(C17),0)</f>
        <v>-9.1836734693877556E-2</v>
      </c>
    </row>
    <row r="18" spans="2:6" ht="18" customHeight="1" x14ac:dyDescent="0.25">
      <c r="B18" s="35" t="s">
        <v>66</v>
      </c>
      <c r="C18" s="36">
        <f>SUM(C16:C17)</f>
        <v>-1176000</v>
      </c>
      <c r="D18" s="36">
        <f>SUM(D16:D17)</f>
        <v>-1259000</v>
      </c>
      <c r="E18" s="37">
        <f>D18-C18</f>
        <v>-83000</v>
      </c>
      <c r="F18" s="38">
        <f>IF(C18&lt;&gt;0,(D18-C18)/ABS(C18),0)</f>
        <v>-7.0578231292517002E-2</v>
      </c>
    </row>
    <row r="19" spans="2:6" ht="18" customHeight="1" x14ac:dyDescent="0.25">
      <c r="B19" s="85" t="s">
        <v>67</v>
      </c>
      <c r="C19" s="85"/>
      <c r="D19" s="85"/>
      <c r="E19" s="85"/>
      <c r="F19" s="85"/>
    </row>
    <row r="20" spans="2:6" ht="18" customHeight="1" x14ac:dyDescent="0.25">
      <c r="B20" s="33" t="s">
        <v>68</v>
      </c>
      <c r="C20" s="18">
        <v>-145000</v>
      </c>
      <c r="D20" s="19">
        <v>-145000</v>
      </c>
      <c r="E20" s="20">
        <f t="shared" ref="E20:E31" si="0">D20-C20</f>
        <v>0</v>
      </c>
      <c r="F20" s="21">
        <f t="shared" ref="F20:F30" si="1">IF(C20&lt;&gt;0,(D20-C20)/ABS(C20),0)</f>
        <v>0</v>
      </c>
    </row>
    <row r="21" spans="2:6" ht="18" customHeight="1" x14ac:dyDescent="0.25">
      <c r="B21" s="34" t="s">
        <v>69</v>
      </c>
      <c r="C21" s="23">
        <v>-88000</v>
      </c>
      <c r="D21" s="24">
        <v>-95000</v>
      </c>
      <c r="E21" s="25">
        <f t="shared" si="0"/>
        <v>-7000</v>
      </c>
      <c r="F21" s="26">
        <f t="shared" si="1"/>
        <v>-7.9545454545454544E-2</v>
      </c>
    </row>
    <row r="22" spans="2:6" ht="18" customHeight="1" x14ac:dyDescent="0.25">
      <c r="B22" s="33" t="s">
        <v>70</v>
      </c>
      <c r="C22" s="18">
        <v>-52000</v>
      </c>
      <c r="D22" s="19">
        <v>-48000</v>
      </c>
      <c r="E22" s="20">
        <f t="shared" si="0"/>
        <v>4000</v>
      </c>
      <c r="F22" s="21">
        <f t="shared" si="1"/>
        <v>7.6923076923076927E-2</v>
      </c>
    </row>
    <row r="23" spans="2:6" ht="18" customHeight="1" x14ac:dyDescent="0.25">
      <c r="B23" s="34" t="s">
        <v>71</v>
      </c>
      <c r="C23" s="23">
        <v>-65000</v>
      </c>
      <c r="D23" s="24">
        <v>-58000</v>
      </c>
      <c r="E23" s="25">
        <f t="shared" si="0"/>
        <v>7000</v>
      </c>
      <c r="F23" s="26">
        <f t="shared" si="1"/>
        <v>0.1076923076923077</v>
      </c>
    </row>
    <row r="24" spans="2:6" ht="18" customHeight="1" x14ac:dyDescent="0.25">
      <c r="B24" s="33" t="s">
        <v>72</v>
      </c>
      <c r="C24" s="18">
        <v>-38000</v>
      </c>
      <c r="D24" s="19">
        <v>-41000</v>
      </c>
      <c r="E24" s="20">
        <f t="shared" si="0"/>
        <v>-3000</v>
      </c>
      <c r="F24" s="21">
        <f t="shared" si="1"/>
        <v>-7.8947368421052627E-2</v>
      </c>
    </row>
    <row r="25" spans="2:6" ht="18" customHeight="1" x14ac:dyDescent="0.25">
      <c r="B25" s="34" t="s">
        <v>73</v>
      </c>
      <c r="C25" s="23">
        <v>-32000</v>
      </c>
      <c r="D25" s="24">
        <v>-32000</v>
      </c>
      <c r="E25" s="25">
        <f t="shared" si="0"/>
        <v>0</v>
      </c>
      <c r="F25" s="26">
        <f t="shared" si="1"/>
        <v>0</v>
      </c>
    </row>
    <row r="26" spans="2:6" ht="18" customHeight="1" x14ac:dyDescent="0.25">
      <c r="B26" s="33" t="s">
        <v>74</v>
      </c>
      <c r="C26" s="18">
        <v>-45000</v>
      </c>
      <c r="D26" s="19">
        <v>-39000</v>
      </c>
      <c r="E26" s="20">
        <f t="shared" si="0"/>
        <v>6000</v>
      </c>
      <c r="F26" s="21">
        <f t="shared" si="1"/>
        <v>0.13333333333333333</v>
      </c>
    </row>
    <row r="27" spans="2:6" ht="18" customHeight="1" x14ac:dyDescent="0.25">
      <c r="B27" s="35" t="s">
        <v>75</v>
      </c>
      <c r="C27" s="36">
        <f>SUM(C20:C26)</f>
        <v>-465000</v>
      </c>
      <c r="D27" s="36">
        <f>SUM(D20:D26)</f>
        <v>-458000</v>
      </c>
      <c r="E27" s="37">
        <f t="shared" si="0"/>
        <v>7000</v>
      </c>
      <c r="F27" s="38">
        <f t="shared" si="1"/>
        <v>1.5053763440860216E-2</v>
      </c>
    </row>
    <row r="28" spans="2:6" ht="18" customHeight="1" x14ac:dyDescent="0.25">
      <c r="B28" s="35" t="s">
        <v>76</v>
      </c>
      <c r="C28" s="36">
        <f>C13+C18+C27</f>
        <v>1329000</v>
      </c>
      <c r="D28" s="36">
        <f>D13+D18+D27</f>
        <v>1455000</v>
      </c>
      <c r="E28" s="37">
        <f t="shared" si="0"/>
        <v>126000</v>
      </c>
      <c r="F28" s="38">
        <f t="shared" si="1"/>
        <v>9.480812641083522E-2</v>
      </c>
    </row>
    <row r="29" spans="2:6" ht="18" customHeight="1" x14ac:dyDescent="0.25">
      <c r="B29" s="34" t="s">
        <v>77</v>
      </c>
      <c r="C29" s="23">
        <v>-185000</v>
      </c>
      <c r="D29" s="24">
        <v>-191000</v>
      </c>
      <c r="E29" s="25">
        <f t="shared" si="0"/>
        <v>-6000</v>
      </c>
      <c r="F29" s="26">
        <f t="shared" si="1"/>
        <v>-3.2432432432432434E-2</v>
      </c>
    </row>
    <row r="30" spans="2:6" ht="18" customHeight="1" x14ac:dyDescent="0.25">
      <c r="B30" s="35" t="s">
        <v>78</v>
      </c>
      <c r="C30" s="36">
        <f>C28+C29</f>
        <v>1144000</v>
      </c>
      <c r="D30" s="36">
        <f>D28+D29</f>
        <v>1264000</v>
      </c>
      <c r="E30" s="37">
        <f t="shared" si="0"/>
        <v>120000</v>
      </c>
      <c r="F30" s="38">
        <f t="shared" si="1"/>
        <v>0.1048951048951049</v>
      </c>
    </row>
    <row r="31" spans="2:6" ht="18" customHeight="1" x14ac:dyDescent="0.25">
      <c r="B31" s="34" t="s">
        <v>79</v>
      </c>
      <c r="C31" s="41">
        <f>IF(C8&lt;&gt;0,C30/C8,0)</f>
        <v>0.22431372549019607</v>
      </c>
      <c r="D31" s="41">
        <f>IF(D8&lt;&gt;0,D30/D8,0)</f>
        <v>0.23385753931544867</v>
      </c>
      <c r="E31" s="41">
        <f t="shared" si="0"/>
        <v>9.5438138252526006E-3</v>
      </c>
      <c r="F31" s="42"/>
    </row>
    <row r="32" spans="2:6" ht="18" customHeight="1" x14ac:dyDescent="0.25">
      <c r="B32" s="85" t="s">
        <v>80</v>
      </c>
      <c r="C32" s="85"/>
      <c r="D32" s="85"/>
      <c r="E32" s="85"/>
      <c r="F32" s="85"/>
    </row>
    <row r="33" spans="2:6" ht="18" customHeight="1" x14ac:dyDescent="0.25">
      <c r="B33" s="34" t="s">
        <v>81</v>
      </c>
      <c r="C33" s="23">
        <v>8000</v>
      </c>
      <c r="D33" s="24">
        <v>9500</v>
      </c>
      <c r="E33" s="25">
        <f t="shared" ref="E33:E38" si="2">D33-C33</f>
        <v>1500</v>
      </c>
      <c r="F33" s="26">
        <f>IF(C33&lt;&gt;0,(D33-C33)/ABS(C33),0)</f>
        <v>0.1875</v>
      </c>
    </row>
    <row r="34" spans="2:6" ht="18" customHeight="1" x14ac:dyDescent="0.25">
      <c r="B34" s="33" t="s">
        <v>82</v>
      </c>
      <c r="C34" s="18">
        <v>-45000</v>
      </c>
      <c r="D34" s="19">
        <v>-42000</v>
      </c>
      <c r="E34" s="20">
        <f t="shared" si="2"/>
        <v>3000</v>
      </c>
      <c r="F34" s="21">
        <f>IF(C34&lt;&gt;0,(D34-C34)/ABS(C34),0)</f>
        <v>6.6666666666666666E-2</v>
      </c>
    </row>
    <row r="35" spans="2:6" ht="18" customHeight="1" x14ac:dyDescent="0.25">
      <c r="B35" s="35" t="s">
        <v>83</v>
      </c>
      <c r="C35" s="36">
        <f>SUM(C33:C34)</f>
        <v>-37000</v>
      </c>
      <c r="D35" s="36">
        <f>SUM(D33:D34)</f>
        <v>-32500</v>
      </c>
      <c r="E35" s="37">
        <f t="shared" si="2"/>
        <v>4500</v>
      </c>
      <c r="F35" s="38">
        <f>IF(C35&lt;&gt;0,(D35-C35)/ABS(C35),0)</f>
        <v>0.12162162162162163</v>
      </c>
    </row>
    <row r="36" spans="2:6" ht="18" customHeight="1" x14ac:dyDescent="0.25">
      <c r="B36" s="35" t="s">
        <v>84</v>
      </c>
      <c r="C36" s="36">
        <f>C30+C35</f>
        <v>1107000</v>
      </c>
      <c r="D36" s="36">
        <f>D30+D35</f>
        <v>1231500</v>
      </c>
      <c r="E36" s="37">
        <f t="shared" si="2"/>
        <v>124500</v>
      </c>
      <c r="F36" s="38">
        <f>IF(C36&lt;&gt;0,(D36-C36)/ABS(C36),0)</f>
        <v>0.11246612466124661</v>
      </c>
    </row>
    <row r="37" spans="2:6" ht="18" customHeight="1" x14ac:dyDescent="0.25">
      <c r="B37" s="34" t="s">
        <v>85</v>
      </c>
      <c r="C37" s="43">
        <f>C36*-0.3</f>
        <v>-332100</v>
      </c>
      <c r="D37" s="43">
        <f>D36*-0.3</f>
        <v>-369450</v>
      </c>
      <c r="E37" s="43">
        <f t="shared" si="2"/>
        <v>-37350</v>
      </c>
      <c r="F37" s="42"/>
    </row>
    <row r="38" spans="2:6" ht="18" customHeight="1" x14ac:dyDescent="0.25">
      <c r="B38" s="35" t="s">
        <v>86</v>
      </c>
      <c r="C38" s="36">
        <f>C36+C37</f>
        <v>774900</v>
      </c>
      <c r="D38" s="36">
        <f>D36+D37</f>
        <v>862050</v>
      </c>
      <c r="E38" s="37">
        <f t="shared" si="2"/>
        <v>87150</v>
      </c>
      <c r="F38" s="38">
        <f>IF(C38&lt;&gt;0,(D38-C38)/ABS(C38),0)</f>
        <v>0.11246612466124661</v>
      </c>
    </row>
  </sheetData>
  <mergeCells count="6">
    <mergeCell ref="B32:F32"/>
    <mergeCell ref="B1:F1"/>
    <mergeCell ref="B3:F3"/>
    <mergeCell ref="B9:F9"/>
    <mergeCell ref="B15:F15"/>
    <mergeCell ref="B19:F19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1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ColWidth="8.7109375" defaultRowHeight="15" x14ac:dyDescent="0.25"/>
  <cols>
    <col min="1" max="1" width="1.5703125" customWidth="1"/>
    <col min="2" max="2" width="28" customWidth="1"/>
    <col min="3" max="3" width="13" customWidth="1"/>
    <col min="4" max="15" width="10" customWidth="1"/>
    <col min="16" max="16" width="13" customWidth="1"/>
  </cols>
  <sheetData>
    <row r="1" spans="2:16" ht="45" customHeight="1" x14ac:dyDescent="0.25">
      <c r="B1" s="111" t="s">
        <v>203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2:16" ht="18" customHeight="1" x14ac:dyDescent="0.25">
      <c r="B2" s="44" t="s">
        <v>48</v>
      </c>
      <c r="C2" s="44" t="s">
        <v>87</v>
      </c>
      <c r="D2" s="44" t="s">
        <v>13</v>
      </c>
      <c r="E2" s="44" t="s">
        <v>16</v>
      </c>
      <c r="F2" s="44" t="s">
        <v>19</v>
      </c>
      <c r="G2" s="44" t="s">
        <v>22</v>
      </c>
      <c r="H2" s="44" t="s">
        <v>14</v>
      </c>
      <c r="I2" s="44" t="s">
        <v>17</v>
      </c>
      <c r="J2" s="44" t="s">
        <v>20</v>
      </c>
      <c r="K2" s="44" t="s">
        <v>23</v>
      </c>
      <c r="L2" s="44" t="s">
        <v>15</v>
      </c>
      <c r="M2" s="44" t="s">
        <v>18</v>
      </c>
      <c r="N2" s="44" t="s">
        <v>21</v>
      </c>
      <c r="O2" s="44" t="s">
        <v>24</v>
      </c>
      <c r="P2" s="44" t="s">
        <v>88</v>
      </c>
    </row>
    <row r="3" spans="2:16" ht="13.5" customHeight="1" x14ac:dyDescent="0.25">
      <c r="B3" s="45"/>
      <c r="C3" s="45" t="s">
        <v>89</v>
      </c>
      <c r="D3" s="45" t="s">
        <v>89</v>
      </c>
      <c r="E3" s="45" t="s">
        <v>89</v>
      </c>
      <c r="F3" s="45" t="s">
        <v>89</v>
      </c>
      <c r="G3" s="45" t="s">
        <v>89</v>
      </c>
      <c r="H3" s="45" t="s">
        <v>89</v>
      </c>
      <c r="I3" s="45" t="s">
        <v>89</v>
      </c>
      <c r="J3" s="45" t="s">
        <v>89</v>
      </c>
      <c r="K3" s="45" t="s">
        <v>89</v>
      </c>
      <c r="L3" s="45" t="s">
        <v>89</v>
      </c>
      <c r="M3" s="45" t="s">
        <v>89</v>
      </c>
      <c r="N3" s="45" t="s">
        <v>89</v>
      </c>
      <c r="O3" s="45" t="s">
        <v>89</v>
      </c>
      <c r="P3" s="45" t="s">
        <v>89</v>
      </c>
    </row>
    <row r="4" spans="2:16" ht="16.5" customHeight="1" x14ac:dyDescent="0.25">
      <c r="B4" s="85" t="s">
        <v>90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2:16" ht="16.5" customHeight="1" x14ac:dyDescent="0.25">
      <c r="B5" s="46" t="s">
        <v>91</v>
      </c>
      <c r="C5" s="47">
        <v>4550000</v>
      </c>
      <c r="D5" s="48">
        <v>330000</v>
      </c>
      <c r="E5" s="48">
        <v>310000</v>
      </c>
      <c r="F5" s="48">
        <v>345000</v>
      </c>
      <c r="G5" s="48">
        <v>370000</v>
      </c>
      <c r="H5" s="48">
        <v>380000</v>
      </c>
      <c r="I5" s="48">
        <v>395000</v>
      </c>
      <c r="J5" s="48">
        <v>400000</v>
      </c>
      <c r="K5" s="48">
        <v>410000</v>
      </c>
      <c r="L5" s="48">
        <v>420000</v>
      </c>
      <c r="M5" s="48">
        <v>415000</v>
      </c>
      <c r="N5" s="48">
        <v>390000</v>
      </c>
      <c r="O5" s="48">
        <v>385000</v>
      </c>
      <c r="P5" s="49">
        <f>SUM(D5:O5)</f>
        <v>4550000</v>
      </c>
    </row>
    <row r="6" spans="2:16" ht="16.5" customHeight="1" x14ac:dyDescent="0.25">
      <c r="B6" s="85" t="s">
        <v>92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2:16" ht="16.5" customHeight="1" x14ac:dyDescent="0.25">
      <c r="B7" s="46" t="s">
        <v>93</v>
      </c>
      <c r="C7" s="50">
        <v>4750000</v>
      </c>
      <c r="D7" s="51">
        <v>348000</v>
      </c>
      <c r="E7" s="51">
        <v>325000</v>
      </c>
      <c r="F7" s="51">
        <v>360000</v>
      </c>
      <c r="G7" s="51">
        <v>385000</v>
      </c>
      <c r="H7" s="51">
        <v>398000</v>
      </c>
      <c r="I7" s="51">
        <v>412000</v>
      </c>
      <c r="J7" s="51">
        <v>418000</v>
      </c>
      <c r="K7" s="51">
        <v>425000</v>
      </c>
      <c r="L7" s="51">
        <v>438000</v>
      </c>
      <c r="M7" s="51">
        <v>431000</v>
      </c>
      <c r="N7" s="51">
        <v>405000</v>
      </c>
      <c r="O7" s="51">
        <v>405000</v>
      </c>
      <c r="P7" s="49">
        <f>SUM(D7:O7)</f>
        <v>4750000</v>
      </c>
    </row>
    <row r="8" spans="2:16" ht="16.5" customHeight="1" x14ac:dyDescent="0.25">
      <c r="B8" s="52" t="s">
        <v>94</v>
      </c>
      <c r="C8" s="20">
        <f t="shared" ref="C8:P8" si="0">C7-C5</f>
        <v>200000</v>
      </c>
      <c r="D8" s="20">
        <f t="shared" si="0"/>
        <v>18000</v>
      </c>
      <c r="E8" s="20">
        <f t="shared" si="0"/>
        <v>15000</v>
      </c>
      <c r="F8" s="20">
        <f t="shared" si="0"/>
        <v>15000</v>
      </c>
      <c r="G8" s="20">
        <f t="shared" si="0"/>
        <v>15000</v>
      </c>
      <c r="H8" s="20">
        <f t="shared" si="0"/>
        <v>18000</v>
      </c>
      <c r="I8" s="20">
        <f t="shared" si="0"/>
        <v>17000</v>
      </c>
      <c r="J8" s="20">
        <f t="shared" si="0"/>
        <v>18000</v>
      </c>
      <c r="K8" s="20">
        <f t="shared" si="0"/>
        <v>15000</v>
      </c>
      <c r="L8" s="20">
        <f t="shared" si="0"/>
        <v>18000</v>
      </c>
      <c r="M8" s="20">
        <f t="shared" si="0"/>
        <v>16000</v>
      </c>
      <c r="N8" s="20">
        <f t="shared" si="0"/>
        <v>15000</v>
      </c>
      <c r="O8" s="20">
        <f t="shared" si="0"/>
        <v>20000</v>
      </c>
      <c r="P8" s="20">
        <f t="shared" si="0"/>
        <v>200000</v>
      </c>
    </row>
    <row r="9" spans="2:16" ht="16.5" customHeight="1" x14ac:dyDescent="0.25">
      <c r="B9" s="46" t="s">
        <v>95</v>
      </c>
      <c r="C9" s="26">
        <f t="shared" ref="C9:P9" si="1">IF(C5&lt;&gt;0,(C7-C5)/ABS(C5),0)</f>
        <v>4.3956043956043959E-2</v>
      </c>
      <c r="D9" s="26">
        <f t="shared" si="1"/>
        <v>5.4545454545454543E-2</v>
      </c>
      <c r="E9" s="26">
        <f t="shared" si="1"/>
        <v>4.8387096774193547E-2</v>
      </c>
      <c r="F9" s="26">
        <f t="shared" si="1"/>
        <v>4.3478260869565216E-2</v>
      </c>
      <c r="G9" s="26">
        <f t="shared" si="1"/>
        <v>4.0540540540540543E-2</v>
      </c>
      <c r="H9" s="26">
        <f t="shared" si="1"/>
        <v>4.736842105263158E-2</v>
      </c>
      <c r="I9" s="26">
        <f t="shared" si="1"/>
        <v>4.3037974683544304E-2</v>
      </c>
      <c r="J9" s="26">
        <f t="shared" si="1"/>
        <v>4.4999999999999998E-2</v>
      </c>
      <c r="K9" s="26">
        <f t="shared" si="1"/>
        <v>3.6585365853658534E-2</v>
      </c>
      <c r="L9" s="26">
        <f t="shared" si="1"/>
        <v>4.2857142857142858E-2</v>
      </c>
      <c r="M9" s="26">
        <f t="shared" si="1"/>
        <v>3.8554216867469883E-2</v>
      </c>
      <c r="N9" s="26">
        <f t="shared" si="1"/>
        <v>3.8461538461538464E-2</v>
      </c>
      <c r="O9" s="26">
        <f t="shared" si="1"/>
        <v>5.1948051948051951E-2</v>
      </c>
      <c r="P9" s="26">
        <f t="shared" si="1"/>
        <v>4.3956043956043959E-2</v>
      </c>
    </row>
    <row r="10" spans="2:16" ht="16.5" customHeight="1" x14ac:dyDescent="0.25">
      <c r="B10" s="85" t="s">
        <v>96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</row>
    <row r="11" spans="2:16" ht="16.5" customHeight="1" x14ac:dyDescent="0.25">
      <c r="B11" s="46" t="s">
        <v>97</v>
      </c>
      <c r="C11" s="47">
        <v>-1820000</v>
      </c>
      <c r="D11" s="48">
        <v>-132000</v>
      </c>
      <c r="E11" s="48">
        <v>-124000</v>
      </c>
      <c r="F11" s="48">
        <v>-138000</v>
      </c>
      <c r="G11" s="48">
        <v>-148000</v>
      </c>
      <c r="H11" s="48">
        <v>-152000</v>
      </c>
      <c r="I11" s="48">
        <v>-158000</v>
      </c>
      <c r="J11" s="48">
        <v>-160000</v>
      </c>
      <c r="K11" s="48">
        <v>-164000</v>
      </c>
      <c r="L11" s="48">
        <v>-168000</v>
      </c>
      <c r="M11" s="48">
        <v>-166000</v>
      </c>
      <c r="N11" s="48">
        <v>-156000</v>
      </c>
      <c r="O11" s="48">
        <v>-154000</v>
      </c>
      <c r="P11" s="49">
        <f>SUM(D11:O11)</f>
        <v>-1820000</v>
      </c>
    </row>
    <row r="12" spans="2:16" ht="16.5" customHeight="1" x14ac:dyDescent="0.25">
      <c r="B12" s="52" t="s">
        <v>98</v>
      </c>
      <c r="C12" s="50">
        <v>-1900200</v>
      </c>
      <c r="D12" s="53">
        <v>-139200</v>
      </c>
      <c r="E12" s="53">
        <v>-130000</v>
      </c>
      <c r="F12" s="53">
        <v>-144000</v>
      </c>
      <c r="G12" s="53">
        <v>-154200</v>
      </c>
      <c r="H12" s="53">
        <v>-159200</v>
      </c>
      <c r="I12" s="53">
        <v>-164800</v>
      </c>
      <c r="J12" s="53">
        <v>-167200</v>
      </c>
      <c r="K12" s="53">
        <v>-170000</v>
      </c>
      <c r="L12" s="53">
        <v>-175200</v>
      </c>
      <c r="M12" s="53">
        <v>-172400</v>
      </c>
      <c r="N12" s="53">
        <v>-162000</v>
      </c>
      <c r="O12" s="53">
        <v>-162000</v>
      </c>
      <c r="P12" s="49">
        <f>SUM(D12:O12)</f>
        <v>-1900200</v>
      </c>
    </row>
    <row r="13" spans="2:16" ht="16.5" customHeight="1" x14ac:dyDescent="0.25">
      <c r="B13" s="46" t="s">
        <v>99</v>
      </c>
      <c r="C13" s="25">
        <f t="shared" ref="C13:P13" si="2">C12-C11</f>
        <v>-80200</v>
      </c>
      <c r="D13" s="25">
        <f t="shared" si="2"/>
        <v>-7200</v>
      </c>
      <c r="E13" s="25">
        <f t="shared" si="2"/>
        <v>-6000</v>
      </c>
      <c r="F13" s="25">
        <f t="shared" si="2"/>
        <v>-6000</v>
      </c>
      <c r="G13" s="25">
        <f t="shared" si="2"/>
        <v>-6200</v>
      </c>
      <c r="H13" s="25">
        <f t="shared" si="2"/>
        <v>-7200</v>
      </c>
      <c r="I13" s="25">
        <f t="shared" si="2"/>
        <v>-6800</v>
      </c>
      <c r="J13" s="25">
        <f t="shared" si="2"/>
        <v>-7200</v>
      </c>
      <c r="K13" s="25">
        <f t="shared" si="2"/>
        <v>-6000</v>
      </c>
      <c r="L13" s="25">
        <f t="shared" si="2"/>
        <v>-7200</v>
      </c>
      <c r="M13" s="25">
        <f t="shared" si="2"/>
        <v>-6400</v>
      </c>
      <c r="N13" s="25">
        <f t="shared" si="2"/>
        <v>-6000</v>
      </c>
      <c r="O13" s="25">
        <f t="shared" si="2"/>
        <v>-8000</v>
      </c>
      <c r="P13" s="25">
        <f t="shared" si="2"/>
        <v>-80200</v>
      </c>
    </row>
    <row r="14" spans="2:16" ht="16.5" customHeight="1" x14ac:dyDescent="0.25">
      <c r="B14" s="85" t="s">
        <v>100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</row>
    <row r="15" spans="2:16" ht="16.5" customHeight="1" x14ac:dyDescent="0.25">
      <c r="B15" s="46" t="s">
        <v>101</v>
      </c>
      <c r="C15" s="54">
        <f t="shared" ref="C15:P15" si="3">C5+C11</f>
        <v>2730000</v>
      </c>
      <c r="D15" s="54">
        <f t="shared" si="3"/>
        <v>198000</v>
      </c>
      <c r="E15" s="54">
        <f t="shared" si="3"/>
        <v>186000</v>
      </c>
      <c r="F15" s="54">
        <f t="shared" si="3"/>
        <v>207000</v>
      </c>
      <c r="G15" s="54">
        <f t="shared" si="3"/>
        <v>222000</v>
      </c>
      <c r="H15" s="54">
        <f t="shared" si="3"/>
        <v>228000</v>
      </c>
      <c r="I15" s="54">
        <f t="shared" si="3"/>
        <v>237000</v>
      </c>
      <c r="J15" s="54">
        <f t="shared" si="3"/>
        <v>240000</v>
      </c>
      <c r="K15" s="54">
        <f t="shared" si="3"/>
        <v>246000</v>
      </c>
      <c r="L15" s="54">
        <f t="shared" si="3"/>
        <v>252000</v>
      </c>
      <c r="M15" s="54">
        <f t="shared" si="3"/>
        <v>249000</v>
      </c>
      <c r="N15" s="54">
        <f t="shared" si="3"/>
        <v>234000</v>
      </c>
      <c r="O15" s="54">
        <f t="shared" si="3"/>
        <v>231000</v>
      </c>
      <c r="P15" s="54">
        <f t="shared" si="3"/>
        <v>2730000</v>
      </c>
    </row>
    <row r="16" spans="2:16" ht="16.5" customHeight="1" x14ac:dyDescent="0.25">
      <c r="B16" s="52" t="s">
        <v>102</v>
      </c>
      <c r="C16" s="54">
        <f t="shared" ref="C16:P16" si="4">C7+C12</f>
        <v>2849800</v>
      </c>
      <c r="D16" s="54">
        <f t="shared" si="4"/>
        <v>208800</v>
      </c>
      <c r="E16" s="54">
        <f t="shared" si="4"/>
        <v>195000</v>
      </c>
      <c r="F16" s="54">
        <f t="shared" si="4"/>
        <v>216000</v>
      </c>
      <c r="G16" s="54">
        <f t="shared" si="4"/>
        <v>230800</v>
      </c>
      <c r="H16" s="54">
        <f t="shared" si="4"/>
        <v>238800</v>
      </c>
      <c r="I16" s="54">
        <f t="shared" si="4"/>
        <v>247200</v>
      </c>
      <c r="J16" s="54">
        <f t="shared" si="4"/>
        <v>250800</v>
      </c>
      <c r="K16" s="54">
        <f t="shared" si="4"/>
        <v>255000</v>
      </c>
      <c r="L16" s="54">
        <f t="shared" si="4"/>
        <v>262800</v>
      </c>
      <c r="M16" s="54">
        <f t="shared" si="4"/>
        <v>258600</v>
      </c>
      <c r="N16" s="54">
        <f t="shared" si="4"/>
        <v>243000</v>
      </c>
      <c r="O16" s="54">
        <f t="shared" si="4"/>
        <v>243000</v>
      </c>
      <c r="P16" s="54">
        <f t="shared" si="4"/>
        <v>2849800</v>
      </c>
    </row>
    <row r="17" spans="2:16" ht="16.5" customHeight="1" x14ac:dyDescent="0.25">
      <c r="B17" s="85" t="s">
        <v>103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</row>
    <row r="18" spans="2:16" ht="16.5" customHeight="1" x14ac:dyDescent="0.25">
      <c r="B18" s="52" t="s">
        <v>104</v>
      </c>
      <c r="C18" s="47">
        <v>-1176000</v>
      </c>
      <c r="D18" s="55">
        <v>-98000</v>
      </c>
      <c r="E18" s="55">
        <v>-98000</v>
      </c>
      <c r="F18" s="55">
        <v>-98000</v>
      </c>
      <c r="G18" s="55">
        <v>-98000</v>
      </c>
      <c r="H18" s="55">
        <v>-98000</v>
      </c>
      <c r="I18" s="55">
        <v>-98000</v>
      </c>
      <c r="J18" s="55">
        <v>-98000</v>
      </c>
      <c r="K18" s="55">
        <v>-98000</v>
      </c>
      <c r="L18" s="55">
        <v>-98000</v>
      </c>
      <c r="M18" s="55">
        <v>-98000</v>
      </c>
      <c r="N18" s="55">
        <v>-98000</v>
      </c>
      <c r="O18" s="55">
        <v>-98000</v>
      </c>
      <c r="P18" s="49">
        <f>SUM(D18:O18)</f>
        <v>-1176000</v>
      </c>
    </row>
    <row r="19" spans="2:16" ht="16.5" customHeight="1" x14ac:dyDescent="0.25">
      <c r="B19" s="46" t="s">
        <v>105</v>
      </c>
      <c r="C19" s="50">
        <v>-1239000</v>
      </c>
      <c r="D19" s="51">
        <v>-98000</v>
      </c>
      <c r="E19" s="51">
        <v>-98000</v>
      </c>
      <c r="F19" s="51">
        <v>-98000</v>
      </c>
      <c r="G19" s="51">
        <v>-105000</v>
      </c>
      <c r="H19" s="51">
        <v>-105000</v>
      </c>
      <c r="I19" s="51">
        <v>-105000</v>
      </c>
      <c r="J19" s="51">
        <v>-105000</v>
      </c>
      <c r="K19" s="51">
        <v>-105000</v>
      </c>
      <c r="L19" s="51">
        <v>-105000</v>
      </c>
      <c r="M19" s="51">
        <v>-105000</v>
      </c>
      <c r="N19" s="51">
        <v>-105000</v>
      </c>
      <c r="O19" s="51">
        <v>-105000</v>
      </c>
      <c r="P19" s="49">
        <f>SUM(D19:O19)</f>
        <v>-1239000</v>
      </c>
    </row>
    <row r="20" spans="2:16" ht="16.5" customHeight="1" x14ac:dyDescent="0.25">
      <c r="B20" s="85" t="s">
        <v>106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</row>
    <row r="21" spans="2:16" ht="16.5" customHeight="1" x14ac:dyDescent="0.25">
      <c r="B21" s="56" t="s">
        <v>107</v>
      </c>
      <c r="C21" s="54">
        <f t="shared" ref="C21:P21" si="5">C5+C11+C18</f>
        <v>1554000</v>
      </c>
      <c r="D21" s="54">
        <f t="shared" si="5"/>
        <v>100000</v>
      </c>
      <c r="E21" s="54">
        <f t="shared" si="5"/>
        <v>88000</v>
      </c>
      <c r="F21" s="54">
        <f t="shared" si="5"/>
        <v>109000</v>
      </c>
      <c r="G21" s="54">
        <f t="shared" si="5"/>
        <v>124000</v>
      </c>
      <c r="H21" s="54">
        <f t="shared" si="5"/>
        <v>130000</v>
      </c>
      <c r="I21" s="54">
        <f t="shared" si="5"/>
        <v>139000</v>
      </c>
      <c r="J21" s="54">
        <f t="shared" si="5"/>
        <v>142000</v>
      </c>
      <c r="K21" s="54">
        <f t="shared" si="5"/>
        <v>148000</v>
      </c>
      <c r="L21" s="54">
        <f t="shared" si="5"/>
        <v>154000</v>
      </c>
      <c r="M21" s="54">
        <f t="shared" si="5"/>
        <v>151000</v>
      </c>
      <c r="N21" s="54">
        <f t="shared" si="5"/>
        <v>136000</v>
      </c>
      <c r="O21" s="54">
        <f t="shared" si="5"/>
        <v>133000</v>
      </c>
      <c r="P21" s="54">
        <f t="shared" si="5"/>
        <v>1554000</v>
      </c>
    </row>
    <row r="22" spans="2:16" ht="16.5" customHeight="1" x14ac:dyDescent="0.25">
      <c r="B22" s="56" t="s">
        <v>108</v>
      </c>
      <c r="C22" s="54">
        <f t="shared" ref="C22:P22" si="6">C7+C12+C19</f>
        <v>1610800</v>
      </c>
      <c r="D22" s="54">
        <f t="shared" si="6"/>
        <v>110800</v>
      </c>
      <c r="E22" s="54">
        <f t="shared" si="6"/>
        <v>97000</v>
      </c>
      <c r="F22" s="54">
        <f t="shared" si="6"/>
        <v>118000</v>
      </c>
      <c r="G22" s="54">
        <f t="shared" si="6"/>
        <v>125800</v>
      </c>
      <c r="H22" s="54">
        <f t="shared" si="6"/>
        <v>133800</v>
      </c>
      <c r="I22" s="54">
        <f t="shared" si="6"/>
        <v>142200</v>
      </c>
      <c r="J22" s="54">
        <f t="shared" si="6"/>
        <v>145800</v>
      </c>
      <c r="K22" s="54">
        <f t="shared" si="6"/>
        <v>150000</v>
      </c>
      <c r="L22" s="54">
        <f t="shared" si="6"/>
        <v>157800</v>
      </c>
      <c r="M22" s="54">
        <f t="shared" si="6"/>
        <v>153600</v>
      </c>
      <c r="N22" s="54">
        <f t="shared" si="6"/>
        <v>138000</v>
      </c>
      <c r="O22" s="54">
        <f t="shared" si="6"/>
        <v>138000</v>
      </c>
      <c r="P22" s="54">
        <f t="shared" si="6"/>
        <v>1610800</v>
      </c>
    </row>
    <row r="23" spans="2:16" ht="16.5" customHeight="1" x14ac:dyDescent="0.25">
      <c r="B23" s="56" t="s">
        <v>109</v>
      </c>
      <c r="C23" s="26">
        <f t="shared" ref="C23:P23" si="7">IF(ABS(C5)&gt;0,C21/ABS(C5),0)</f>
        <v>0.34153846153846151</v>
      </c>
      <c r="D23" s="26">
        <f t="shared" si="7"/>
        <v>0.30303030303030304</v>
      </c>
      <c r="E23" s="26">
        <f t="shared" si="7"/>
        <v>0.28387096774193549</v>
      </c>
      <c r="F23" s="26">
        <f t="shared" si="7"/>
        <v>0.31594202898550727</v>
      </c>
      <c r="G23" s="26">
        <f t="shared" si="7"/>
        <v>0.33513513513513515</v>
      </c>
      <c r="H23" s="26">
        <f t="shared" si="7"/>
        <v>0.34210526315789475</v>
      </c>
      <c r="I23" s="26">
        <f t="shared" si="7"/>
        <v>0.35189873417721518</v>
      </c>
      <c r="J23" s="26">
        <f t="shared" si="7"/>
        <v>0.35499999999999998</v>
      </c>
      <c r="K23" s="26">
        <f t="shared" si="7"/>
        <v>0.36097560975609755</v>
      </c>
      <c r="L23" s="26">
        <f t="shared" si="7"/>
        <v>0.36666666666666664</v>
      </c>
      <c r="M23" s="26">
        <f t="shared" si="7"/>
        <v>0.363855421686747</v>
      </c>
      <c r="N23" s="26">
        <f t="shared" si="7"/>
        <v>0.3487179487179487</v>
      </c>
      <c r="O23" s="26">
        <f t="shared" si="7"/>
        <v>0.34545454545454546</v>
      </c>
      <c r="P23" s="26">
        <f t="shared" si="7"/>
        <v>0.34153846153846151</v>
      </c>
    </row>
    <row r="24" spans="2:16" ht="16.5" customHeight="1" x14ac:dyDescent="0.25">
      <c r="B24" s="56" t="s">
        <v>110</v>
      </c>
      <c r="C24" s="21">
        <f t="shared" ref="C24:P24" si="8">IF(ABS(C7)&gt;0,C22/ABS(C7),0)</f>
        <v>0.3391157894736842</v>
      </c>
      <c r="D24" s="21">
        <f t="shared" si="8"/>
        <v>0.31839080459770114</v>
      </c>
      <c r="E24" s="21">
        <f t="shared" si="8"/>
        <v>0.29846153846153844</v>
      </c>
      <c r="F24" s="21">
        <f t="shared" si="8"/>
        <v>0.32777777777777778</v>
      </c>
      <c r="G24" s="21">
        <f t="shared" si="8"/>
        <v>0.32675324675324674</v>
      </c>
      <c r="H24" s="21">
        <f t="shared" si="8"/>
        <v>0.33618090452261307</v>
      </c>
      <c r="I24" s="21">
        <f t="shared" si="8"/>
        <v>0.34514563106796114</v>
      </c>
      <c r="J24" s="21">
        <f t="shared" si="8"/>
        <v>0.34880382775119617</v>
      </c>
      <c r="K24" s="21">
        <f t="shared" si="8"/>
        <v>0.35294117647058826</v>
      </c>
      <c r="L24" s="21">
        <f t="shared" si="8"/>
        <v>0.36027397260273974</v>
      </c>
      <c r="M24" s="21">
        <f t="shared" si="8"/>
        <v>0.35638051044083524</v>
      </c>
      <c r="N24" s="21">
        <f t="shared" si="8"/>
        <v>0.34074074074074073</v>
      </c>
      <c r="O24" s="21">
        <f t="shared" si="8"/>
        <v>0.34074074074074073</v>
      </c>
      <c r="P24" s="21">
        <f t="shared" si="8"/>
        <v>0.3391157894736842</v>
      </c>
    </row>
    <row r="26" spans="2:16" ht="18" customHeight="1" x14ac:dyDescent="0.25">
      <c r="B26" s="82" t="s">
        <v>111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2:16" ht="16.5" customHeight="1" x14ac:dyDescent="0.25">
      <c r="B27" s="52" t="s">
        <v>112</v>
      </c>
      <c r="C27" s="57">
        <f>C5</f>
        <v>4550000</v>
      </c>
    </row>
    <row r="28" spans="2:16" ht="16.5" customHeight="1" x14ac:dyDescent="0.25">
      <c r="B28" s="46" t="s">
        <v>113</v>
      </c>
      <c r="C28" s="57">
        <f>C7</f>
        <v>4750000</v>
      </c>
    </row>
    <row r="29" spans="2:16" ht="16.5" customHeight="1" x14ac:dyDescent="0.25">
      <c r="B29" s="52" t="s">
        <v>114</v>
      </c>
      <c r="C29" s="57">
        <f>C7-C5</f>
        <v>200000</v>
      </c>
    </row>
    <row r="30" spans="2:16" ht="16.5" customHeight="1" x14ac:dyDescent="0.25">
      <c r="B30" s="46" t="s">
        <v>115</v>
      </c>
      <c r="C30" s="57">
        <f>C21</f>
        <v>1554000</v>
      </c>
    </row>
    <row r="31" spans="2:16" ht="16.5" customHeight="1" x14ac:dyDescent="0.25">
      <c r="B31" s="52" t="s">
        <v>116</v>
      </c>
      <c r="C31" s="57">
        <f>C22</f>
        <v>1610800</v>
      </c>
    </row>
  </sheetData>
  <mergeCells count="8">
    <mergeCell ref="B17:P17"/>
    <mergeCell ref="B20:P20"/>
    <mergeCell ref="B26:P26"/>
    <mergeCell ref="B1:P1"/>
    <mergeCell ref="B4:P4"/>
    <mergeCell ref="B6:P6"/>
    <mergeCell ref="B10:P10"/>
    <mergeCell ref="B14:P1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1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ColWidth="8.7109375" defaultRowHeight="15" x14ac:dyDescent="0.25"/>
  <cols>
    <col min="1" max="1" width="1.5703125" customWidth="1"/>
    <col min="2" max="2" width="30" customWidth="1"/>
    <col min="3" max="5" width="12" customWidth="1"/>
    <col min="6" max="10" width="10" customWidth="1"/>
  </cols>
  <sheetData>
    <row r="1" spans="2:10" ht="45" customHeight="1" x14ac:dyDescent="0.25">
      <c r="B1" s="111" t="s">
        <v>204</v>
      </c>
      <c r="C1" s="84"/>
      <c r="D1" s="84"/>
      <c r="E1" s="84"/>
      <c r="F1" s="84"/>
      <c r="G1" s="84"/>
      <c r="H1" s="84"/>
      <c r="I1" s="84"/>
      <c r="J1" s="84"/>
    </row>
    <row r="2" spans="2:10" ht="34.5" customHeight="1" x14ac:dyDescent="0.25">
      <c r="B2" s="44" t="s">
        <v>117</v>
      </c>
      <c r="C2" s="44" t="s">
        <v>118</v>
      </c>
      <c r="D2" s="44" t="s">
        <v>119</v>
      </c>
      <c r="E2" s="44" t="s">
        <v>120</v>
      </c>
      <c r="F2" s="44" t="s">
        <v>12</v>
      </c>
      <c r="G2" s="44" t="s">
        <v>121</v>
      </c>
      <c r="H2" s="44" t="s">
        <v>122</v>
      </c>
      <c r="I2" s="44" t="s">
        <v>123</v>
      </c>
      <c r="J2" s="44" t="s">
        <v>124</v>
      </c>
    </row>
    <row r="3" spans="2:10" ht="18" customHeight="1" x14ac:dyDescent="0.25">
      <c r="B3" s="85" t="s">
        <v>125</v>
      </c>
      <c r="C3" s="85"/>
      <c r="D3" s="85"/>
      <c r="E3" s="85"/>
      <c r="F3" s="85"/>
      <c r="G3" s="85"/>
      <c r="H3" s="85"/>
      <c r="I3" s="85"/>
      <c r="J3" s="85"/>
    </row>
    <row r="4" spans="2:10" ht="18" customHeight="1" x14ac:dyDescent="0.25">
      <c r="B4" s="33" t="s">
        <v>126</v>
      </c>
      <c r="C4" s="18">
        <v>580000</v>
      </c>
      <c r="D4" s="20">
        <f>SUM(G4:J4)</f>
        <v>586000</v>
      </c>
      <c r="E4" s="20">
        <f>D4-C4</f>
        <v>6000</v>
      </c>
      <c r="F4" s="21">
        <f>IF(C4&lt;&gt;0,(D4-C4)/ABS(C4),0)</f>
        <v>1.0344827586206896E-2</v>
      </c>
      <c r="G4" s="19">
        <v>138000</v>
      </c>
      <c r="H4" s="19">
        <v>148000</v>
      </c>
      <c r="I4" s="19">
        <v>152000</v>
      </c>
      <c r="J4" s="19">
        <v>148000</v>
      </c>
    </row>
    <row r="5" spans="2:10" ht="18" customHeight="1" x14ac:dyDescent="0.25">
      <c r="B5" s="34" t="s">
        <v>127</v>
      </c>
      <c r="C5" s="23">
        <v>420000</v>
      </c>
      <c r="D5" s="25">
        <f>SUM(G5:J5)</f>
        <v>427000</v>
      </c>
      <c r="E5" s="25">
        <f>D5-C5</f>
        <v>7000</v>
      </c>
      <c r="F5" s="26">
        <f>IF(C5&lt;&gt;0,(D5-C5)/ABS(C5),0)</f>
        <v>1.6666666666666666E-2</v>
      </c>
      <c r="G5" s="24">
        <v>102000</v>
      </c>
      <c r="H5" s="24">
        <v>108000</v>
      </c>
      <c r="I5" s="24">
        <v>111000</v>
      </c>
      <c r="J5" s="24">
        <v>106000</v>
      </c>
    </row>
    <row r="6" spans="2:10" ht="18" customHeight="1" x14ac:dyDescent="0.25">
      <c r="B6" s="33" t="s">
        <v>128</v>
      </c>
      <c r="C6" s="18">
        <v>145000</v>
      </c>
      <c r="D6" s="20">
        <f>SUM(G6:J6)</f>
        <v>146000</v>
      </c>
      <c r="E6" s="20">
        <f>D6-C6</f>
        <v>1000</v>
      </c>
      <c r="F6" s="21">
        <f>IF(C6&lt;&gt;0,(D6-C6)/ABS(C6),0)</f>
        <v>6.8965517241379309E-3</v>
      </c>
      <c r="G6" s="19">
        <v>35000</v>
      </c>
      <c r="H6" s="19">
        <v>36000</v>
      </c>
      <c r="I6" s="19">
        <v>38000</v>
      </c>
      <c r="J6" s="19">
        <v>37000</v>
      </c>
    </row>
    <row r="7" spans="2:10" ht="18" customHeight="1" x14ac:dyDescent="0.25">
      <c r="B7" s="34" t="s">
        <v>129</v>
      </c>
      <c r="C7" s="23">
        <v>98000</v>
      </c>
      <c r="D7" s="25">
        <f>SUM(G7:J7)</f>
        <v>99000</v>
      </c>
      <c r="E7" s="25">
        <f>D7-C7</f>
        <v>1000</v>
      </c>
      <c r="F7" s="26">
        <f>IF(C7&lt;&gt;0,(D7-C7)/ABS(C7),0)</f>
        <v>1.020408163265306E-2</v>
      </c>
      <c r="G7" s="24">
        <v>23000</v>
      </c>
      <c r="H7" s="24">
        <v>25000</v>
      </c>
      <c r="I7" s="24">
        <v>26000</v>
      </c>
      <c r="J7" s="24">
        <v>25000</v>
      </c>
    </row>
    <row r="8" spans="2:10" ht="18" customHeight="1" x14ac:dyDescent="0.25">
      <c r="B8" s="58" t="s">
        <v>130</v>
      </c>
      <c r="C8" s="36">
        <f>C4+C5+C6+C7</f>
        <v>1243000</v>
      </c>
      <c r="D8" s="36">
        <f>D4+D5+D6+D7</f>
        <v>1258000</v>
      </c>
      <c r="E8" s="36">
        <f>D8-C8</f>
        <v>15000</v>
      </c>
      <c r="F8" s="59">
        <f>IF(C8&lt;&gt;0,(D8-C8)/ABS(C8),0)</f>
        <v>1.2067578439259855E-2</v>
      </c>
      <c r="G8" s="36">
        <f>G4+G5+G6+G7</f>
        <v>298000</v>
      </c>
      <c r="H8" s="36">
        <f>H4+H5+H6+H7</f>
        <v>317000</v>
      </c>
      <c r="I8" s="36">
        <f>I4+I5+I6+I7</f>
        <v>327000</v>
      </c>
      <c r="J8" s="36">
        <f>J4+J5+J6+J7</f>
        <v>316000</v>
      </c>
    </row>
    <row r="9" spans="2:10" ht="18" customHeight="1" x14ac:dyDescent="0.25">
      <c r="B9" s="85" t="s">
        <v>131</v>
      </c>
      <c r="C9" s="85"/>
      <c r="D9" s="85"/>
      <c r="E9" s="85"/>
      <c r="F9" s="85"/>
      <c r="G9" s="85"/>
      <c r="H9" s="85"/>
      <c r="I9" s="85"/>
      <c r="J9" s="85"/>
    </row>
    <row r="10" spans="2:10" ht="18" customHeight="1" x14ac:dyDescent="0.25">
      <c r="B10" s="33" t="s">
        <v>132</v>
      </c>
      <c r="C10" s="18">
        <v>185000</v>
      </c>
      <c r="D10" s="20">
        <f>SUM(G10:J10)</f>
        <v>187000</v>
      </c>
      <c r="E10" s="20">
        <f>D10-C10</f>
        <v>2000</v>
      </c>
      <c r="F10" s="21">
        <f>IF(C10&lt;&gt;0,(D10-C10)/ABS(C10),0)</f>
        <v>1.0810810810810811E-2</v>
      </c>
      <c r="G10" s="19">
        <v>44000</v>
      </c>
      <c r="H10" s="19">
        <v>47000</v>
      </c>
      <c r="I10" s="19">
        <v>49000</v>
      </c>
      <c r="J10" s="19">
        <v>47000</v>
      </c>
    </row>
    <row r="11" spans="2:10" ht="18" customHeight="1" x14ac:dyDescent="0.25">
      <c r="B11" s="34" t="s">
        <v>133</v>
      </c>
      <c r="C11" s="23">
        <v>95000</v>
      </c>
      <c r="D11" s="25">
        <f>SUM(G11:J11)</f>
        <v>96000</v>
      </c>
      <c r="E11" s="25">
        <f>D11-C11</f>
        <v>1000</v>
      </c>
      <c r="F11" s="26">
        <f>IF(C11&lt;&gt;0,(D11-C11)/ABS(C11),0)</f>
        <v>1.0526315789473684E-2</v>
      </c>
      <c r="G11" s="24">
        <v>22000</v>
      </c>
      <c r="H11" s="24">
        <v>24000</v>
      </c>
      <c r="I11" s="24">
        <v>26000</v>
      </c>
      <c r="J11" s="24">
        <v>24000</v>
      </c>
    </row>
    <row r="12" spans="2:10" ht="18" customHeight="1" x14ac:dyDescent="0.25">
      <c r="B12" s="33" t="s">
        <v>134</v>
      </c>
      <c r="C12" s="18">
        <v>65000</v>
      </c>
      <c r="D12" s="20">
        <f>SUM(G12:J12)</f>
        <v>66000</v>
      </c>
      <c r="E12" s="20">
        <f>D12-C12</f>
        <v>1000</v>
      </c>
      <c r="F12" s="21">
        <f>IF(C12&lt;&gt;0,(D12-C12)/ABS(C12),0)</f>
        <v>1.5384615384615385E-2</v>
      </c>
      <c r="G12" s="19">
        <v>12000</v>
      </c>
      <c r="H12" s="19">
        <v>18000</v>
      </c>
      <c r="I12" s="19">
        <v>20000</v>
      </c>
      <c r="J12" s="19">
        <v>16000</v>
      </c>
    </row>
    <row r="13" spans="2:10" ht="18" customHeight="1" x14ac:dyDescent="0.25">
      <c r="B13" s="58" t="s">
        <v>135</v>
      </c>
      <c r="C13" s="36">
        <f>C10+C11+C12</f>
        <v>345000</v>
      </c>
      <c r="D13" s="36">
        <f>D10+D11+D12</f>
        <v>349000</v>
      </c>
      <c r="E13" s="36">
        <f>D13-C13</f>
        <v>4000</v>
      </c>
      <c r="F13" s="59">
        <f>IF(C13&lt;&gt;0,(D13-C13)/ABS(C13),0)</f>
        <v>1.1594202898550725E-2</v>
      </c>
      <c r="G13" s="36">
        <f>G10+G11+G12</f>
        <v>78000</v>
      </c>
      <c r="H13" s="36">
        <f>H10+H11+H12</f>
        <v>89000</v>
      </c>
      <c r="I13" s="36">
        <f>I10+I11+I12</f>
        <v>95000</v>
      </c>
      <c r="J13" s="36">
        <f>J10+J11+J12</f>
        <v>87000</v>
      </c>
    </row>
    <row r="14" spans="2:10" ht="18" customHeight="1" x14ac:dyDescent="0.25">
      <c r="B14" s="85" t="s">
        <v>136</v>
      </c>
      <c r="C14" s="85"/>
      <c r="D14" s="85"/>
      <c r="E14" s="85"/>
      <c r="F14" s="85"/>
      <c r="G14" s="85"/>
      <c r="H14" s="85"/>
      <c r="I14" s="85"/>
      <c r="J14" s="85"/>
    </row>
    <row r="15" spans="2:10" ht="18" customHeight="1" x14ac:dyDescent="0.25">
      <c r="B15" s="34" t="s">
        <v>137</v>
      </c>
      <c r="C15" s="23">
        <v>220000</v>
      </c>
      <c r="D15" s="25">
        <f>SUM(G15:J15)</f>
        <v>220000</v>
      </c>
      <c r="E15" s="25">
        <f t="shared" ref="E15:E21" si="0">D15-C15</f>
        <v>0</v>
      </c>
      <c r="F15" s="26">
        <f t="shared" ref="F15:F21" si="1">IF(C15&lt;&gt;0,(D15-C15)/ABS(C15),0)</f>
        <v>0</v>
      </c>
      <c r="G15" s="24">
        <v>55000</v>
      </c>
      <c r="H15" s="24">
        <v>55000</v>
      </c>
      <c r="I15" s="24">
        <v>55000</v>
      </c>
      <c r="J15" s="24">
        <v>55000</v>
      </c>
    </row>
    <row r="16" spans="2:10" ht="18" customHeight="1" x14ac:dyDescent="0.25">
      <c r="B16" s="33" t="s">
        <v>138</v>
      </c>
      <c r="C16" s="18">
        <v>125000</v>
      </c>
      <c r="D16" s="20">
        <f>SUM(G16:J16)</f>
        <v>124000</v>
      </c>
      <c r="E16" s="20">
        <f t="shared" si="0"/>
        <v>-1000</v>
      </c>
      <c r="F16" s="21">
        <f t="shared" si="1"/>
        <v>-8.0000000000000002E-3</v>
      </c>
      <c r="G16" s="19">
        <v>30000</v>
      </c>
      <c r="H16" s="19">
        <v>31000</v>
      </c>
      <c r="I16" s="19">
        <v>32000</v>
      </c>
      <c r="J16" s="19">
        <v>31000</v>
      </c>
    </row>
    <row r="17" spans="2:10" ht="18" customHeight="1" x14ac:dyDescent="0.25">
      <c r="B17" s="34" t="s">
        <v>139</v>
      </c>
      <c r="C17" s="23">
        <v>88000</v>
      </c>
      <c r="D17" s="25">
        <f>SUM(G17:J17)</f>
        <v>88000</v>
      </c>
      <c r="E17" s="25">
        <f t="shared" si="0"/>
        <v>0</v>
      </c>
      <c r="F17" s="26">
        <f t="shared" si="1"/>
        <v>0</v>
      </c>
      <c r="G17" s="24">
        <v>21000</v>
      </c>
      <c r="H17" s="24">
        <v>22000</v>
      </c>
      <c r="I17" s="24">
        <v>23000</v>
      </c>
      <c r="J17" s="24">
        <v>22000</v>
      </c>
    </row>
    <row r="18" spans="2:10" ht="18" customHeight="1" x14ac:dyDescent="0.25">
      <c r="B18" s="33" t="s">
        <v>140</v>
      </c>
      <c r="C18" s="18">
        <v>75000</v>
      </c>
      <c r="D18" s="20">
        <f>SUM(G18:J18)</f>
        <v>76000</v>
      </c>
      <c r="E18" s="20">
        <f t="shared" si="0"/>
        <v>1000</v>
      </c>
      <c r="F18" s="21">
        <f t="shared" si="1"/>
        <v>1.3333333333333334E-2</v>
      </c>
      <c r="G18" s="19">
        <v>18000</v>
      </c>
      <c r="H18" s="19">
        <v>19000</v>
      </c>
      <c r="I18" s="19">
        <v>20000</v>
      </c>
      <c r="J18" s="19">
        <v>19000</v>
      </c>
    </row>
    <row r="19" spans="2:10" ht="18" customHeight="1" x14ac:dyDescent="0.25">
      <c r="B19" s="34" t="s">
        <v>141</v>
      </c>
      <c r="C19" s="23">
        <v>55000</v>
      </c>
      <c r="D19" s="25">
        <f>SUM(G19:J19)</f>
        <v>55000</v>
      </c>
      <c r="E19" s="25">
        <f t="shared" si="0"/>
        <v>0</v>
      </c>
      <c r="F19" s="26">
        <f t="shared" si="1"/>
        <v>0</v>
      </c>
      <c r="G19" s="24">
        <v>13000</v>
      </c>
      <c r="H19" s="24">
        <v>14000</v>
      </c>
      <c r="I19" s="24">
        <v>14000</v>
      </c>
      <c r="J19" s="24">
        <v>14000</v>
      </c>
    </row>
    <row r="20" spans="2:10" ht="18" customHeight="1" x14ac:dyDescent="0.25">
      <c r="B20" s="58" t="s">
        <v>142</v>
      </c>
      <c r="C20" s="36">
        <f>C15+C16+C17+C18+C19</f>
        <v>563000</v>
      </c>
      <c r="D20" s="36">
        <f>D15+D16+D17+D18+D19</f>
        <v>563000</v>
      </c>
      <c r="E20" s="36">
        <f t="shared" si="0"/>
        <v>0</v>
      </c>
      <c r="F20" s="59">
        <f t="shared" si="1"/>
        <v>0</v>
      </c>
      <c r="G20" s="36">
        <f>G15+G16+G17+G18+G19</f>
        <v>137000</v>
      </c>
      <c r="H20" s="36">
        <f>H15+H16+H17+H18+H19</f>
        <v>141000</v>
      </c>
      <c r="I20" s="36">
        <f>I15+I16+I17+I18+I19</f>
        <v>144000</v>
      </c>
      <c r="J20" s="36">
        <f>J15+J16+J17+J18+J19</f>
        <v>141000</v>
      </c>
    </row>
    <row r="21" spans="2:10" ht="18" customHeight="1" x14ac:dyDescent="0.25">
      <c r="B21" s="60" t="s">
        <v>143</v>
      </c>
      <c r="C21" s="61">
        <f>C8+C13+C20</f>
        <v>2151000</v>
      </c>
      <c r="D21" s="61">
        <f>D8+D13+D20</f>
        <v>2170000</v>
      </c>
      <c r="E21" s="61">
        <f t="shared" si="0"/>
        <v>19000</v>
      </c>
      <c r="F21" s="62">
        <f t="shared" si="1"/>
        <v>8.8331008833100882E-3</v>
      </c>
      <c r="G21" s="61">
        <f>G8+G13+G20</f>
        <v>513000</v>
      </c>
      <c r="H21" s="61">
        <f>H8+H13+H20</f>
        <v>547000</v>
      </c>
      <c r="I21" s="61">
        <f>I8+I13+I20</f>
        <v>566000</v>
      </c>
      <c r="J21" s="61">
        <f>J8+J13+J20</f>
        <v>544000</v>
      </c>
    </row>
  </sheetData>
  <mergeCells count="4">
    <mergeCell ref="B1:J1"/>
    <mergeCell ref="B3:J3"/>
    <mergeCell ref="B9:J9"/>
    <mergeCell ref="B14:J1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0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baseColWidth="10" defaultColWidth="8.7109375" defaultRowHeight="15" x14ac:dyDescent="0.25"/>
  <cols>
    <col min="1" max="1" width="1.5703125" customWidth="1"/>
    <col min="2" max="2" width="30" customWidth="1"/>
    <col min="3" max="3" width="13" customWidth="1"/>
    <col min="4" max="15" width="10" customWidth="1"/>
  </cols>
  <sheetData>
    <row r="1" spans="2:15" ht="45" customHeight="1" x14ac:dyDescent="0.25">
      <c r="B1" s="111" t="s">
        <v>205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2:15" ht="18" customHeight="1" x14ac:dyDescent="0.25">
      <c r="B2" s="44" t="s">
        <v>48</v>
      </c>
      <c r="C2" s="44" t="s">
        <v>87</v>
      </c>
      <c r="D2" s="44" t="s">
        <v>13</v>
      </c>
      <c r="E2" s="44" t="s">
        <v>16</v>
      </c>
      <c r="F2" s="44" t="s">
        <v>19</v>
      </c>
      <c r="G2" s="44" t="s">
        <v>22</v>
      </c>
      <c r="H2" s="44" t="s">
        <v>14</v>
      </c>
      <c r="I2" s="44" t="s">
        <v>17</v>
      </c>
      <c r="J2" s="44" t="s">
        <v>20</v>
      </c>
      <c r="K2" s="44" t="s">
        <v>23</v>
      </c>
      <c r="L2" s="44" t="s">
        <v>15</v>
      </c>
      <c r="M2" s="44" t="s">
        <v>18</v>
      </c>
      <c r="N2" s="44" t="s">
        <v>21</v>
      </c>
      <c r="O2" s="44" t="s">
        <v>24</v>
      </c>
    </row>
    <row r="3" spans="2:15" ht="18" customHeight="1" x14ac:dyDescent="0.25">
      <c r="B3" s="86" t="s">
        <v>144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2:15" ht="18" customHeight="1" x14ac:dyDescent="0.25">
      <c r="B4" s="33" t="s">
        <v>145</v>
      </c>
      <c r="C4" s="63">
        <v>6419000</v>
      </c>
      <c r="D4" s="18">
        <v>420000</v>
      </c>
      <c r="E4" s="18">
        <v>438000</v>
      </c>
      <c r="F4" s="18">
        <v>455000</v>
      </c>
      <c r="G4" s="18">
        <v>478000</v>
      </c>
      <c r="H4" s="18">
        <v>502000</v>
      </c>
      <c r="I4" s="18">
        <v>521000</v>
      </c>
      <c r="J4" s="18">
        <v>548000</v>
      </c>
      <c r="K4" s="18">
        <v>572000</v>
      </c>
      <c r="L4" s="18">
        <v>595000</v>
      </c>
      <c r="M4" s="18">
        <v>612000</v>
      </c>
      <c r="N4" s="18">
        <v>630000</v>
      </c>
      <c r="O4" s="18">
        <v>648000</v>
      </c>
    </row>
    <row r="5" spans="2:15" ht="18" customHeight="1" x14ac:dyDescent="0.25">
      <c r="B5" s="85" t="s">
        <v>146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5" ht="18" customHeight="1" x14ac:dyDescent="0.25">
      <c r="B6" s="33" t="s">
        <v>147</v>
      </c>
      <c r="C6" s="63">
        <v>4750000</v>
      </c>
      <c r="D6" s="18">
        <v>348000</v>
      </c>
      <c r="E6" s="18">
        <v>325000</v>
      </c>
      <c r="F6" s="18">
        <v>360000</v>
      </c>
      <c r="G6" s="18">
        <v>385000</v>
      </c>
      <c r="H6" s="18">
        <v>398000</v>
      </c>
      <c r="I6" s="18">
        <v>412000</v>
      </c>
      <c r="J6" s="18">
        <v>418000</v>
      </c>
      <c r="K6" s="18">
        <v>425000</v>
      </c>
      <c r="L6" s="18">
        <v>438000</v>
      </c>
      <c r="M6" s="18">
        <v>431000</v>
      </c>
      <c r="N6" s="18">
        <v>405000</v>
      </c>
      <c r="O6" s="18">
        <v>405000</v>
      </c>
    </row>
    <row r="7" spans="2:15" ht="18" customHeight="1" x14ac:dyDescent="0.25">
      <c r="B7" s="34" t="s">
        <v>148</v>
      </c>
      <c r="C7" s="63">
        <v>101000</v>
      </c>
      <c r="D7" s="23">
        <v>8000</v>
      </c>
      <c r="E7" s="23">
        <v>6000</v>
      </c>
      <c r="F7" s="23">
        <v>7000</v>
      </c>
      <c r="G7" s="23">
        <v>9000</v>
      </c>
      <c r="H7" s="23">
        <v>8000</v>
      </c>
      <c r="I7" s="23">
        <v>10000</v>
      </c>
      <c r="J7" s="23">
        <v>9000</v>
      </c>
      <c r="K7" s="23">
        <v>8000</v>
      </c>
      <c r="L7" s="23">
        <v>11000</v>
      </c>
      <c r="M7" s="23">
        <v>9000</v>
      </c>
      <c r="N7" s="23">
        <v>8000</v>
      </c>
      <c r="O7" s="23">
        <v>8000</v>
      </c>
    </row>
    <row r="8" spans="2:15" ht="18" customHeight="1" x14ac:dyDescent="0.25">
      <c r="B8" s="58" t="s">
        <v>149</v>
      </c>
      <c r="C8" s="36">
        <f t="shared" ref="C8:O8" si="0">C6+C7</f>
        <v>4851000</v>
      </c>
      <c r="D8" s="36">
        <f t="shared" si="0"/>
        <v>356000</v>
      </c>
      <c r="E8" s="36">
        <f t="shared" si="0"/>
        <v>331000</v>
      </c>
      <c r="F8" s="36">
        <f t="shared" si="0"/>
        <v>367000</v>
      </c>
      <c r="G8" s="36">
        <f t="shared" si="0"/>
        <v>394000</v>
      </c>
      <c r="H8" s="36">
        <f t="shared" si="0"/>
        <v>406000</v>
      </c>
      <c r="I8" s="36">
        <f t="shared" si="0"/>
        <v>422000</v>
      </c>
      <c r="J8" s="36">
        <f t="shared" si="0"/>
        <v>427000</v>
      </c>
      <c r="K8" s="36">
        <f t="shared" si="0"/>
        <v>433000</v>
      </c>
      <c r="L8" s="36">
        <f t="shared" si="0"/>
        <v>449000</v>
      </c>
      <c r="M8" s="36">
        <f t="shared" si="0"/>
        <v>440000</v>
      </c>
      <c r="N8" s="36">
        <f t="shared" si="0"/>
        <v>413000</v>
      </c>
      <c r="O8" s="36">
        <f t="shared" si="0"/>
        <v>413000</v>
      </c>
    </row>
    <row r="9" spans="2:15" ht="18" customHeight="1" x14ac:dyDescent="0.25">
      <c r="B9" s="85" t="s">
        <v>150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2:15" ht="18" customHeight="1" x14ac:dyDescent="0.25">
      <c r="B10" s="33" t="s">
        <v>151</v>
      </c>
      <c r="C10" s="64">
        <v>-1900200</v>
      </c>
      <c r="D10" s="65">
        <v>-139200</v>
      </c>
      <c r="E10" s="65">
        <v>-130000</v>
      </c>
      <c r="F10" s="65">
        <v>-144000</v>
      </c>
      <c r="G10" s="65">
        <v>-154200</v>
      </c>
      <c r="H10" s="65">
        <v>-159200</v>
      </c>
      <c r="I10" s="65">
        <v>-164800</v>
      </c>
      <c r="J10" s="65">
        <v>-167200</v>
      </c>
      <c r="K10" s="65">
        <v>-170000</v>
      </c>
      <c r="L10" s="65">
        <v>-175200</v>
      </c>
      <c r="M10" s="65">
        <v>-172400</v>
      </c>
      <c r="N10" s="65">
        <v>-162000</v>
      </c>
      <c r="O10" s="65">
        <v>-162000</v>
      </c>
    </row>
    <row r="11" spans="2:15" ht="18" customHeight="1" x14ac:dyDescent="0.25">
      <c r="B11" s="34" t="s">
        <v>152</v>
      </c>
      <c r="C11" s="64">
        <v>-1239000</v>
      </c>
      <c r="D11" s="66">
        <v>-98000</v>
      </c>
      <c r="E11" s="66">
        <v>-98000</v>
      </c>
      <c r="F11" s="66">
        <v>-98000</v>
      </c>
      <c r="G11" s="66">
        <v>-105000</v>
      </c>
      <c r="H11" s="66">
        <v>-105000</v>
      </c>
      <c r="I11" s="66">
        <v>-105000</v>
      </c>
      <c r="J11" s="66">
        <v>-105000</v>
      </c>
      <c r="K11" s="66">
        <v>-105000</v>
      </c>
      <c r="L11" s="66">
        <v>-105000</v>
      </c>
      <c r="M11" s="66">
        <v>-105000</v>
      </c>
      <c r="N11" s="66">
        <v>-105000</v>
      </c>
      <c r="O11" s="66">
        <v>-105000</v>
      </c>
    </row>
    <row r="12" spans="2:15" ht="18" customHeight="1" x14ac:dyDescent="0.25">
      <c r="B12" s="33" t="s">
        <v>153</v>
      </c>
      <c r="C12" s="64">
        <v>-233004</v>
      </c>
      <c r="D12" s="65">
        <v>-19417</v>
      </c>
      <c r="E12" s="65">
        <v>-19417</v>
      </c>
      <c r="F12" s="65">
        <v>-19417</v>
      </c>
      <c r="G12" s="65">
        <v>-19417</v>
      </c>
      <c r="H12" s="65">
        <v>-19417</v>
      </c>
      <c r="I12" s="65">
        <v>-19417</v>
      </c>
      <c r="J12" s="65">
        <v>-19417</v>
      </c>
      <c r="K12" s="65">
        <v>-19417</v>
      </c>
      <c r="L12" s="65">
        <v>-19417</v>
      </c>
      <c r="M12" s="65">
        <v>-19417</v>
      </c>
      <c r="N12" s="65">
        <v>-19417</v>
      </c>
      <c r="O12" s="65">
        <v>-19417</v>
      </c>
    </row>
    <row r="13" spans="2:15" ht="18" customHeight="1" x14ac:dyDescent="0.25">
      <c r="B13" s="34" t="s">
        <v>154</v>
      </c>
      <c r="C13" s="64">
        <v>-195000</v>
      </c>
      <c r="D13" s="23">
        <v>0</v>
      </c>
      <c r="E13" s="23">
        <v>0</v>
      </c>
      <c r="F13" s="66">
        <v>-45000</v>
      </c>
      <c r="G13" s="23">
        <v>0</v>
      </c>
      <c r="H13" s="23">
        <v>0</v>
      </c>
      <c r="I13" s="66">
        <v>-45000</v>
      </c>
      <c r="J13" s="23">
        <v>0</v>
      </c>
      <c r="K13" s="23">
        <v>0</v>
      </c>
      <c r="L13" s="66">
        <v>-45000</v>
      </c>
      <c r="M13" s="23">
        <v>0</v>
      </c>
      <c r="N13" s="23">
        <v>0</v>
      </c>
      <c r="O13" s="66">
        <v>-60000</v>
      </c>
    </row>
    <row r="14" spans="2:15" ht="18" customHeight="1" x14ac:dyDescent="0.25">
      <c r="B14" s="33" t="s">
        <v>155</v>
      </c>
      <c r="C14" s="64">
        <v>-90000</v>
      </c>
      <c r="D14" s="18">
        <v>0</v>
      </c>
      <c r="E14" s="65">
        <v>-12000</v>
      </c>
      <c r="F14" s="18">
        <v>0</v>
      </c>
      <c r="G14" s="18">
        <v>0</v>
      </c>
      <c r="H14" s="65">
        <v>-38000</v>
      </c>
      <c r="I14" s="18">
        <v>0</v>
      </c>
      <c r="J14" s="18">
        <v>0</v>
      </c>
      <c r="K14" s="18">
        <v>0</v>
      </c>
      <c r="L14" s="65">
        <v>-25000</v>
      </c>
      <c r="M14" s="18">
        <v>0</v>
      </c>
      <c r="N14" s="65">
        <v>-15000</v>
      </c>
      <c r="O14" s="18">
        <v>0</v>
      </c>
    </row>
    <row r="15" spans="2:15" ht="18" customHeight="1" x14ac:dyDescent="0.25">
      <c r="B15" s="34" t="s">
        <v>156</v>
      </c>
      <c r="C15" s="64">
        <v>-221000</v>
      </c>
      <c r="D15" s="66">
        <v>-18000</v>
      </c>
      <c r="E15" s="66">
        <v>-16000</v>
      </c>
      <c r="F15" s="66">
        <v>-17000</v>
      </c>
      <c r="G15" s="66">
        <v>-18000</v>
      </c>
      <c r="H15" s="66">
        <v>-19000</v>
      </c>
      <c r="I15" s="66">
        <v>-20000</v>
      </c>
      <c r="J15" s="66">
        <v>-18000</v>
      </c>
      <c r="K15" s="66">
        <v>-18000</v>
      </c>
      <c r="L15" s="66">
        <v>-22000</v>
      </c>
      <c r="M15" s="66">
        <v>-19000</v>
      </c>
      <c r="N15" s="66">
        <v>-18000</v>
      </c>
      <c r="O15" s="66">
        <v>-18000</v>
      </c>
    </row>
    <row r="16" spans="2:15" ht="18" customHeight="1" x14ac:dyDescent="0.25">
      <c r="B16" s="58" t="s">
        <v>157</v>
      </c>
      <c r="C16" s="36">
        <f t="shared" ref="C16:O16" si="1">C10+C11+C12+C13+C14+C15</f>
        <v>-3878204</v>
      </c>
      <c r="D16" s="36">
        <f t="shared" si="1"/>
        <v>-274617</v>
      </c>
      <c r="E16" s="36">
        <f t="shared" si="1"/>
        <v>-275417</v>
      </c>
      <c r="F16" s="36">
        <f t="shared" si="1"/>
        <v>-323417</v>
      </c>
      <c r="G16" s="36">
        <f t="shared" si="1"/>
        <v>-296617</v>
      </c>
      <c r="H16" s="36">
        <f t="shared" si="1"/>
        <v>-340617</v>
      </c>
      <c r="I16" s="36">
        <f t="shared" si="1"/>
        <v>-354217</v>
      </c>
      <c r="J16" s="36">
        <f t="shared" si="1"/>
        <v>-309617</v>
      </c>
      <c r="K16" s="36">
        <f t="shared" si="1"/>
        <v>-312417</v>
      </c>
      <c r="L16" s="36">
        <f t="shared" si="1"/>
        <v>-391617</v>
      </c>
      <c r="M16" s="36">
        <f t="shared" si="1"/>
        <v>-315817</v>
      </c>
      <c r="N16" s="36">
        <f t="shared" si="1"/>
        <v>-319417</v>
      </c>
      <c r="O16" s="36">
        <f t="shared" si="1"/>
        <v>-364417</v>
      </c>
    </row>
    <row r="17" spans="2:15" ht="18" customHeight="1" x14ac:dyDescent="0.25">
      <c r="B17" s="67" t="s">
        <v>158</v>
      </c>
      <c r="C17" s="68">
        <f t="shared" ref="C17:O17" si="2">C8+C16</f>
        <v>972796</v>
      </c>
      <c r="D17" s="68">
        <f t="shared" si="2"/>
        <v>81383</v>
      </c>
      <c r="E17" s="68">
        <f t="shared" si="2"/>
        <v>55583</v>
      </c>
      <c r="F17" s="68">
        <f t="shared" si="2"/>
        <v>43583</v>
      </c>
      <c r="G17" s="68">
        <f t="shared" si="2"/>
        <v>97383</v>
      </c>
      <c r="H17" s="68">
        <f t="shared" si="2"/>
        <v>65383</v>
      </c>
      <c r="I17" s="68">
        <f t="shared" si="2"/>
        <v>67783</v>
      </c>
      <c r="J17" s="68">
        <f t="shared" si="2"/>
        <v>117383</v>
      </c>
      <c r="K17" s="68">
        <f t="shared" si="2"/>
        <v>120583</v>
      </c>
      <c r="L17" s="68">
        <f t="shared" si="2"/>
        <v>57383</v>
      </c>
      <c r="M17" s="68">
        <f t="shared" si="2"/>
        <v>124183</v>
      </c>
      <c r="N17" s="68">
        <f t="shared" si="2"/>
        <v>93583</v>
      </c>
      <c r="O17" s="68">
        <f t="shared" si="2"/>
        <v>48583</v>
      </c>
    </row>
    <row r="18" spans="2:15" ht="18" customHeight="1" x14ac:dyDescent="0.25">
      <c r="B18" s="60" t="s">
        <v>159</v>
      </c>
      <c r="C18" s="61">
        <f t="shared" ref="C18:O18" si="3">C4+C17</f>
        <v>7391796</v>
      </c>
      <c r="D18" s="61">
        <f t="shared" si="3"/>
        <v>501383</v>
      </c>
      <c r="E18" s="61">
        <f t="shared" si="3"/>
        <v>493583</v>
      </c>
      <c r="F18" s="61">
        <f t="shared" si="3"/>
        <v>498583</v>
      </c>
      <c r="G18" s="61">
        <f t="shared" si="3"/>
        <v>575383</v>
      </c>
      <c r="H18" s="61">
        <f t="shared" si="3"/>
        <v>567383</v>
      </c>
      <c r="I18" s="61">
        <f t="shared" si="3"/>
        <v>588783</v>
      </c>
      <c r="J18" s="61">
        <f t="shared" si="3"/>
        <v>665383</v>
      </c>
      <c r="K18" s="61">
        <f t="shared" si="3"/>
        <v>692583</v>
      </c>
      <c r="L18" s="61">
        <f t="shared" si="3"/>
        <v>652383</v>
      </c>
      <c r="M18" s="61">
        <f t="shared" si="3"/>
        <v>736183</v>
      </c>
      <c r="N18" s="61">
        <f t="shared" si="3"/>
        <v>723583</v>
      </c>
      <c r="O18" s="61">
        <f t="shared" si="3"/>
        <v>696583</v>
      </c>
    </row>
    <row r="19" spans="2:15" ht="18" customHeight="1" x14ac:dyDescent="0.25">
      <c r="B19" s="69" t="s">
        <v>160</v>
      </c>
      <c r="C19" s="63">
        <v>1800000</v>
      </c>
      <c r="D19" s="70">
        <v>150000</v>
      </c>
      <c r="E19" s="70">
        <v>150000</v>
      </c>
      <c r="F19" s="70">
        <v>150000</v>
      </c>
      <c r="G19" s="70">
        <v>150000</v>
      </c>
      <c r="H19" s="70">
        <v>150000</v>
      </c>
      <c r="I19" s="70">
        <v>150000</v>
      </c>
      <c r="J19" s="70">
        <v>150000</v>
      </c>
      <c r="K19" s="70">
        <v>150000</v>
      </c>
      <c r="L19" s="70">
        <v>150000</v>
      </c>
      <c r="M19" s="70">
        <v>150000</v>
      </c>
      <c r="N19" s="70">
        <v>150000</v>
      </c>
      <c r="O19" s="70">
        <v>150000</v>
      </c>
    </row>
    <row r="20" spans="2:15" ht="18" customHeight="1" x14ac:dyDescent="0.25">
      <c r="B20" s="71" t="s">
        <v>161</v>
      </c>
      <c r="C20" s="72">
        <f t="shared" ref="C20:O20" si="4">C18-C19</f>
        <v>5591796</v>
      </c>
      <c r="D20" s="72">
        <f t="shared" si="4"/>
        <v>351383</v>
      </c>
      <c r="E20" s="72">
        <f t="shared" si="4"/>
        <v>343583</v>
      </c>
      <c r="F20" s="72">
        <f t="shared" si="4"/>
        <v>348583</v>
      </c>
      <c r="G20" s="72">
        <f t="shared" si="4"/>
        <v>425383</v>
      </c>
      <c r="H20" s="72">
        <f t="shared" si="4"/>
        <v>417383</v>
      </c>
      <c r="I20" s="72">
        <f t="shared" si="4"/>
        <v>438783</v>
      </c>
      <c r="J20" s="72">
        <f t="shared" si="4"/>
        <v>515383</v>
      </c>
      <c r="K20" s="72">
        <f t="shared" si="4"/>
        <v>542583</v>
      </c>
      <c r="L20" s="72">
        <f t="shared" si="4"/>
        <v>502383</v>
      </c>
      <c r="M20" s="72">
        <f t="shared" si="4"/>
        <v>586183</v>
      </c>
      <c r="N20" s="72">
        <f t="shared" si="4"/>
        <v>573583</v>
      </c>
      <c r="O20" s="72">
        <f t="shared" si="4"/>
        <v>546583</v>
      </c>
    </row>
  </sheetData>
  <mergeCells count="4">
    <mergeCell ref="B1:O1"/>
    <mergeCell ref="B3:O3"/>
    <mergeCell ref="B5:O5"/>
    <mergeCell ref="B9:O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10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M18" sqref="M18"/>
    </sheetView>
  </sheetViews>
  <sheetFormatPr baseColWidth="10" defaultColWidth="8.7109375" defaultRowHeight="15" x14ac:dyDescent="0.25"/>
  <cols>
    <col min="1" max="1" width="1.5703125" customWidth="1"/>
    <col min="2" max="2" width="8" customWidth="1"/>
    <col min="3" max="3" width="28" customWidth="1"/>
    <col min="4" max="6" width="12" customWidth="1"/>
    <col min="7" max="10" width="10" customWidth="1"/>
    <col min="11" max="11" width="14" customWidth="1"/>
    <col min="12" max="12" width="10" customWidth="1"/>
  </cols>
  <sheetData>
    <row r="1" spans="2:12" ht="45" customHeight="1" x14ac:dyDescent="0.25">
      <c r="B1" s="84" t="s">
        <v>162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2:12" ht="30" customHeight="1" x14ac:dyDescent="0.25">
      <c r="B2" s="44" t="s">
        <v>163</v>
      </c>
      <c r="C2" s="44" t="s">
        <v>164</v>
      </c>
      <c r="D2" s="44" t="s">
        <v>165</v>
      </c>
      <c r="E2" s="44" t="s">
        <v>166</v>
      </c>
      <c r="F2" s="44" t="s">
        <v>167</v>
      </c>
      <c r="G2" s="44" t="s">
        <v>11</v>
      </c>
      <c r="H2" s="44" t="s">
        <v>168</v>
      </c>
      <c r="I2" s="44" t="s">
        <v>169</v>
      </c>
      <c r="J2" s="44" t="s">
        <v>170</v>
      </c>
      <c r="K2" s="44" t="s">
        <v>171</v>
      </c>
      <c r="L2" s="44" t="s">
        <v>172</v>
      </c>
    </row>
    <row r="3" spans="2:12" ht="19.5" customHeight="1" x14ac:dyDescent="0.25">
      <c r="B3" s="33" t="s">
        <v>173</v>
      </c>
      <c r="C3" s="52" t="s">
        <v>174</v>
      </c>
      <c r="D3" s="20">
        <v>850000</v>
      </c>
      <c r="E3" s="20">
        <v>820000</v>
      </c>
      <c r="F3" s="20">
        <v>612000</v>
      </c>
      <c r="G3" s="20">
        <f t="shared" ref="G3:G9" si="0">F3-E3</f>
        <v>-208000</v>
      </c>
      <c r="H3" s="73">
        <v>0.74634146341463403</v>
      </c>
      <c r="I3" s="74" t="s">
        <v>175</v>
      </c>
      <c r="J3" s="75" t="s">
        <v>176</v>
      </c>
      <c r="K3" s="76">
        <f t="shared" ref="K3:K9" si="1">IF(H3&gt;0,F3/H3,E3)</f>
        <v>820000.00000000012</v>
      </c>
      <c r="L3" s="21">
        <f t="shared" ref="L3:L10" si="2">IF(D3&gt;0,(D3-K3)/D3,0)</f>
        <v>3.5294117647058684E-2</v>
      </c>
    </row>
    <row r="4" spans="2:12" ht="19.5" customHeight="1" x14ac:dyDescent="0.25">
      <c r="B4" s="34" t="s">
        <v>177</v>
      </c>
      <c r="C4" s="46" t="s">
        <v>178</v>
      </c>
      <c r="D4" s="25">
        <v>420000</v>
      </c>
      <c r="E4" s="25">
        <v>410000</v>
      </c>
      <c r="F4" s="25">
        <v>398000</v>
      </c>
      <c r="G4" s="25">
        <f t="shared" si="0"/>
        <v>-12000</v>
      </c>
      <c r="H4" s="77">
        <v>0.97073170731707303</v>
      </c>
      <c r="I4" s="78" t="s">
        <v>179</v>
      </c>
      <c r="J4" s="79" t="s">
        <v>180</v>
      </c>
      <c r="K4" s="76">
        <f t="shared" si="1"/>
        <v>410000.00000000006</v>
      </c>
      <c r="L4" s="26">
        <f t="shared" si="2"/>
        <v>2.3809523809523669E-2</v>
      </c>
    </row>
    <row r="5" spans="2:12" ht="19.5" customHeight="1" x14ac:dyDescent="0.25">
      <c r="B5" s="33" t="s">
        <v>181</v>
      </c>
      <c r="C5" s="52" t="s">
        <v>182</v>
      </c>
      <c r="D5" s="20">
        <v>185000</v>
      </c>
      <c r="E5" s="20">
        <v>180000</v>
      </c>
      <c r="F5" s="20">
        <v>92000</v>
      </c>
      <c r="G5" s="20">
        <f t="shared" si="0"/>
        <v>-88000</v>
      </c>
      <c r="H5" s="73">
        <v>0.51111111111111096</v>
      </c>
      <c r="I5" s="74" t="s">
        <v>183</v>
      </c>
      <c r="J5" s="75" t="s">
        <v>176</v>
      </c>
      <c r="K5" s="76">
        <f t="shared" si="1"/>
        <v>180000.00000000006</v>
      </c>
      <c r="L5" s="21">
        <f t="shared" si="2"/>
        <v>2.7027027027026713E-2</v>
      </c>
    </row>
    <row r="6" spans="2:12" ht="19.5" customHeight="1" x14ac:dyDescent="0.25">
      <c r="B6" s="34" t="s">
        <v>184</v>
      </c>
      <c r="C6" s="46" t="s">
        <v>185</v>
      </c>
      <c r="D6" s="25">
        <v>95000</v>
      </c>
      <c r="E6" s="25">
        <v>90000</v>
      </c>
      <c r="F6" s="25">
        <v>88000</v>
      </c>
      <c r="G6" s="25">
        <f t="shared" si="0"/>
        <v>-2000</v>
      </c>
      <c r="H6" s="77">
        <v>0.97777777777777797</v>
      </c>
      <c r="I6" s="78" t="s">
        <v>186</v>
      </c>
      <c r="J6" s="75" t="s">
        <v>187</v>
      </c>
      <c r="K6" s="76">
        <f t="shared" si="1"/>
        <v>89999.999999999985</v>
      </c>
      <c r="L6" s="26">
        <f t="shared" si="2"/>
        <v>5.2631578947368571E-2</v>
      </c>
    </row>
    <row r="7" spans="2:12" ht="19.5" customHeight="1" x14ac:dyDescent="0.25">
      <c r="B7" s="33" t="s">
        <v>188</v>
      </c>
      <c r="C7" s="52" t="s">
        <v>189</v>
      </c>
      <c r="D7" s="20">
        <v>65000</v>
      </c>
      <c r="E7" s="20">
        <v>62000</v>
      </c>
      <c r="F7" s="20">
        <v>63500</v>
      </c>
      <c r="G7" s="20">
        <f t="shared" si="0"/>
        <v>1500</v>
      </c>
      <c r="H7" s="73">
        <v>1.0241935483871001</v>
      </c>
      <c r="I7" s="74" t="s">
        <v>190</v>
      </c>
      <c r="J7" s="80" t="s">
        <v>191</v>
      </c>
      <c r="K7" s="76">
        <f t="shared" si="1"/>
        <v>61999.999999999796</v>
      </c>
      <c r="L7" s="21">
        <f t="shared" si="2"/>
        <v>4.6153846153849286E-2</v>
      </c>
    </row>
    <row r="8" spans="2:12" ht="19.5" customHeight="1" x14ac:dyDescent="0.25">
      <c r="B8" s="34" t="s">
        <v>192</v>
      </c>
      <c r="C8" s="46" t="s">
        <v>193</v>
      </c>
      <c r="D8" s="25">
        <v>145000</v>
      </c>
      <c r="E8" s="25">
        <v>140000</v>
      </c>
      <c r="F8" s="25">
        <v>58000</v>
      </c>
      <c r="G8" s="25">
        <f t="shared" si="0"/>
        <v>-82000</v>
      </c>
      <c r="H8" s="77">
        <v>0.41428571428571398</v>
      </c>
      <c r="I8" s="78" t="s">
        <v>194</v>
      </c>
      <c r="J8" s="75" t="s">
        <v>176</v>
      </c>
      <c r="K8" s="76">
        <f t="shared" si="1"/>
        <v>140000.00000000012</v>
      </c>
      <c r="L8" s="26">
        <f t="shared" si="2"/>
        <v>3.448275862068885E-2</v>
      </c>
    </row>
    <row r="9" spans="2:12" ht="19.5" customHeight="1" thickBot="1" x14ac:dyDescent="0.3">
      <c r="B9" s="33" t="s">
        <v>195</v>
      </c>
      <c r="C9" s="52" t="s">
        <v>196</v>
      </c>
      <c r="D9" s="20">
        <v>230000</v>
      </c>
      <c r="E9" s="20">
        <v>225000</v>
      </c>
      <c r="F9" s="20">
        <v>198000</v>
      </c>
      <c r="G9" s="20">
        <f t="shared" si="0"/>
        <v>-27000</v>
      </c>
      <c r="H9" s="73">
        <v>0.88</v>
      </c>
      <c r="I9" s="74" t="s">
        <v>197</v>
      </c>
      <c r="J9" s="79" t="s">
        <v>198</v>
      </c>
      <c r="K9" s="76">
        <f t="shared" si="1"/>
        <v>225000</v>
      </c>
      <c r="L9" s="21">
        <f t="shared" si="2"/>
        <v>2.1739130434782608E-2</v>
      </c>
    </row>
    <row r="10" spans="2:12" ht="19.5" customHeight="1" thickBot="1" x14ac:dyDescent="0.3">
      <c r="B10" s="87" t="s">
        <v>199</v>
      </c>
      <c r="C10" s="87"/>
      <c r="D10" s="61">
        <f>SUM(D3:D9)</f>
        <v>1990000</v>
      </c>
      <c r="E10" s="61">
        <f>SUM(E3:E9)</f>
        <v>1927000</v>
      </c>
      <c r="F10" s="61">
        <f>SUM(F3:F9)</f>
        <v>1509500</v>
      </c>
      <c r="G10" s="61">
        <f>SUM(G3:G9)</f>
        <v>-417500</v>
      </c>
      <c r="K10" s="61">
        <f>SUM(K3:K9)</f>
        <v>1927000</v>
      </c>
      <c r="L10" s="62">
        <f t="shared" si="2"/>
        <v>3.1658291457286429E-2</v>
      </c>
    </row>
  </sheetData>
  <mergeCells count="2">
    <mergeCell ref="B1:L1"/>
    <mergeCell ref="B10:C1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📊 Dashboard</vt:lpstr>
      <vt:lpstr>📊 GuV</vt:lpstr>
      <vt:lpstr>📈 Plan-Ist</vt:lpstr>
      <vt:lpstr>🏭 Kostenstellen</vt:lpstr>
      <vt:lpstr>💧 Liquidität</vt:lpstr>
      <vt:lpstr>📋 Projekte</vt:lpstr>
      <vt:lpstr>'🏭 Kostenstellen'!Drucktitel</vt:lpstr>
      <vt:lpstr>'💧 Liquidität'!Drucktitel</vt:lpstr>
      <vt:lpstr>'📈 Plan-Ist'!Drucktitel</vt:lpstr>
      <vt:lpstr>'📊 Dashboard'!Drucktitel</vt:lpstr>
      <vt:lpstr>'📊 GuV'!Drucktitel</vt:lpstr>
      <vt:lpstr>'📋 Projekte'!Drucktitel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2026-05-11T05:08:34Z</dcterms:created>
  <dcterms:modified xsi:type="dcterms:W3CDTF">2026-05-11T06:08:17Z</dcterms:modified>
  <dc:language>en-US</dc:language>
</cp:coreProperties>
</file>