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udgetplanung\UNTERNEHMEN\"/>
    </mc:Choice>
  </mc:AlternateContent>
  <xr:revisionPtr revIDLastSave="0" documentId="13_ncr:1_{6A1CDAAF-3437-4E68-850C-E6BA33A21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Annahmen" sheetId="2" r:id="rId2"/>
    <sheet name="Budgetplanung" sheetId="3" r:id="rId3"/>
    <sheet name="Liquiditä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4" l="1"/>
  <c r="M19" i="4"/>
  <c r="L19" i="4"/>
  <c r="K19" i="4"/>
  <c r="J19" i="4"/>
  <c r="I19" i="4"/>
  <c r="H19" i="4"/>
  <c r="G19" i="4"/>
  <c r="F19" i="4"/>
  <c r="E19" i="4"/>
  <c r="D19" i="4"/>
  <c r="C19" i="4"/>
  <c r="B19" i="4"/>
  <c r="B16" i="4"/>
  <c r="M15" i="4"/>
  <c r="L15" i="4"/>
  <c r="K15" i="4"/>
  <c r="J15" i="4"/>
  <c r="I15" i="4"/>
  <c r="H15" i="4"/>
  <c r="G15" i="4"/>
  <c r="F15" i="4"/>
  <c r="E15" i="4"/>
  <c r="D15" i="4"/>
  <c r="C15" i="4"/>
  <c r="B15" i="4"/>
  <c r="N15" i="4" s="1"/>
  <c r="E13" i="4"/>
  <c r="E14" i="4" s="1"/>
  <c r="D13" i="4"/>
  <c r="D14" i="4" s="1"/>
  <c r="C13" i="4"/>
  <c r="C14" i="4" s="1"/>
  <c r="B13" i="4"/>
  <c r="E12" i="4"/>
  <c r="D12" i="4"/>
  <c r="C12" i="4"/>
  <c r="B12" i="4"/>
  <c r="E11" i="4"/>
  <c r="D11" i="4"/>
  <c r="C11" i="4"/>
  <c r="B11" i="4"/>
  <c r="E10" i="4"/>
  <c r="D10" i="4"/>
  <c r="C10" i="4"/>
  <c r="B10" i="4"/>
  <c r="E7" i="4"/>
  <c r="D7" i="4"/>
  <c r="C7" i="4"/>
  <c r="B7" i="4"/>
  <c r="B6" i="4"/>
  <c r="N6" i="4" s="1"/>
  <c r="AG30" i="3"/>
  <c r="AF30" i="3"/>
  <c r="AG29" i="3"/>
  <c r="C41" i="3" s="1"/>
  <c r="C16" i="1" s="1"/>
  <c r="AF29" i="3"/>
  <c r="AG28" i="3"/>
  <c r="AF28" i="3"/>
  <c r="AG27" i="3"/>
  <c r="C40" i="3" s="1"/>
  <c r="C15" i="1" s="1"/>
  <c r="AF27" i="3"/>
  <c r="AG26" i="3"/>
  <c r="AF26" i="3"/>
  <c r="AG25" i="3"/>
  <c r="AF25" i="3"/>
  <c r="AG24" i="3"/>
  <c r="AF24" i="3"/>
  <c r="AG23" i="3"/>
  <c r="AF23" i="3"/>
  <c r="AG22" i="3"/>
  <c r="AF22" i="3"/>
  <c r="AG21" i="3"/>
  <c r="AF21" i="3"/>
  <c r="AG20" i="3"/>
  <c r="AF20" i="3"/>
  <c r="AG19" i="3"/>
  <c r="C39" i="3" s="1"/>
  <c r="C14" i="1" s="1"/>
  <c r="AF19" i="3"/>
  <c r="AG18" i="3"/>
  <c r="AF18" i="3"/>
  <c r="AG17" i="3"/>
  <c r="AF17" i="3"/>
  <c r="AG16" i="3"/>
  <c r="AF16" i="3"/>
  <c r="AG15" i="3"/>
  <c r="AF15" i="3"/>
  <c r="AG14" i="3"/>
  <c r="C38" i="3" s="1"/>
  <c r="C13" i="1" s="1"/>
  <c r="AF14" i="3"/>
  <c r="AG13" i="3"/>
  <c r="AF13" i="3"/>
  <c r="AG12" i="3"/>
  <c r="AF12" i="3"/>
  <c r="AG11" i="3"/>
  <c r="C37" i="3" s="1"/>
  <c r="C12" i="1" s="1"/>
  <c r="AF11" i="3"/>
  <c r="AG10" i="3"/>
  <c r="AH10" i="3" s="1"/>
  <c r="AF10" i="3"/>
  <c r="AI10" i="3" s="1"/>
  <c r="AG9" i="3"/>
  <c r="AH9" i="3" s="1"/>
  <c r="AF9" i="3"/>
  <c r="AI9" i="3" s="1"/>
  <c r="AG8" i="3"/>
  <c r="AH8" i="3" s="1"/>
  <c r="AF8" i="3"/>
  <c r="AI8" i="3" s="1"/>
  <c r="AG7" i="3"/>
  <c r="AF7" i="3"/>
  <c r="I3" i="3"/>
  <c r="G3" i="3"/>
  <c r="E3" i="3"/>
  <c r="B3" i="3"/>
  <c r="B15" i="2"/>
  <c r="B14" i="2"/>
  <c r="B13" i="2"/>
  <c r="B12" i="2"/>
  <c r="B11" i="2"/>
  <c r="A16" i="1"/>
  <c r="A15" i="1"/>
  <c r="A14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A12" i="1"/>
  <c r="A11" i="1"/>
  <c r="I3" i="1"/>
  <c r="G3" i="1"/>
  <c r="E3" i="1"/>
  <c r="B3" i="1"/>
  <c r="B14" i="4" l="1"/>
  <c r="N13" i="4"/>
  <c r="E8" i="4"/>
  <c r="F16" i="4" s="1"/>
  <c r="E9" i="4"/>
  <c r="E17" i="4" s="1"/>
  <c r="K16" i="1" s="1"/>
  <c r="D8" i="4"/>
  <c r="E16" i="4" s="1"/>
  <c r="D9" i="4"/>
  <c r="C8" i="4"/>
  <c r="D16" i="4" s="1"/>
  <c r="C9" i="4"/>
  <c r="B8" i="4"/>
  <c r="B9" i="4"/>
  <c r="AH30" i="3"/>
  <c r="AI30" i="3" s="1"/>
  <c r="AH29" i="3"/>
  <c r="AI29" i="3"/>
  <c r="B41" i="3"/>
  <c r="AH28" i="3"/>
  <c r="AI28" i="3" s="1"/>
  <c r="B40" i="3"/>
  <c r="AH27" i="3"/>
  <c r="AI27" i="3"/>
  <c r="AH26" i="3"/>
  <c r="AI26" i="3" s="1"/>
  <c r="AH25" i="3"/>
  <c r="AI25" i="3"/>
  <c r="AH24" i="3"/>
  <c r="AI24" i="3" s="1"/>
  <c r="AH23" i="3"/>
  <c r="AI23" i="3" s="1"/>
  <c r="AH22" i="3"/>
  <c r="AI22" i="3"/>
  <c r="AH21" i="3"/>
  <c r="AI21" i="3"/>
  <c r="AH20" i="3"/>
  <c r="AI20" i="3"/>
  <c r="B39" i="3"/>
  <c r="AH19" i="3"/>
  <c r="AI19" i="3" s="1"/>
  <c r="AH18" i="3"/>
  <c r="AI18" i="3" s="1"/>
  <c r="AH17" i="3"/>
  <c r="AI17" i="3" s="1"/>
  <c r="AH16" i="3"/>
  <c r="AI16" i="3" s="1"/>
  <c r="AH15" i="3"/>
  <c r="AI15" i="3"/>
  <c r="B38" i="3"/>
  <c r="AH14" i="3"/>
  <c r="AI14" i="3" s="1"/>
  <c r="AH13" i="3"/>
  <c r="AI13" i="3" s="1"/>
  <c r="AH12" i="3"/>
  <c r="AI12" i="3" s="1"/>
  <c r="AH11" i="3"/>
  <c r="AI11" i="3" s="1"/>
  <c r="B37" i="3"/>
  <c r="AH7" i="3"/>
  <c r="C36" i="3"/>
  <c r="AI7" i="3"/>
  <c r="B36" i="3"/>
  <c r="AJ17" i="3"/>
  <c r="AK17" i="3" s="1"/>
  <c r="L12" i="4"/>
  <c r="AJ15" i="3"/>
  <c r="AK15" i="3" s="1"/>
  <c r="AJ16" i="3"/>
  <c r="AK16" i="3" s="1"/>
  <c r="AJ18" i="3"/>
  <c r="AK18" i="3" s="1"/>
  <c r="J12" i="4"/>
  <c r="F12" i="4"/>
  <c r="H12" i="4"/>
  <c r="AJ14" i="3"/>
  <c r="M12" i="4"/>
  <c r="G12" i="4"/>
  <c r="K12" i="4"/>
  <c r="I12" i="4"/>
  <c r="L13" i="4"/>
  <c r="AJ11" i="3"/>
  <c r="AJ21" i="3"/>
  <c r="AK21" i="3" s="1"/>
  <c r="AJ27" i="3"/>
  <c r="AJ25" i="3"/>
  <c r="AK25" i="3" s="1"/>
  <c r="AJ22" i="3"/>
  <c r="AK22" i="3" s="1"/>
  <c r="AJ19" i="3"/>
  <c r="AJ13" i="3"/>
  <c r="AK13" i="3" s="1"/>
  <c r="F10" i="4"/>
  <c r="G10" i="4"/>
  <c r="AJ30" i="3"/>
  <c r="AK30" i="3" s="1"/>
  <c r="H10" i="4"/>
  <c r="H14" i="4" s="1"/>
  <c r="I10" i="4"/>
  <c r="J10" i="4"/>
  <c r="K10" i="4"/>
  <c r="AJ26" i="3"/>
  <c r="AK26" i="3" s="1"/>
  <c r="L10" i="4"/>
  <c r="M10" i="4"/>
  <c r="AJ29" i="3"/>
  <c r="F11" i="4"/>
  <c r="G11" i="4"/>
  <c r="AJ28" i="3"/>
  <c r="AK28" i="3" s="1"/>
  <c r="H11" i="4"/>
  <c r="I11" i="4"/>
  <c r="J11" i="4"/>
  <c r="K11" i="4"/>
  <c r="AJ24" i="3"/>
  <c r="AK24" i="3" s="1"/>
  <c r="AJ23" i="3"/>
  <c r="AK23" i="3" s="1"/>
  <c r="L11" i="4"/>
  <c r="M11" i="4"/>
  <c r="AJ20" i="3"/>
  <c r="AK20" i="3" s="1"/>
  <c r="M13" i="4"/>
  <c r="AJ12" i="3"/>
  <c r="AK12" i="3" s="1"/>
  <c r="F13" i="4"/>
  <c r="G13" i="4"/>
  <c r="H13" i="4"/>
  <c r="I13" i="4"/>
  <c r="J13" i="4"/>
  <c r="K13" i="4"/>
  <c r="H7" i="4"/>
  <c r="AJ10" i="3"/>
  <c r="AK10" i="3" s="1"/>
  <c r="AJ8" i="3"/>
  <c r="AK8" i="3" s="1"/>
  <c r="AJ9" i="3"/>
  <c r="AK9" i="3" s="1"/>
  <c r="K7" i="4"/>
  <c r="M7" i="4"/>
  <c r="AJ7" i="3"/>
  <c r="L7" i="4"/>
  <c r="J7" i="4"/>
  <c r="I7" i="4"/>
  <c r="G7" i="4"/>
  <c r="F7" i="4"/>
  <c r="N7" i="4" s="1"/>
  <c r="C16" i="4" l="1"/>
  <c r="B17" i="4"/>
  <c r="E41" i="3"/>
  <c r="E16" i="1" s="1"/>
  <c r="B16" i="1"/>
  <c r="B15" i="1"/>
  <c r="B14" i="1"/>
  <c r="B13" i="1"/>
  <c r="B12" i="1"/>
  <c r="C42" i="3"/>
  <c r="C17" i="1" s="1"/>
  <c r="C11" i="1"/>
  <c r="B42" i="3"/>
  <c r="B17" i="1" s="1"/>
  <c r="B11" i="1"/>
  <c r="AK14" i="3"/>
  <c r="D38" i="3"/>
  <c r="D37" i="3"/>
  <c r="E37" i="3" s="1"/>
  <c r="E12" i="1" s="1"/>
  <c r="AK11" i="3"/>
  <c r="AK27" i="3"/>
  <c r="D40" i="3"/>
  <c r="AK19" i="3"/>
  <c r="D39" i="3"/>
  <c r="N10" i="4"/>
  <c r="F14" i="4"/>
  <c r="N14" i="4" s="1"/>
  <c r="AK29" i="3"/>
  <c r="D41" i="3"/>
  <c r="D16" i="1" s="1"/>
  <c r="H8" i="4"/>
  <c r="H9" i="4"/>
  <c r="K8" i="4"/>
  <c r="L16" i="4" s="1"/>
  <c r="K9" i="4"/>
  <c r="K17" i="4" s="1"/>
  <c r="Q16" i="1" s="1"/>
  <c r="M8" i="4"/>
  <c r="M9" i="4"/>
  <c r="AK7" i="3"/>
  <c r="D36" i="3"/>
  <c r="L8" i="4"/>
  <c r="J8" i="4"/>
  <c r="I8" i="4"/>
  <c r="G9" i="4"/>
  <c r="G8" i="4"/>
  <c r="F8" i="4"/>
  <c r="F9" i="4" s="1"/>
  <c r="D17" i="4"/>
  <c r="J16" i="1" s="1"/>
  <c r="L14" i="4"/>
  <c r="G14" i="4"/>
  <c r="I14" i="4"/>
  <c r="K14" i="4"/>
  <c r="M14" i="4"/>
  <c r="N12" i="4"/>
  <c r="J14" i="4"/>
  <c r="N11" i="4"/>
  <c r="C17" i="4" l="1"/>
  <c r="I16" i="1" s="1"/>
  <c r="N16" i="4"/>
  <c r="N17" i="4"/>
  <c r="F7" i="1" s="1"/>
  <c r="B18" i="4"/>
  <c r="H16" i="1"/>
  <c r="B7" i="1"/>
  <c r="D12" i="1"/>
  <c r="E36" i="3"/>
  <c r="E11" i="1" s="1"/>
  <c r="D42" i="3"/>
  <c r="D11" i="1"/>
  <c r="B6" i="1"/>
  <c r="H16" i="4"/>
  <c r="H17" i="4" s="1"/>
  <c r="N16" i="1" s="1"/>
  <c r="G16" i="4"/>
  <c r="G17" i="4" s="1"/>
  <c r="M16" i="1" s="1"/>
  <c r="D13" i="1"/>
  <c r="E38" i="3"/>
  <c r="E13" i="1" s="1"/>
  <c r="D15" i="1"/>
  <c r="E40" i="3"/>
  <c r="E15" i="1" s="1"/>
  <c r="D14" i="1"/>
  <c r="E39" i="3"/>
  <c r="E14" i="1" s="1"/>
  <c r="I16" i="4"/>
  <c r="N8" i="4"/>
  <c r="M16" i="4"/>
  <c r="M17" i="4" s="1"/>
  <c r="S16" i="1" s="1"/>
  <c r="L9" i="4"/>
  <c r="L17" i="4" s="1"/>
  <c r="R16" i="1" s="1"/>
  <c r="K16" i="4"/>
  <c r="J9" i="4"/>
  <c r="J17" i="4" s="1"/>
  <c r="P16" i="1" s="1"/>
  <c r="J16" i="4"/>
  <c r="I9" i="4"/>
  <c r="I17" i="4" s="1"/>
  <c r="O16" i="1" s="1"/>
  <c r="N9" i="4"/>
  <c r="F17" i="4"/>
  <c r="L16" i="1" s="1"/>
  <c r="B20" i="4" l="1"/>
  <c r="C6" i="4"/>
  <c r="C18" i="4" s="1"/>
  <c r="H11" i="1"/>
  <c r="E42" i="3"/>
  <c r="E17" i="1" s="1"/>
  <c r="D17" i="1"/>
  <c r="F6" i="1"/>
  <c r="C20" i="4" l="1"/>
  <c r="D6" i="4"/>
  <c r="D18" i="4" s="1"/>
  <c r="I11" i="1"/>
  <c r="D20" i="4" l="1"/>
  <c r="E6" i="4"/>
  <c r="E18" i="4" s="1"/>
  <c r="J11" i="1"/>
  <c r="E20" i="4" l="1"/>
  <c r="F6" i="4"/>
  <c r="F18" i="4" s="1"/>
  <c r="K11" i="1"/>
  <c r="F20" i="4" l="1"/>
  <c r="G6" i="4"/>
  <c r="G18" i="4" s="1"/>
  <c r="L11" i="1"/>
  <c r="G20" i="4" l="1"/>
  <c r="H6" i="4"/>
  <c r="H18" i="4" s="1"/>
  <c r="M11" i="1"/>
  <c r="H20" i="4" l="1"/>
  <c r="I6" i="4"/>
  <c r="I18" i="4" s="1"/>
  <c r="N11" i="1"/>
  <c r="I20" i="4" l="1"/>
  <c r="J6" i="4"/>
  <c r="J18" i="4" s="1"/>
  <c r="O11" i="1"/>
  <c r="J20" i="4" l="1"/>
  <c r="K6" i="4"/>
  <c r="K18" i="4" s="1"/>
  <c r="P11" i="1"/>
  <c r="K20" i="4" l="1"/>
  <c r="L6" i="4"/>
  <c r="L18" i="4" s="1"/>
  <c r="Q11" i="1"/>
  <c r="L20" i="4" l="1"/>
  <c r="M6" i="4"/>
  <c r="M18" i="4" s="1"/>
  <c r="R11" i="1"/>
  <c r="J6" i="1" l="1"/>
  <c r="J7" i="1" s="1"/>
  <c r="K3" i="1"/>
  <c r="N18" i="4"/>
  <c r="N20" i="4" s="1"/>
  <c r="M20" i="4"/>
  <c r="S11" i="1"/>
</calcChain>
</file>

<file path=xl/sharedStrings.xml><?xml version="1.0" encoding="utf-8"?>
<sst xmlns="http://schemas.openxmlformats.org/spreadsheetml/2006/main" count="407" uniqueCount="219">
  <si>
    <t>Übersicht – Budgetplanung Unternehmen</t>
  </si>
  <si>
    <t>Unternehmen</t>
  </si>
  <si>
    <t>Planjahr</t>
  </si>
  <si>
    <t>Szenario</t>
  </si>
  <si>
    <t>Ist bis Monat</t>
  </si>
  <si>
    <t>Liquiditätsstatus</t>
  </si>
  <si>
    <t>KPI</t>
  </si>
  <si>
    <t>Wert</t>
  </si>
  <si>
    <t>Kommentar</t>
  </si>
  <si>
    <t>Umsatz Forecast</t>
  </si>
  <si>
    <t>Erwarteter Jahresumsatz nach Szenario</t>
  </si>
  <si>
    <t>Operatives Ergebnis Forecast</t>
  </si>
  <si>
    <t>Umsatz minus operative Kosten ohne Finanzierung</t>
  </si>
  <si>
    <t>Niedrigster Bankbestand</t>
  </si>
  <si>
    <t>Frühwarnwert für Liquidität</t>
  </si>
  <si>
    <t>Gesamtkosten Forecast</t>
  </si>
  <si>
    <t>Kosten inkl. Personal, Investitionen, Finanzierung</t>
  </si>
  <si>
    <t>Cashflow Jahr</t>
  </si>
  <si>
    <t>Summe der monatlichen Netto-Cashflows</t>
  </si>
  <si>
    <t>Budgetstatus</t>
  </si>
  <si>
    <t>Gesamtstatus gegen Jahresbudget</t>
  </si>
  <si>
    <t>Budgetart</t>
  </si>
  <si>
    <t>Jahres-Soll</t>
  </si>
  <si>
    <t>Forecast</t>
  </si>
  <si>
    <t>Forecast-Abweichung</t>
  </si>
  <si>
    <t>Monat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</si>
  <si>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</si>
  <si>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</si>
  <si>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</si>
  <si>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</si>
  <si>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</si>
  <si>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</si>
  <si>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</si>
  <si>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</si>
  <si>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</si>
  <si>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</si>
  <si>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</si>
  <si>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</si>
  <si>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Endbestand</t>
  </si>
  <si>
    <t>Mindestreserve</t>
  </si>
  <si>
    <t>Netto-Cashflow</t>
  </si>
  <si>
    <t>Operatives Ergebnis</t>
  </si>
  <si>
    <t>Budgetplanung Unternehmen – Annahmen und Steuerung</t>
  </si>
  <si>
    <t>Musterfirma Nordlicht GmbH</t>
  </si>
  <si>
    <t>Umsatzfaktor</t>
  </si>
  <si>
    <t>Kostenfaktor</t>
  </si>
  <si>
    <t>Personalfaktor</t>
  </si>
  <si>
    <t>Zahlungsziel Kunden</t>
  </si>
  <si>
    <t>Zahlungsziel Lieferanten</t>
  </si>
  <si>
    <t>Beschreibung</t>
  </si>
  <si>
    <t>Konservativ</t>
  </si>
  <si>
    <t>Umsatz schwächer, Kosten steigen</t>
  </si>
  <si>
    <t>Aktueller Bankbestand</t>
  </si>
  <si>
    <t>Basis</t>
  </si>
  <si>
    <t>Aktuelle Planung ohne Anpassung</t>
  </si>
  <si>
    <t>Umsatzsteuer</t>
  </si>
  <si>
    <t>Wachstum</t>
  </si>
  <si>
    <t>Mehr Umsatz, moderater Kostenanstieg</t>
  </si>
  <si>
    <t>Arbeitgebernebenkosten</t>
  </si>
  <si>
    <t>Ist-Daten erfasst bis Monat</t>
  </si>
  <si>
    <t>Zahlungsziel Kunden (Tage)</t>
  </si>
  <si>
    <t>Zahlungsziel Lieferanten (Tage)</t>
  </si>
  <si>
    <t>Mindest-Liquiditätsreserve</t>
  </si>
  <si>
    <t>Kostenstellen</t>
  </si>
  <si>
    <t>Bereiche</t>
  </si>
  <si>
    <t>Budgetarten</t>
  </si>
  <si>
    <t>Verantwortliche</t>
  </si>
  <si>
    <t>Monate</t>
  </si>
  <si>
    <t>Kurzanleitung</t>
  </si>
  <si>
    <t>Vertrieb</t>
  </si>
  <si>
    <t>Umsatz</t>
  </si>
  <si>
    <t>Einnahme</t>
  </si>
  <si>
    <t>Lena K.</t>
  </si>
  <si>
    <t>1. In gelben Zellen Annahmen und Szenario anpassen.</t>
  </si>
  <si>
    <t>Produkt</t>
  </si>
  <si>
    <t>Direkte Kosten</t>
  </si>
  <si>
    <t>Variable Kosten</t>
  </si>
  <si>
    <t>Jonas M.</t>
  </si>
  <si>
    <t>2. In „Budgetplanung“ Plan- und Ist-Werte je Position pflegen.</t>
  </si>
  <si>
    <t>Marketing</t>
  </si>
  <si>
    <t>Fixkosten</t>
  </si>
  <si>
    <t>Mara S.</t>
  </si>
  <si>
    <t>3. „Liquidität“ und „Übersicht“ aktualisieren sich automatisch.</t>
  </si>
  <si>
    <t>Verwaltung</t>
  </si>
  <si>
    <t>Personal</t>
  </si>
  <si>
    <t>Omar T.</t>
  </si>
  <si>
    <t>4. Für neue Positionen vorhandene Zeilen kopieren, damit Formeln erhalten bleiben.</t>
  </si>
  <si>
    <t>Geschäftsführung</t>
  </si>
  <si>
    <t>Administration</t>
  </si>
  <si>
    <t>Investition</t>
  </si>
  <si>
    <t>Nina B.</t>
  </si>
  <si>
    <t>Customer Success</t>
  </si>
  <si>
    <t>Finanzierung</t>
  </si>
  <si>
    <t>Team Finance</t>
  </si>
  <si>
    <t>IT</t>
  </si>
  <si>
    <t>Investitionen</t>
  </si>
  <si>
    <t>Budgetplanung Unternehmen – Jahresbudget nach Kostenstellen</t>
  </si>
  <si>
    <t>Gelb/blau = Eingabe · Schwarz = Formel</t>
  </si>
  <si>
    <t>ID</t>
  </si>
  <si>
    <t>Kostenstelle</t>
  </si>
  <si>
    <t>Bereich</t>
  </si>
  <si>
    <t>Position</t>
  </si>
  <si>
    <t>Verantwortlich</t>
  </si>
  <si>
    <t>Notizen</t>
  </si>
  <si>
    <t>Jan Plan</t>
  </si>
  <si>
    <t>Jan Ist</t>
  </si>
  <si>
    <t>Feb Plan</t>
  </si>
  <si>
    <t>Feb Ist</t>
  </si>
  <si>
    <t>Mär Plan</t>
  </si>
  <si>
    <t>Mär Ist</t>
  </si>
  <si>
    <t>Apr Plan</t>
  </si>
  <si>
    <t>Apr Ist</t>
  </si>
  <si>
    <t>Mai Plan</t>
  </si>
  <si>
    <t>Mai Ist</t>
  </si>
  <si>
    <t>Jun Plan</t>
  </si>
  <si>
    <t>Jun Ist</t>
  </si>
  <si>
    <t>Jul Plan</t>
  </si>
  <si>
    <t>Jul Ist</t>
  </si>
  <si>
    <t>Aug Plan</t>
  </si>
  <si>
    <t>Aug Ist</t>
  </si>
  <si>
    <t>Sep Plan</t>
  </si>
  <si>
    <t>Sep Ist</t>
  </si>
  <si>
    <t>Okt Plan</t>
  </si>
  <si>
    <t>Okt Ist</t>
  </si>
  <si>
    <t>Nov Plan</t>
  </si>
  <si>
    <t>Nov Ist</t>
  </si>
  <si>
    <t>Dez Plan</t>
  </si>
  <si>
    <t>Dez Ist</t>
  </si>
  <si>
    <t>Jahres-Ist</t>
  </si>
  <si>
    <t>Abweichung €</t>
  </si>
  <si>
    <t>Abweichung %</t>
  </si>
  <si>
    <t>Status</t>
  </si>
  <si>
    <t>B001</t>
  </si>
  <si>
    <t>SaaS-Abonnements</t>
  </si>
  <si>
    <t>Wiederkehrende Monatsumsätze</t>
  </si>
  <si>
    <t>B002</t>
  </si>
  <si>
    <t>Consulting-Projekte</t>
  </si>
  <si>
    <t>Projektumsatz nach erwarteter Abnahme</t>
  </si>
  <si>
    <t>B003</t>
  </si>
  <si>
    <t>Support- und Wartungsverträge</t>
  </si>
  <si>
    <t>Vertragsbasierte Servicepakete</t>
  </si>
  <si>
    <t>B004</t>
  </si>
  <si>
    <t>Schulungen und Workshops</t>
  </si>
  <si>
    <t>Offene Firmenschulungen</t>
  </si>
  <si>
    <t>B005</t>
  </si>
  <si>
    <t>Cloud-Infrastruktur</t>
  </si>
  <si>
    <t>Server, Datenbanken und Monitoring</t>
  </si>
  <si>
    <t>B006</t>
  </si>
  <si>
    <t>Zahlungs- und Transaktionsgebühren</t>
  </si>
  <si>
    <t>Payment Provider und Bankgebühren</t>
  </si>
  <si>
    <t>B007</t>
  </si>
  <si>
    <t>Externe Freelancer Entwicklung</t>
  </si>
  <si>
    <t>Spitzenlast bei Produkt-Roadmap</t>
  </si>
  <si>
    <t>B008</t>
  </si>
  <si>
    <t>Gehälter Vertrieb</t>
  </si>
  <si>
    <t>Fixe Gehälter inkl. Nebenleistungen</t>
  </si>
  <si>
    <t>B009</t>
  </si>
  <si>
    <t>Gehälter Produktentwicklung</t>
  </si>
  <si>
    <t>Entwicklungsteam</t>
  </si>
  <si>
    <t>B010</t>
  </si>
  <si>
    <t>Gehälter Customer Success</t>
  </si>
  <si>
    <t>Support und Kundenbindung</t>
  </si>
  <si>
    <t>B011</t>
  </si>
  <si>
    <t>Geschäftsleitung</t>
  </si>
  <si>
    <t>B012</t>
  </si>
  <si>
    <t>Werkstudierende und Aushilfen</t>
  </si>
  <si>
    <t>Flexible Unterstützung</t>
  </si>
  <si>
    <t>B013</t>
  </si>
  <si>
    <t>Performance-Marketing</t>
  </si>
  <si>
    <t>Such- und Social-Kampagnen</t>
  </si>
  <si>
    <t>B014</t>
  </si>
  <si>
    <t>Content und SEO</t>
  </si>
  <si>
    <t>Redaktion, Tools und Produktion</t>
  </si>
  <si>
    <t>B015</t>
  </si>
  <si>
    <t>Messen und Events</t>
  </si>
  <si>
    <t>Branchenmessen und Kundenevents</t>
  </si>
  <si>
    <t>B016</t>
  </si>
  <si>
    <t>Büromiete und Nebenkosten</t>
  </si>
  <si>
    <t>Miete, Strom, Reinigung</t>
  </si>
  <si>
    <t>B017</t>
  </si>
  <si>
    <t>Software und Lizenzen intern</t>
  </si>
  <si>
    <t>ERP, CRM, Office, Security</t>
  </si>
  <si>
    <t>B018</t>
  </si>
  <si>
    <t>Versicherungen</t>
  </si>
  <si>
    <t>Betriebshaftpflicht und Rechtsschutz</t>
  </si>
  <si>
    <t>B019</t>
  </si>
  <si>
    <t>Steuerberatung und Buchhaltung</t>
  </si>
  <si>
    <t>Lohn, Abschluss, Beratung</t>
  </si>
  <si>
    <t>B020</t>
  </si>
  <si>
    <t>Reisekosten</t>
  </si>
  <si>
    <t>Kundenbesuche und interne Termine</t>
  </si>
  <si>
    <t>B021</t>
  </si>
  <si>
    <t>Hardware und Geräte</t>
  </si>
  <si>
    <t>Laptops und Peripherie</t>
  </si>
  <si>
    <t>B022</t>
  </si>
  <si>
    <t>Website-Relaunch</t>
  </si>
  <si>
    <t>Design, Umsetzung, Tracking</t>
  </si>
  <si>
    <t>B023</t>
  </si>
  <si>
    <t>Darlehenstilgung</t>
  </si>
  <si>
    <t>Monatliche Tilgung Bankdarlehen</t>
  </si>
  <si>
    <t>B024</t>
  </si>
  <si>
    <t>Reserve für Unvorhergesehenes</t>
  </si>
  <si>
    <t>Planungspuffer für kleinere Risiken</t>
  </si>
  <si>
    <t>Zusammenfassung</t>
  </si>
  <si>
    <t>Liquiditätsplanung – Monatsübersicht</t>
  </si>
  <si>
    <t>Logik</t>
  </si>
  <si>
    <t>Ist-Monate nutzen Ist-Werte, zukünftige Monate nutzen Planwerte mit gewähltem Szenario. Umsatzsteuer wird vereinfacht einen Monat später saldiert.</t>
  </si>
  <si>
    <t>Jahr</t>
  </si>
  <si>
    <t>Anfangsbestand</t>
  </si>
  <si>
    <t>Einzahlungen Umsatz netto</t>
  </si>
  <si>
    <t>Umsatzsteuer vereinnahmt</t>
  </si>
  <si>
    <t>Einzahlungen Umsatz brutto</t>
  </si>
  <si>
    <t>Auszahlungen variable Kosten netto</t>
  </si>
  <si>
    <t>Auszahlungen Fixkosten netto</t>
  </si>
  <si>
    <t>Personalzahlungen</t>
  </si>
  <si>
    <t>Investitionen netto</t>
  </si>
  <si>
    <t>Vorsteuer auf Kosten/Investitionen</t>
  </si>
  <si>
    <t>Finanzierung/Tilgung</t>
  </si>
  <si>
    <t>Umsatzsteuerzahlung Vormonat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</si>
</sst>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;[Red]\(#,##0\ &quot;€&quot;\);\-"/>
    <numFmt numFmtId="165" formatCode="0.0%;[Red]\(0.0%\);\-"/>
    <numFmt numFmtId="166" formatCode="#,##0;[Red]\(#,##0\);\-"/>
  </numFmts>
  <fonts count="8" x14ac:knownFonts="1">
    <font>
      <sz val="11"/>
      <name val="Carlito"/>
    </font>
    <font>
      <b/>
      <sz val="16"/>
      <color rgb="FFFFFFFF"/>
      <name val="Carlito"/>
    </font>
    <font>
      <b/>
      <sz val="11"/>
      <name val="Carlito"/>
    </font>
    <font>
      <sz val="11"/>
      <color rgb="FF0000FF"/>
      <name val="Carlito"/>
    </font>
    <font>
      <sz val="11"/>
      <color rgb="FF000000"/>
      <name val="Carlito"/>
    </font>
    <font>
      <b/>
      <sz val="11"/>
      <color rgb="FFFFFFFF"/>
      <name val="Carlito"/>
    </font>
    <font>
      <b/>
      <sz val="18"/>
      <color rgb="FFFFFFFF"/>
      <name val="Carlito"/>
    </font>
    <font>
      <sz val="11"/>
      <name val="Carlito"/>
    </font>
  </fonts>
  <fills count="13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F7F7F7"/>
      </patternFill>
    </fill>
    <fill>
      <patternFill patternType="solid">
        <fgColor rgb="FF1F4E78"/>
      </patternFill>
    </fill>
    <fill>
      <patternFill patternType="solid">
        <fgColor rgb="FFF8FBFD"/>
      </patternFill>
    </fill>
    <fill>
      <patternFill patternType="solid">
        <fgColor rgb="FFFFFFFF"/>
      </patternFill>
    </fill>
    <fill>
      <patternFill patternType="solid">
        <fgColor rgb="FFF4F9FC"/>
      </patternFill>
    </fill>
    <fill>
      <patternFill patternType="solid">
        <fgColor rgb="FFEAF3F8"/>
      </patternFill>
    </fill>
    <fill>
      <patternFill patternType="solid">
        <fgColor rgb="FFFFFBEB"/>
      </patternFill>
    </fill>
    <fill>
      <patternFill patternType="solid">
        <fgColor rgb="FFF8FAFC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106">
    <xf numFmtId="0" fontId="0" fillId="0" borderId="0" xfId="0"/>
    <xf numFmtId="0" fontId="2" fillId="3" borderId="0" xfId="1" applyFont="1" applyFill="1"/>
    <xf numFmtId="0" fontId="3" fillId="4" borderId="0" xfId="1" applyFont="1" applyFill="1"/>
    <xf numFmtId="0" fontId="5" fillId="6" borderId="0" xfId="1" applyFont="1" applyFill="1" applyAlignment="1">
      <alignment horizontal="center"/>
    </xf>
    <xf numFmtId="0" fontId="0" fillId="7" borderId="1" xfId="1" applyFont="1" applyFill="1" applyBorder="1"/>
    <xf numFmtId="0" fontId="0" fillId="7" borderId="3" xfId="1" applyFont="1" applyFill="1" applyBorder="1"/>
    <xf numFmtId="0" fontId="0" fillId="7" borderId="4" xfId="1" applyFont="1" applyFill="1" applyBorder="1"/>
    <xf numFmtId="0" fontId="0" fillId="7" borderId="6" xfId="1" applyFont="1" applyFill="1" applyBorder="1"/>
    <xf numFmtId="0" fontId="0" fillId="7" borderId="7" xfId="1" applyFont="1" applyFill="1" applyBorder="1"/>
    <xf numFmtId="0" fontId="0" fillId="7" borderId="9" xfId="1" applyFont="1" applyFill="1" applyBorder="1"/>
    <xf numFmtId="164" fontId="3" fillId="4" borderId="0" xfId="1" applyNumberFormat="1" applyFont="1" applyFill="1"/>
    <xf numFmtId="165" fontId="3" fillId="4" borderId="0" xfId="1" applyNumberFormat="1" applyFont="1" applyFill="1"/>
    <xf numFmtId="165" fontId="4" fillId="5" borderId="0" xfId="1" applyNumberFormat="1" applyFont="1" applyFill="1"/>
    <xf numFmtId="166" fontId="4" fillId="5" borderId="0" xfId="1" applyNumberFormat="1" applyFont="1" applyFill="1"/>
    <xf numFmtId="166" fontId="3" fillId="4" borderId="0" xfId="1" applyNumberFormat="1" applyFont="1" applyFill="1"/>
    <xf numFmtId="165" fontId="0" fillId="7" borderId="2" xfId="1" applyNumberFormat="1" applyFont="1" applyFill="1" applyBorder="1"/>
    <xf numFmtId="165" fontId="0" fillId="7" borderId="5" xfId="1" applyNumberFormat="1" applyFont="1" applyFill="1" applyBorder="1"/>
    <xf numFmtId="165" fontId="0" fillId="7" borderId="8" xfId="1" applyNumberFormat="1" applyFont="1" applyFill="1" applyBorder="1"/>
    <xf numFmtId="166" fontId="0" fillId="7" borderId="2" xfId="1" applyNumberFormat="1" applyFont="1" applyFill="1" applyBorder="1"/>
    <xf numFmtId="166" fontId="0" fillId="7" borderId="5" xfId="1" applyNumberFormat="1" applyFont="1" applyFill="1" applyBorder="1"/>
    <xf numFmtId="166" fontId="0" fillId="7" borderId="8" xfId="1" applyNumberFormat="1" applyFont="1" applyFill="1" applyBorder="1"/>
    <xf numFmtId="0" fontId="0" fillId="8" borderId="1" xfId="1" applyFont="1" applyFill="1" applyBorder="1"/>
    <xf numFmtId="0" fontId="0" fillId="8" borderId="2" xfId="1" applyFont="1" applyFill="1" applyBorder="1"/>
    <xf numFmtId="0" fontId="0" fillId="8" borderId="3" xfId="1" applyFont="1" applyFill="1" applyBorder="1"/>
    <xf numFmtId="0" fontId="0" fillId="8" borderId="4" xfId="1" applyFont="1" applyFill="1" applyBorder="1"/>
    <xf numFmtId="0" fontId="0" fillId="8" borderId="5" xfId="1" applyFont="1" applyFill="1" applyBorder="1"/>
    <xf numFmtId="0" fontId="0" fillId="8" borderId="6" xfId="1" applyFont="1" applyFill="1" applyBorder="1"/>
    <xf numFmtId="0" fontId="0" fillId="8" borderId="7" xfId="1" applyFont="1" applyFill="1" applyBorder="1"/>
    <xf numFmtId="0" fontId="0" fillId="8" borderId="8" xfId="1" applyFont="1" applyFill="1" applyBorder="1"/>
    <xf numFmtId="0" fontId="0" fillId="8" borderId="9" xfId="1" applyFont="1" applyFill="1" applyBorder="1"/>
    <xf numFmtId="0" fontId="2" fillId="10" borderId="0" xfId="1" applyFont="1" applyFill="1"/>
    <xf numFmtId="0" fontId="5" fillId="6" borderId="0" xfId="1" applyFont="1" applyFill="1" applyAlignment="1">
      <alignment horizontal="center" vertical="center" wrapText="1"/>
    </xf>
    <xf numFmtId="0" fontId="2" fillId="10" borderId="7" xfId="1" applyFont="1" applyFill="1" applyBorder="1"/>
    <xf numFmtId="0" fontId="2" fillId="10" borderId="8" xfId="1" applyFont="1" applyFill="1" applyBorder="1"/>
    <xf numFmtId="0" fontId="2" fillId="10" borderId="9" xfId="1" applyFont="1" applyFill="1" applyBorder="1"/>
    <xf numFmtId="0" fontId="0" fillId="8" borderId="10" xfId="1" applyFont="1" applyFill="1" applyBorder="1"/>
    <xf numFmtId="0" fontId="0" fillId="8" borderId="11" xfId="1" applyFont="1" applyFill="1" applyBorder="1"/>
    <xf numFmtId="0" fontId="0" fillId="8" borderId="12" xfId="1" applyFont="1" applyFill="1" applyBorder="1"/>
    <xf numFmtId="0" fontId="0" fillId="8" borderId="13" xfId="1" applyFont="1" applyFill="1" applyBorder="1"/>
    <xf numFmtId="0" fontId="0" fillId="8" borderId="14" xfId="1" applyFont="1" applyFill="1" applyBorder="1"/>
    <xf numFmtId="0" fontId="0" fillId="8" borderId="15" xfId="1" applyFont="1" applyFill="1" applyBorder="1"/>
    <xf numFmtId="0" fontId="0" fillId="8" borderId="16" xfId="1" applyFont="1" applyFill="1" applyBorder="1"/>
    <xf numFmtId="0" fontId="0" fillId="8" borderId="17" xfId="1" applyFont="1" applyFill="1" applyBorder="1"/>
    <xf numFmtId="0" fontId="0" fillId="8" borderId="18" xfId="1" applyFont="1" applyFill="1" applyBorder="1"/>
    <xf numFmtId="0" fontId="4" fillId="12" borderId="12" xfId="1" applyFont="1" applyFill="1" applyBorder="1"/>
    <xf numFmtId="0" fontId="4" fillId="12" borderId="15" xfId="1" applyFont="1" applyFill="1" applyBorder="1"/>
    <xf numFmtId="0" fontId="4" fillId="12" borderId="18" xfId="1" applyFont="1" applyFill="1" applyBorder="1"/>
    <xf numFmtId="164" fontId="3" fillId="11" borderId="10" xfId="1" applyNumberFormat="1" applyFont="1" applyFill="1" applyBorder="1"/>
    <xf numFmtId="164" fontId="3" fillId="11" borderId="11" xfId="1" applyNumberFormat="1" applyFont="1" applyFill="1" applyBorder="1"/>
    <xf numFmtId="164" fontId="3" fillId="11" borderId="12" xfId="1" applyNumberFormat="1" applyFont="1" applyFill="1" applyBorder="1"/>
    <xf numFmtId="164" fontId="4" fillId="12" borderId="10" xfId="1" applyNumberFormat="1" applyFont="1" applyFill="1" applyBorder="1"/>
    <xf numFmtId="164" fontId="4" fillId="12" borderId="11" xfId="1" applyNumberFormat="1" applyFont="1" applyFill="1" applyBorder="1"/>
    <xf numFmtId="164" fontId="3" fillId="11" borderId="13" xfId="1" applyNumberFormat="1" applyFont="1" applyFill="1" applyBorder="1"/>
    <xf numFmtId="164" fontId="3" fillId="11" borderId="14" xfId="1" applyNumberFormat="1" applyFont="1" applyFill="1" applyBorder="1"/>
    <xf numFmtId="164" fontId="3" fillId="11" borderId="15" xfId="1" applyNumberFormat="1" applyFont="1" applyFill="1" applyBorder="1"/>
    <xf numFmtId="164" fontId="4" fillId="12" borderId="13" xfId="1" applyNumberFormat="1" applyFont="1" applyFill="1" applyBorder="1"/>
    <xf numFmtId="164" fontId="4" fillId="12" borderId="14" xfId="1" applyNumberFormat="1" applyFont="1" applyFill="1" applyBorder="1"/>
    <xf numFmtId="164" fontId="3" fillId="11" borderId="16" xfId="1" applyNumberFormat="1" applyFont="1" applyFill="1" applyBorder="1"/>
    <xf numFmtId="164" fontId="3" fillId="11" borderId="17" xfId="1" applyNumberFormat="1" applyFont="1" applyFill="1" applyBorder="1"/>
    <xf numFmtId="164" fontId="3" fillId="11" borderId="18" xfId="1" applyNumberFormat="1" applyFont="1" applyFill="1" applyBorder="1"/>
    <xf numFmtId="164" fontId="4" fillId="12" borderId="16" xfId="1" applyNumberFormat="1" applyFont="1" applyFill="1" applyBorder="1"/>
    <xf numFmtId="164" fontId="4" fillId="12" borderId="17" xfId="1" applyNumberFormat="1" applyFont="1" applyFill="1" applyBorder="1"/>
    <xf numFmtId="164" fontId="0" fillId="0" borderId="0" xfId="1" applyNumberFormat="1" applyFont="1"/>
    <xf numFmtId="165" fontId="4" fillId="12" borderId="11" xfId="1" applyNumberFormat="1" applyFont="1" applyFill="1" applyBorder="1"/>
    <xf numFmtId="165" fontId="4" fillId="12" borderId="14" xfId="1" applyNumberFormat="1" applyFont="1" applyFill="1" applyBorder="1"/>
    <xf numFmtId="165" fontId="4" fillId="12" borderId="17" xfId="1" applyNumberFormat="1" applyFont="1" applyFill="1" applyBorder="1"/>
    <xf numFmtId="0" fontId="2" fillId="10" borderId="0" xfId="1" applyFont="1" applyFill="1" applyAlignment="1">
      <alignment wrapText="1"/>
    </xf>
    <xf numFmtId="0" fontId="0" fillId="0" borderId="10" xfId="1" applyFont="1" applyBorder="1"/>
    <xf numFmtId="0" fontId="0" fillId="0" borderId="13" xfId="1" applyFont="1" applyBorder="1"/>
    <xf numFmtId="0" fontId="0" fillId="0" borderId="16" xfId="1" applyFont="1" applyBorder="1"/>
    <xf numFmtId="0" fontId="2" fillId="3" borderId="10" xfId="1" applyFont="1" applyFill="1" applyBorder="1" applyAlignment="1">
      <alignment vertical="center"/>
    </xf>
    <xf numFmtId="0" fontId="2" fillId="3" borderId="13" xfId="1" applyFont="1" applyFill="1" applyBorder="1" applyAlignment="1">
      <alignment vertical="center"/>
    </xf>
    <xf numFmtId="0" fontId="2" fillId="3" borderId="16" xfId="1" applyFont="1" applyFill="1" applyBorder="1" applyAlignment="1">
      <alignment vertical="center"/>
    </xf>
    <xf numFmtId="164" fontId="0" fillId="0" borderId="11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vertical="center"/>
    </xf>
    <xf numFmtId="164" fontId="0" fillId="0" borderId="14" xfId="1" applyNumberFormat="1" applyFont="1" applyBorder="1" applyAlignment="1">
      <alignment vertical="center"/>
    </xf>
    <xf numFmtId="164" fontId="0" fillId="0" borderId="15" xfId="1" applyNumberFormat="1" applyFont="1" applyBorder="1" applyAlignment="1">
      <alignment vertical="center"/>
    </xf>
    <xf numFmtId="0" fontId="2" fillId="8" borderId="17" xfId="1" applyFont="1" applyFill="1" applyBorder="1" applyAlignment="1">
      <alignment horizontal="center" vertical="center"/>
    </xf>
    <xf numFmtId="0" fontId="2" fillId="8" borderId="18" xfId="1" applyFont="1" applyFill="1" applyBorder="1" applyAlignment="1">
      <alignment horizontal="center" vertical="center"/>
    </xf>
    <xf numFmtId="0" fontId="0" fillId="8" borderId="1" xfId="1" applyFont="1" applyFill="1" applyBorder="1" applyAlignment="1">
      <alignment wrapText="1"/>
    </xf>
    <xf numFmtId="0" fontId="0" fillId="8" borderId="3" xfId="1" applyFont="1" applyFill="1" applyBorder="1" applyAlignment="1">
      <alignment wrapText="1"/>
    </xf>
    <xf numFmtId="0" fontId="0" fillId="8" borderId="7" xfId="1" applyFont="1" applyFill="1" applyBorder="1" applyAlignment="1">
      <alignment wrapText="1"/>
    </xf>
    <xf numFmtId="0" fontId="0" fillId="8" borderId="9" xfId="1" applyFont="1" applyFill="1" applyBorder="1" applyAlignment="1">
      <alignment wrapText="1"/>
    </xf>
    <xf numFmtId="164" fontId="0" fillId="8" borderId="2" xfId="1" applyNumberFormat="1" applyFont="1" applyFill="1" applyBorder="1" applyAlignment="1">
      <alignment wrapText="1"/>
    </xf>
    <xf numFmtId="164" fontId="0" fillId="8" borderId="8" xfId="1" applyNumberFormat="1" applyFont="1" applyFill="1" applyBorder="1" applyAlignment="1">
      <alignment wrapText="1"/>
    </xf>
    <xf numFmtId="0" fontId="2" fillId="8" borderId="8" xfId="1" applyFont="1" applyFill="1" applyBorder="1" applyAlignment="1">
      <alignment horizontal="center" wrapText="1"/>
    </xf>
    <xf numFmtId="0" fontId="2" fillId="10" borderId="16" xfId="1" applyFont="1" applyFill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164" fontId="2" fillId="10" borderId="17" xfId="1" applyNumberFormat="1" applyFont="1" applyFill="1" applyBorder="1"/>
    <xf numFmtId="164" fontId="2" fillId="10" borderId="18" xfId="1" applyNumberFormat="1" applyFont="1" applyFill="1" applyBorder="1"/>
    <xf numFmtId="164" fontId="0" fillId="0" borderId="17" xfId="1" applyNumberFormat="1" applyFont="1" applyBorder="1"/>
    <xf numFmtId="164" fontId="0" fillId="0" borderId="18" xfId="1" applyNumberFormat="1" applyFont="1" applyBorder="1"/>
    <xf numFmtId="0" fontId="2" fillId="10" borderId="0" xfId="1" applyFont="1" applyFill="1" applyAlignment="1">
      <alignment horizontal="left"/>
    </xf>
    <xf numFmtId="0" fontId="6" fillId="2" borderId="0" xfId="1" applyFont="1" applyFill="1" applyAlignment="1">
      <alignment horizontal="center" vertical="center"/>
    </xf>
    <xf numFmtId="0" fontId="2" fillId="10" borderId="0" xfId="1" applyFont="1" applyFill="1" applyAlignment="1">
      <alignment horizontal="left"/>
    </xf>
    <xf numFmtId="0" fontId="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wrapText="1"/>
    </xf>
    <xf numFmtId="0" fontId="0" fillId="9" borderId="0" xfId="1" applyFont="1" applyFill="1" applyAlignment="1">
      <alignment wrapText="1"/>
    </xf>
    <xf numFmtId="0" fontId="5" fillId="6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0" fontId="2" fillId="10" borderId="0" xfId="1" applyFont="1" applyFill="1"/>
    <xf numFmtId="0" fontId="2" fillId="10" borderId="0" xfId="1" applyFont="1" applyFill="1" applyAlignment="1">
      <alignment wrapText="1"/>
    </xf>
  </cellXfs>
  <cellStyles count="2">
    <cellStyle name="Normal" xfId="1" xr:uid="{00000000-0005-0000-0000-000000000000}"/>
    <cellStyle name="Standard" xfId="0" builtinId="0"/>
  </cellStyles>
  <dxfs count="14">
    <dxf>
      <font>
        <b/>
        <color rgb="FF006100"/>
      </font>
      <fill>
        <patternFill patternType="solid">
          <bgColor rgb="FFE2F0D9"/>
        </patternFill>
      </fill>
    </dxf>
    <dxf>
      <font>
        <b/>
        <color rgb="FF9C0006"/>
      </font>
      <fill>
        <patternFill patternType="solid">
          <bgColor rgb="FFFCE4D6"/>
        </patternFill>
      </fill>
    </dxf>
    <dxf>
      <font>
        <b/>
        <color rgb="FF006100"/>
      </font>
      <fill>
        <patternFill patternType="solid">
          <bgColor rgb="FFE2F0D9"/>
        </patternFill>
      </fill>
    </dxf>
    <dxf>
      <font>
        <b/>
        <color rgb="FF9C0006"/>
      </font>
      <fill>
        <patternFill patternType="solid">
          <bgColor rgb="FFFCE4D6"/>
        </patternFill>
      </fill>
    </dxf>
    <dxf>
      <font>
        <b/>
        <color rgb="FF006100"/>
      </font>
      <fill>
        <patternFill patternType="solid">
          <bgColor rgb="FFE2F0D9"/>
        </patternFill>
      </fill>
    </dxf>
    <dxf>
      <font>
        <b/>
        <color rgb="FF9C6500"/>
      </font>
      <fill>
        <patternFill patternType="solid">
          <bgColor rgb="FFFFF2CC"/>
        </patternFill>
      </fill>
    </dxf>
    <dxf>
      <font>
        <b/>
        <color rgb="FF9C0006"/>
      </font>
      <fill>
        <patternFill patternType="solid">
          <bgColor rgb="FFFCE4D6"/>
        </patternFill>
      </fill>
    </dxf>
    <dxf>
      <font>
        <b/>
        <color rgb="FF9C0006"/>
      </font>
      <fill>
        <patternFill patternType="solid">
          <bgColor rgb="FFFCE4D6"/>
        </patternFill>
      </fill>
    </dxf>
    <dxf>
      <font>
        <color rgb="FF006100"/>
      </font>
      <fill>
        <patternFill patternType="solid">
          <bgColor rgb="FFE2F0D9"/>
        </patternFill>
      </fill>
    </dxf>
    <dxf>
      <font>
        <color rgb="FFC00000"/>
      </font>
      <fill>
        <patternFill patternType="solid">
          <bgColor rgb="FFFCE4D6"/>
        </patternFill>
      </fill>
    </dxf>
    <dxf>
      <font>
        <b/>
        <color rgb="FF9C0006"/>
      </font>
      <fill>
        <patternFill patternType="solid">
          <bgColor rgb="FFFCE4D6"/>
        </patternFill>
      </fill>
    </dxf>
    <dxf>
      <font>
        <b/>
        <color rgb="FF006100"/>
      </font>
      <fill>
        <patternFill patternType="solid">
          <bgColor rgb="FFE2F0D9"/>
        </patternFill>
      </fill>
    </dxf>
    <dxf>
      <font>
        <color rgb="FF006100"/>
      </font>
      <fill>
        <patternFill patternType="solid">
          <bgColor rgb="FFE2F0D9"/>
        </patternFill>
      </fill>
    </dxf>
    <dxf>
      <font>
        <color rgb="FF9C0006"/>
      </font>
      <fill>
        <patternFill patternType="solid"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Jahres-Soll</c:v>
          </c:tx>
          <c:invertIfNegative val="1"/>
          <c:cat>
            <c:strRef>
              <c:f>Übersicht!$A$11:$A$16</c:f>
              <c:strCache>
                <c:ptCount val="6"/>
                <c:pt idx="0">
                  <c:v>Einnahme</c:v>
                </c:pt>
                <c:pt idx="1">
                  <c:v>Variable Kosten</c:v>
                </c:pt>
                <c:pt idx="2">
                  <c:v>Personal</c:v>
                </c:pt>
                <c:pt idx="3">
                  <c:v>Fixkosten</c:v>
                </c:pt>
                <c:pt idx="4">
                  <c:v>Investition</c:v>
                </c:pt>
                <c:pt idx="5">
                  <c:v>Finanzierung</c:v>
                </c:pt>
              </c:strCache>
            </c:strRef>
          </c:cat>
          <c:val>
            <c:numRef>
              <c:f>Übersicht!$B$11:$B$16</c:f>
              <c:numCache>
                <c:formatCode>General</c:formatCode>
                <c:ptCount val="6"/>
                <c:pt idx="0">
                  <c:v>1142200</c:v>
                </c:pt>
                <c:pt idx="1">
                  <c:v>130400</c:v>
                </c:pt>
                <c:pt idx="2">
                  <c:v>600200</c:v>
                </c:pt>
                <c:pt idx="3">
                  <c:v>271300</c:v>
                </c:pt>
                <c:pt idx="4">
                  <c:v>25500</c:v>
                </c:pt>
                <c:pt idx="5">
                  <c:v>26400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F-43D7-B747-950AA6ACBCE2}"/>
            </c:ext>
          </c:extLst>
        </c:ser>
        <c:ser>
          <c:idx val="1"/>
          <c:order val="1"/>
          <c:tx>
            <c:v>Ist bis Monat</c:v>
          </c:tx>
          <c:invertIfNegative val="1"/>
          <c:cat>
            <c:strRef>
              <c:f>Übersicht!$A$11:$A$16</c:f>
              <c:strCache>
                <c:ptCount val="6"/>
                <c:pt idx="0">
                  <c:v>Einnahme</c:v>
                </c:pt>
                <c:pt idx="1">
                  <c:v>Variable Kosten</c:v>
                </c:pt>
                <c:pt idx="2">
                  <c:v>Personal</c:v>
                </c:pt>
                <c:pt idx="3">
                  <c:v>Fixkosten</c:v>
                </c:pt>
                <c:pt idx="4">
                  <c:v>Investition</c:v>
                </c:pt>
                <c:pt idx="5">
                  <c:v>Finanzierung</c:v>
                </c:pt>
              </c:strCache>
            </c:strRef>
          </c:cat>
          <c:val>
            <c:numRef>
              <c:f>Übersicht!$C$11:$C$16</c:f>
              <c:numCache>
                <c:formatCode>General</c:formatCode>
                <c:ptCount val="6"/>
                <c:pt idx="0">
                  <c:v>343100</c:v>
                </c:pt>
                <c:pt idx="1">
                  <c:v>42240</c:v>
                </c:pt>
                <c:pt idx="2">
                  <c:v>200800</c:v>
                </c:pt>
                <c:pt idx="3">
                  <c:v>84550</c:v>
                </c:pt>
                <c:pt idx="4">
                  <c:v>10000</c:v>
                </c:pt>
                <c:pt idx="5">
                  <c:v>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F-43D7-B747-950AA6ACBCE2}"/>
            </c:ext>
          </c:extLst>
        </c:ser>
        <c:ser>
          <c:idx val="2"/>
          <c:order val="2"/>
          <c:tx>
            <c:v>Forecast</c:v>
          </c:tx>
          <c:invertIfNegative val="1"/>
          <c:cat>
            <c:strRef>
              <c:f>Übersicht!$A$11:$A$16</c:f>
              <c:strCache>
                <c:ptCount val="6"/>
                <c:pt idx="0">
                  <c:v>Einnahme</c:v>
                </c:pt>
                <c:pt idx="1">
                  <c:v>Variable Kosten</c:v>
                </c:pt>
                <c:pt idx="2">
                  <c:v>Personal</c:v>
                </c:pt>
                <c:pt idx="3">
                  <c:v>Fixkosten</c:v>
                </c:pt>
                <c:pt idx="4">
                  <c:v>Investition</c:v>
                </c:pt>
                <c:pt idx="5">
                  <c:v>Finanzierung</c:v>
                </c:pt>
              </c:strCache>
            </c:strRef>
          </c:cat>
          <c:val>
            <c:numRef>
              <c:f>Übersicht!$D$11:$D$16</c:f>
              <c:numCache>
                <c:formatCode>General</c:formatCode>
                <c:ptCount val="6"/>
                <c:pt idx="0">
                  <c:v>1145000</c:v>
                </c:pt>
                <c:pt idx="1">
                  <c:v>131740</c:v>
                </c:pt>
                <c:pt idx="2">
                  <c:v>601600</c:v>
                </c:pt>
                <c:pt idx="3">
                  <c:v>268250</c:v>
                </c:pt>
                <c:pt idx="4">
                  <c:v>25000</c:v>
                </c:pt>
                <c:pt idx="5">
                  <c:v>26400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EF-43D7-B747-950AA6ACB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Endbestand</c:v>
          </c:tx>
          <c:cat>
            <c:strRef>
              <c:f>Übersicht!$H$10:$S$10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Übersicht!$H$11:$S$11</c:f>
              <c:numCache>
                <c:formatCode>General</c:formatCode>
                <c:ptCount val="12"/>
                <c:pt idx="0">
                  <c:v>158913.79999999999</c:v>
                </c:pt>
                <c:pt idx="1">
                  <c:v>160932.59999999998</c:v>
                </c:pt>
                <c:pt idx="2">
                  <c:v>155022.79999999999</c:v>
                </c:pt>
                <c:pt idx="3">
                  <c:v>156899.69999999998</c:v>
                </c:pt>
                <c:pt idx="4">
                  <c:v>162339.99999999997</c:v>
                </c:pt>
                <c:pt idx="5">
                  <c:v>170766.99999999997</c:v>
                </c:pt>
                <c:pt idx="6">
                  <c:v>178983.49999999997</c:v>
                </c:pt>
                <c:pt idx="7">
                  <c:v>187971.49999999997</c:v>
                </c:pt>
                <c:pt idx="8">
                  <c:v>199060.99999999997</c:v>
                </c:pt>
                <c:pt idx="9">
                  <c:v>216603.49999999997</c:v>
                </c:pt>
                <c:pt idx="10">
                  <c:v>228828.99999999997</c:v>
                </c:pt>
                <c:pt idx="11">
                  <c:v>256877.49999999997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F-4219-97C9-FD852F452105}"/>
            </c:ext>
          </c:extLst>
        </c:ser>
        <c:ser>
          <c:idx val="1"/>
          <c:order val="1"/>
          <c:tx>
            <c:v>Mindestreserve</c:v>
          </c:tx>
          <c:cat>
            <c:strRef>
              <c:f>Übersicht!$H$10:$S$10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Übersicht!$H$12:$S$12</c:f>
              <c:numCache>
                <c:formatCode>General</c:formatCode>
                <c:ptCount val="12"/>
                <c:pt idx="0">
                  <c:v>25000</c:v>
                </c:pt>
                <c:pt idx="1">
                  <c:v>25000</c:v>
                </c:pt>
                <c:pt idx="2">
                  <c:v>25000</c:v>
                </c:pt>
                <c:pt idx="3">
                  <c:v>25000</c:v>
                </c:pt>
                <c:pt idx="4">
                  <c:v>25000</c:v>
                </c:pt>
                <c:pt idx="5">
                  <c:v>25000</c:v>
                </c:pt>
                <c:pt idx="6">
                  <c:v>25000</c:v>
                </c:pt>
                <c:pt idx="7">
                  <c:v>25000</c:v>
                </c:pt>
                <c:pt idx="8">
                  <c:v>25000</c:v>
                </c:pt>
                <c:pt idx="9">
                  <c:v>25000</c:v>
                </c:pt>
                <c:pt idx="10">
                  <c:v>25000</c:v>
                </c:pt>
                <c:pt idx="11">
                  <c:v>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F-4219-97C9-FD852F452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7</xdr:col>
      <xdr:colOff>0</xdr:colOff>
      <xdr:row>38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14</xdr:col>
      <xdr:colOff>0</xdr:colOff>
      <xdr:row>38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workbookViewId="0">
      <selection activeCell="F14" sqref="F14"/>
    </sheetView>
  </sheetViews>
  <sheetFormatPr baseColWidth="10" defaultColWidth="9" defaultRowHeight="15" x14ac:dyDescent="0.25"/>
  <cols>
    <col min="1" max="1" width="20" customWidth="1"/>
    <col min="2" max="2" width="16" customWidth="1"/>
    <col min="3" max="3" width="18" customWidth="1"/>
    <col min="4" max="4" width="13" customWidth="1"/>
    <col min="5" max="5" width="17" customWidth="1"/>
    <col min="6" max="6" width="20" customWidth="1"/>
    <col min="7" max="7" width="28" customWidth="1"/>
    <col min="8" max="8" width="13" customWidth="1"/>
    <col min="9" max="10" width="18" customWidth="1"/>
    <col min="11" max="11" width="28" customWidth="1"/>
    <col min="12" max="19" width="6.875" customWidth="1"/>
  </cols>
  <sheetData>
    <row r="1" spans="1:19" ht="33.950000000000003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3" spans="1:19" x14ac:dyDescent="0.25">
      <c r="A3" s="30" t="s">
        <v>1</v>
      </c>
      <c r="B3" s="97" t="str">
        <f>Annahmen!$B$3</f>
        <v>Musterfirma Nordlicht GmbH</v>
      </c>
      <c r="C3" s="97"/>
      <c r="D3" s="30" t="s">
        <v>2</v>
      </c>
      <c r="E3" s="95">
        <f>Annahmen!$B$4</f>
        <v>2026</v>
      </c>
      <c r="F3" s="30" t="s">
        <v>3</v>
      </c>
      <c r="G3" s="95" t="str">
        <f>Annahmen!$B$8</f>
        <v>Basis</v>
      </c>
      <c r="H3" s="30" t="s">
        <v>4</v>
      </c>
      <c r="I3" s="95">
        <f>Annahmen!$B$9</f>
        <v>4</v>
      </c>
      <c r="J3" s="30" t="s">
        <v>5</v>
      </c>
      <c r="K3" s="95" t="str">
        <f>IF(MIN(Liquidität!B18:M18)&gt;=Annahmen!$B$16,"OK","Liquiditätslücke")</f>
        <v>OK</v>
      </c>
      <c r="L3" s="30"/>
      <c r="M3" s="30"/>
      <c r="N3" s="30"/>
    </row>
    <row r="5" spans="1:19" x14ac:dyDescent="0.25">
      <c r="A5" s="3" t="s">
        <v>6</v>
      </c>
      <c r="B5" s="3" t="s">
        <v>7</v>
      </c>
      <c r="C5" s="3" t="s">
        <v>8</v>
      </c>
      <c r="E5" s="3" t="s">
        <v>6</v>
      </c>
      <c r="F5" s="3" t="s">
        <v>7</v>
      </c>
      <c r="G5" s="3" t="s">
        <v>8</v>
      </c>
      <c r="I5" s="3" t="s">
        <v>6</v>
      </c>
      <c r="J5" s="3" t="s">
        <v>7</v>
      </c>
      <c r="K5" s="3" t="s">
        <v>8</v>
      </c>
    </row>
    <row r="6" spans="1:19" ht="45" x14ac:dyDescent="0.25">
      <c r="A6" s="79" t="s">
        <v>9</v>
      </c>
      <c r="B6" s="83">
        <f>Budgetplanung!D36</f>
        <v>1145000</v>
      </c>
      <c r="C6" s="80" t="s">
        <v>10</v>
      </c>
      <c r="E6" s="79" t="s">
        <v>11</v>
      </c>
      <c r="F6" s="83">
        <f>Budgetplanung!D42</f>
        <v>118410</v>
      </c>
      <c r="G6" s="80" t="s">
        <v>12</v>
      </c>
      <c r="I6" s="79" t="s">
        <v>13</v>
      </c>
      <c r="J6" s="83">
        <f>MIN(Liquidität!B18:M18)</f>
        <v>155022.79999999999</v>
      </c>
      <c r="K6" s="80" t="s">
        <v>14</v>
      </c>
    </row>
    <row r="7" spans="1:19" ht="45" x14ac:dyDescent="0.25">
      <c r="A7" s="81" t="s">
        <v>15</v>
      </c>
      <c r="B7" s="84">
        <f>SUM(Budgetplanung!D37:D41)</f>
        <v>1052990</v>
      </c>
      <c r="C7" s="82" t="s">
        <v>16</v>
      </c>
      <c r="E7" s="81" t="s">
        <v>17</v>
      </c>
      <c r="F7" s="84">
        <f>Liquidität!N17</f>
        <v>106877.5</v>
      </c>
      <c r="G7" s="82" t="s">
        <v>18</v>
      </c>
      <c r="I7" s="81" t="s">
        <v>19</v>
      </c>
      <c r="J7" s="85" t="str">
        <f>IF(AND(F6&gt;=0,J6&gt;=Annahmen!$B$16),"Im Plan",IF(J6&lt;Annahmen!$B$16,"Liquidität prüfen","Ergebnis prüfen"))</f>
        <v>Im Plan</v>
      </c>
      <c r="K7" s="82" t="s">
        <v>20</v>
      </c>
    </row>
    <row r="10" spans="1:19" x14ac:dyDescent="0.25">
      <c r="A10" s="3" t="s">
        <v>21</v>
      </c>
      <c r="B10" s="3" t="s">
        <v>22</v>
      </c>
      <c r="C10" s="3" t="s">
        <v>4</v>
      </c>
      <c r="D10" s="3" t="s">
        <v>23</v>
      </c>
      <c r="E10" s="3" t="s">
        <v>24</v>
      </c>
      <c r="G10" s="3" t="s">
        <v>25</v>
      </c>
      <c r="H10" s="3" t="s">
        <v>26</v>
      </c>
      <c r="I10" s="3" t="s">
        <v>27</v>
      </c>
      <c r="J10" s="3" t="s">
        <v>28</v>
      </c>
      <c r="K10" s="3" t="s">
        <v>29</v>
      </c>
      <c r="L10" s="3" t="s">
        <v>30</v>
      </c>
      <c r="M10" s="3" t="s">
        <v>31</v>
      </c>
      <c r="N10" s="3" t="s">
        <v>32</v>
      </c>
      <c r="O10" s="3" t="s">
        <v>33</v>
      </c>
      <c r="P10" s="3" t="s">
        <v>34</v>
      </c>
      <c r="Q10" s="3" t="s">
        <v>35</v>
      </c>
      <c r="R10" s="3" t="s">
        <v>36</v>
      </c>
      <c r="S10" s="3" t="s">
        <v>37</v>
      </c>
    </row>
    <row r="11" spans="1:19" x14ac:dyDescent="0.25">
      <c r="A11" s="67" t="str">
        <f>Budgetplanung!A36</f>
        <v>Einnahme</v>
      </c>
      <c r="B11" s="87">
        <f>Budgetplanung!B36</f>
        <v>1142200</v>
      </c>
      <c r="C11" s="87">
        <f>Budgetplanung!C36</f>
        <v>343100</v>
      </c>
      <c r="D11" s="87">
        <f>Budgetplanung!D36</f>
        <v>1145000</v>
      </c>
      <c r="E11" s="88">
        <f>Budgetplanung!E36</f>
        <v>2800</v>
      </c>
      <c r="G11" s="67" t="s">
        <v>38</v>
      </c>
      <c r="H11" s="87">
        <f>Liquidität!B18</f>
        <v>158913.79999999999</v>
      </c>
      <c r="I11" s="87">
        <f>Liquidität!C18</f>
        <v>160932.59999999998</v>
      </c>
      <c r="J11" s="87">
        <f>Liquidität!D18</f>
        <v>155022.79999999999</v>
      </c>
      <c r="K11" s="87">
        <f>Liquidität!E18</f>
        <v>156899.69999999998</v>
      </c>
      <c r="L11" s="87">
        <f>Liquidität!F18</f>
        <v>162339.99999999997</v>
      </c>
      <c r="M11" s="87">
        <f>Liquidität!G18</f>
        <v>170766.99999999997</v>
      </c>
      <c r="N11" s="87">
        <f>Liquidität!H18</f>
        <v>178983.49999999997</v>
      </c>
      <c r="O11" s="87">
        <f>Liquidität!I18</f>
        <v>187971.49999999997</v>
      </c>
      <c r="P11" s="87">
        <f>Liquidität!J18</f>
        <v>199060.99999999997</v>
      </c>
      <c r="Q11" s="87">
        <f>Liquidität!K18</f>
        <v>216603.49999999997</v>
      </c>
      <c r="R11" s="87">
        <f>Liquidität!L18</f>
        <v>228828.99999999997</v>
      </c>
      <c r="S11" s="88">
        <f>Liquidität!M18</f>
        <v>256877.49999999997</v>
      </c>
    </row>
    <row r="12" spans="1:19" x14ac:dyDescent="0.25">
      <c r="A12" s="68" t="str">
        <f>Budgetplanung!A37</f>
        <v>Variable Kosten</v>
      </c>
      <c r="B12" s="89">
        <f>Budgetplanung!B37</f>
        <v>130400</v>
      </c>
      <c r="C12" s="89">
        <f>Budgetplanung!C37</f>
        <v>42240</v>
      </c>
      <c r="D12" s="89">
        <f>Budgetplanung!D37</f>
        <v>131740</v>
      </c>
      <c r="E12" s="90">
        <f>Budgetplanung!E37</f>
        <v>-1340</v>
      </c>
      <c r="G12" s="69" t="s">
        <v>39</v>
      </c>
      <c r="H12" s="93">
        <f>Annahmen!$B$16</f>
        <v>25000</v>
      </c>
      <c r="I12" s="93">
        <f>Annahmen!$B$16</f>
        <v>25000</v>
      </c>
      <c r="J12" s="93">
        <f>Annahmen!$B$16</f>
        <v>25000</v>
      </c>
      <c r="K12" s="93">
        <f>Annahmen!$B$16</f>
        <v>25000</v>
      </c>
      <c r="L12" s="93">
        <f>Annahmen!$B$16</f>
        <v>25000</v>
      </c>
      <c r="M12" s="93">
        <f>Annahmen!$B$16</f>
        <v>25000</v>
      </c>
      <c r="N12" s="93">
        <f>Annahmen!$B$16</f>
        <v>25000</v>
      </c>
      <c r="O12" s="93">
        <f>Annahmen!$B$16</f>
        <v>25000</v>
      </c>
      <c r="P12" s="93">
        <f>Annahmen!$B$16</f>
        <v>25000</v>
      </c>
      <c r="Q12" s="93">
        <f>Annahmen!$B$16</f>
        <v>25000</v>
      </c>
      <c r="R12" s="93">
        <f>Annahmen!$B$16</f>
        <v>25000</v>
      </c>
      <c r="S12" s="94">
        <f>Annahmen!$B$16</f>
        <v>25000</v>
      </c>
    </row>
    <row r="13" spans="1:19" x14ac:dyDescent="0.25">
      <c r="A13" s="68" t="str">
        <f>Budgetplanung!A38</f>
        <v>Personal</v>
      </c>
      <c r="B13" s="89">
        <f>Budgetplanung!B38</f>
        <v>600200</v>
      </c>
      <c r="C13" s="89">
        <f>Budgetplanung!C38</f>
        <v>200800</v>
      </c>
      <c r="D13" s="89">
        <f>Budgetplanung!D38</f>
        <v>601600</v>
      </c>
      <c r="E13" s="90">
        <f>Budgetplanung!E38</f>
        <v>-1400</v>
      </c>
    </row>
    <row r="14" spans="1:19" x14ac:dyDescent="0.25">
      <c r="A14" s="68" t="str">
        <f>Budgetplanung!A39</f>
        <v>Fixkosten</v>
      </c>
      <c r="B14" s="89">
        <f>Budgetplanung!B39</f>
        <v>271300</v>
      </c>
      <c r="C14" s="89">
        <f>Budgetplanung!C39</f>
        <v>84550</v>
      </c>
      <c r="D14" s="89">
        <f>Budgetplanung!D39</f>
        <v>268250</v>
      </c>
      <c r="E14" s="90">
        <f>Budgetplanung!E39</f>
        <v>3050</v>
      </c>
    </row>
    <row r="15" spans="1:19" x14ac:dyDescent="0.25">
      <c r="A15" s="68" t="str">
        <f>Budgetplanung!A40</f>
        <v>Investition</v>
      </c>
      <c r="B15" s="89">
        <f>Budgetplanung!B40</f>
        <v>25500</v>
      </c>
      <c r="C15" s="89">
        <f>Budgetplanung!C40</f>
        <v>10000</v>
      </c>
      <c r="D15" s="89">
        <f>Budgetplanung!D40</f>
        <v>25000</v>
      </c>
      <c r="E15" s="90">
        <f>Budgetplanung!E40</f>
        <v>500</v>
      </c>
      <c r="G15" s="3" t="s">
        <v>25</v>
      </c>
      <c r="H15" s="3" t="s">
        <v>26</v>
      </c>
      <c r="I15" s="3" t="s">
        <v>27</v>
      </c>
      <c r="J15" s="3" t="s">
        <v>28</v>
      </c>
      <c r="K15" s="3" t="s">
        <v>29</v>
      </c>
      <c r="L15" s="3" t="s">
        <v>30</v>
      </c>
      <c r="M15" s="3" t="s">
        <v>31</v>
      </c>
      <c r="N15" s="3" t="s">
        <v>32</v>
      </c>
      <c r="O15" s="3" t="s">
        <v>33</v>
      </c>
      <c r="P15" s="3" t="s">
        <v>34</v>
      </c>
      <c r="Q15" s="3" t="s">
        <v>35</v>
      </c>
      <c r="R15" s="3" t="s">
        <v>36</v>
      </c>
      <c r="S15" s="3" t="s">
        <v>37</v>
      </c>
    </row>
    <row r="16" spans="1:19" x14ac:dyDescent="0.25">
      <c r="A16" s="68" t="str">
        <f>Budgetplanung!A41</f>
        <v>Finanzierung</v>
      </c>
      <c r="B16" s="89">
        <f>Budgetplanung!B41</f>
        <v>26400</v>
      </c>
      <c r="C16" s="89">
        <f>Budgetplanung!C41</f>
        <v>8800</v>
      </c>
      <c r="D16" s="89">
        <f>Budgetplanung!D41</f>
        <v>26400</v>
      </c>
      <c r="E16" s="90">
        <f>Budgetplanung!E41</f>
        <v>0</v>
      </c>
      <c r="G16" s="62" t="s">
        <v>40</v>
      </c>
      <c r="H16" s="62">
        <f>Liquidität!B17</f>
        <v>8913.7999999999993</v>
      </c>
      <c r="I16" s="62">
        <f>Liquidität!C17</f>
        <v>2018.8000000000011</v>
      </c>
      <c r="J16" s="62">
        <f>Liquidität!D17</f>
        <v>-5909.8000000000011</v>
      </c>
      <c r="K16" s="62">
        <f>Liquidität!E17</f>
        <v>1876.9000000000015</v>
      </c>
      <c r="L16" s="62">
        <f>Liquidität!F17</f>
        <v>5440.2999999999993</v>
      </c>
      <c r="M16" s="62">
        <f>Liquidität!G17</f>
        <v>8427</v>
      </c>
      <c r="N16" s="62">
        <f>Liquidität!H17</f>
        <v>8216.5</v>
      </c>
      <c r="O16" s="62">
        <f>Liquidität!I17</f>
        <v>8988</v>
      </c>
      <c r="P16" s="62">
        <f>Liquidität!J17</f>
        <v>11089.5</v>
      </c>
      <c r="Q16" s="62">
        <f>Liquidität!K17</f>
        <v>17542.5</v>
      </c>
      <c r="R16" s="62">
        <f>Liquidität!L17</f>
        <v>12225.5</v>
      </c>
      <c r="S16" s="62">
        <f>Liquidität!M17</f>
        <v>28048.5</v>
      </c>
    </row>
    <row r="17" spans="1:5" x14ac:dyDescent="0.25">
      <c r="A17" s="86" t="s">
        <v>41</v>
      </c>
      <c r="B17" s="91">
        <f>Budgetplanung!B42</f>
        <v>114800</v>
      </c>
      <c r="C17" s="91">
        <f>Budgetplanung!C42</f>
        <v>5510</v>
      </c>
      <c r="D17" s="91">
        <f>Budgetplanung!D42</f>
        <v>118410</v>
      </c>
      <c r="E17" s="92">
        <f>Budgetplanung!E42</f>
        <v>3610</v>
      </c>
    </row>
  </sheetData>
  <mergeCells count="2">
    <mergeCell ref="A1:N1"/>
    <mergeCell ref="B3:C3"/>
  </mergeCells>
  <conditionalFormatting sqref="E11:E17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J7">
    <cfRule type="expression" dxfId="11" priority="1">
      <formula>J7="Im Plan"</formula>
    </cfRule>
    <cfRule type="expression" dxfId="10" priority="2">
      <formula>J7&lt;&gt;"Im Plan"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workbookViewId="0"/>
  </sheetViews>
  <sheetFormatPr baseColWidth="10" defaultColWidth="9" defaultRowHeight="15" x14ac:dyDescent="0.25"/>
  <cols>
    <col min="1" max="1" width="28" customWidth="1"/>
    <col min="2" max="2" width="24" customWidth="1"/>
    <col min="3" max="3" width="12.375" customWidth="1"/>
    <col min="4" max="6" width="18" customWidth="1"/>
    <col min="7" max="10" width="24" customWidth="1"/>
  </cols>
  <sheetData>
    <row r="1" spans="1:10" ht="30" customHeight="1" x14ac:dyDescent="0.25">
      <c r="A1" s="98" t="s">
        <v>42</v>
      </c>
      <c r="B1" s="98"/>
      <c r="C1" s="98"/>
      <c r="D1" s="98"/>
      <c r="E1" s="98"/>
      <c r="F1" s="98"/>
      <c r="G1" s="98"/>
      <c r="H1" s="98"/>
    </row>
    <row r="3" spans="1:10" x14ac:dyDescent="0.25">
      <c r="A3" s="1" t="s">
        <v>1</v>
      </c>
      <c r="B3" s="2" t="s">
        <v>43</v>
      </c>
      <c r="D3" s="3" t="s">
        <v>3</v>
      </c>
      <c r="E3" s="3" t="s">
        <v>44</v>
      </c>
      <c r="F3" s="3" t="s">
        <v>45</v>
      </c>
      <c r="G3" s="3" t="s">
        <v>46</v>
      </c>
      <c r="H3" s="3" t="s">
        <v>47</v>
      </c>
      <c r="I3" s="3" t="s">
        <v>48</v>
      </c>
      <c r="J3" s="3" t="s">
        <v>49</v>
      </c>
    </row>
    <row r="4" spans="1:10" x14ac:dyDescent="0.25">
      <c r="A4" s="1" t="s">
        <v>2</v>
      </c>
      <c r="B4" s="2">
        <v>2026</v>
      </c>
      <c r="D4" s="4" t="s">
        <v>50</v>
      </c>
      <c r="E4" s="15">
        <v>0.88</v>
      </c>
      <c r="F4" s="15">
        <v>1.08</v>
      </c>
      <c r="G4" s="15">
        <v>1.06</v>
      </c>
      <c r="H4" s="18">
        <v>45</v>
      </c>
      <c r="I4" s="18">
        <v>20</v>
      </c>
      <c r="J4" s="5" t="s">
        <v>51</v>
      </c>
    </row>
    <row r="5" spans="1:10" x14ac:dyDescent="0.25">
      <c r="A5" s="1" t="s">
        <v>52</v>
      </c>
      <c r="B5" s="10">
        <v>150000</v>
      </c>
      <c r="D5" s="6" t="s">
        <v>53</v>
      </c>
      <c r="E5" s="16">
        <v>1</v>
      </c>
      <c r="F5" s="16">
        <v>1</v>
      </c>
      <c r="G5" s="16">
        <v>1</v>
      </c>
      <c r="H5" s="19">
        <v>30</v>
      </c>
      <c r="I5" s="19">
        <v>30</v>
      </c>
      <c r="J5" s="7" t="s">
        <v>54</v>
      </c>
    </row>
    <row r="6" spans="1:10" x14ac:dyDescent="0.25">
      <c r="A6" s="1" t="s">
        <v>55</v>
      </c>
      <c r="B6" s="11">
        <v>0.19</v>
      </c>
      <c r="D6" s="8" t="s">
        <v>56</v>
      </c>
      <c r="E6" s="17">
        <v>1.1200000000000001</v>
      </c>
      <c r="F6" s="17">
        <v>1.04</v>
      </c>
      <c r="G6" s="17">
        <v>1.02</v>
      </c>
      <c r="H6" s="20">
        <v>25</v>
      </c>
      <c r="I6" s="20">
        <v>35</v>
      </c>
      <c r="J6" s="9" t="s">
        <v>57</v>
      </c>
    </row>
    <row r="7" spans="1:10" x14ac:dyDescent="0.25">
      <c r="A7" s="1" t="s">
        <v>58</v>
      </c>
      <c r="B7" s="11">
        <v>0.22</v>
      </c>
    </row>
    <row r="8" spans="1:10" x14ac:dyDescent="0.25">
      <c r="A8" s="1" t="s">
        <v>3</v>
      </c>
      <c r="B8" s="2" t="s">
        <v>53</v>
      </c>
    </row>
    <row r="9" spans="1:10" x14ac:dyDescent="0.25">
      <c r="A9" s="1" t="s">
        <v>59</v>
      </c>
      <c r="B9" s="2">
        <v>4</v>
      </c>
    </row>
    <row r="10" spans="1:10" x14ac:dyDescent="0.25">
      <c r="A10" s="1"/>
      <c r="B10" s="2"/>
    </row>
    <row r="11" spans="1:10" x14ac:dyDescent="0.25">
      <c r="A11" s="1" t="s">
        <v>44</v>
      </c>
      <c r="B11" s="12">
        <f>VLOOKUP($B$8,$D$4:$J$6,2,FALSE)</f>
        <v>1</v>
      </c>
    </row>
    <row r="12" spans="1:10" x14ac:dyDescent="0.25">
      <c r="A12" s="1" t="s">
        <v>45</v>
      </c>
      <c r="B12" s="12">
        <f>VLOOKUP($B$8,$D$4:$J$6,3,FALSE)</f>
        <v>1</v>
      </c>
    </row>
    <row r="13" spans="1:10" x14ac:dyDescent="0.25">
      <c r="A13" s="1" t="s">
        <v>46</v>
      </c>
      <c r="B13" s="12">
        <f>VLOOKUP($B$8,$D$4:$J$6,4,FALSE)</f>
        <v>1</v>
      </c>
    </row>
    <row r="14" spans="1:10" x14ac:dyDescent="0.25">
      <c r="A14" s="1" t="s">
        <v>60</v>
      </c>
      <c r="B14" s="13">
        <f>VLOOKUP($B$8,$D$4:$J$6,5,FALSE)</f>
        <v>30</v>
      </c>
    </row>
    <row r="15" spans="1:10" x14ac:dyDescent="0.25">
      <c r="A15" s="1" t="s">
        <v>61</v>
      </c>
      <c r="B15" s="13">
        <f>VLOOKUP($B$8,$D$4:$J$6,6,FALSE)</f>
        <v>30</v>
      </c>
    </row>
    <row r="16" spans="1:10" x14ac:dyDescent="0.25">
      <c r="A16" s="1" t="s">
        <v>62</v>
      </c>
      <c r="B16" s="14">
        <v>25000</v>
      </c>
    </row>
    <row r="19" spans="1:10" x14ac:dyDescent="0.25">
      <c r="A19" s="3" t="s">
        <v>63</v>
      </c>
      <c r="B19" s="3" t="s">
        <v>64</v>
      </c>
      <c r="C19" s="3" t="s">
        <v>65</v>
      </c>
      <c r="D19" s="3" t="s">
        <v>66</v>
      </c>
      <c r="E19" s="3" t="s">
        <v>67</v>
      </c>
      <c r="G19" s="99" t="s">
        <v>68</v>
      </c>
      <c r="H19" s="100"/>
      <c r="I19" s="100"/>
      <c r="J19" s="100"/>
    </row>
    <row r="20" spans="1:10" x14ac:dyDescent="0.25">
      <c r="A20" s="21" t="s">
        <v>69</v>
      </c>
      <c r="B20" s="22" t="s">
        <v>70</v>
      </c>
      <c r="C20" s="22" t="s">
        <v>71</v>
      </c>
      <c r="D20" s="22" t="s">
        <v>72</v>
      </c>
      <c r="E20" s="23" t="s">
        <v>26</v>
      </c>
      <c r="G20" s="100" t="s">
        <v>73</v>
      </c>
      <c r="H20" s="100"/>
      <c r="I20" s="100"/>
      <c r="J20" s="100"/>
    </row>
    <row r="21" spans="1:10" x14ac:dyDescent="0.25">
      <c r="A21" s="24" t="s">
        <v>74</v>
      </c>
      <c r="B21" s="25" t="s">
        <v>75</v>
      </c>
      <c r="C21" s="25" t="s">
        <v>76</v>
      </c>
      <c r="D21" s="25" t="s">
        <v>77</v>
      </c>
      <c r="E21" s="26" t="s">
        <v>27</v>
      </c>
      <c r="G21" s="100" t="s">
        <v>78</v>
      </c>
      <c r="H21" s="100"/>
      <c r="I21" s="100"/>
      <c r="J21" s="100"/>
    </row>
    <row r="22" spans="1:10" x14ac:dyDescent="0.25">
      <c r="A22" s="24" t="s">
        <v>79</v>
      </c>
      <c r="B22" s="25" t="s">
        <v>79</v>
      </c>
      <c r="C22" s="25" t="s">
        <v>80</v>
      </c>
      <c r="D22" s="25" t="s">
        <v>81</v>
      </c>
      <c r="E22" s="26" t="s">
        <v>28</v>
      </c>
      <c r="G22" s="100" t="s">
        <v>82</v>
      </c>
      <c r="H22" s="100"/>
      <c r="I22" s="100"/>
      <c r="J22" s="100"/>
    </row>
    <row r="23" spans="1:10" x14ac:dyDescent="0.25">
      <c r="A23" s="24" t="s">
        <v>83</v>
      </c>
      <c r="B23" s="25" t="s">
        <v>84</v>
      </c>
      <c r="C23" s="25" t="s">
        <v>84</v>
      </c>
      <c r="D23" s="25" t="s">
        <v>85</v>
      </c>
      <c r="E23" s="26" t="s">
        <v>29</v>
      </c>
      <c r="G23" s="100" t="s">
        <v>86</v>
      </c>
      <c r="H23" s="100"/>
      <c r="I23" s="100"/>
      <c r="J23" s="100"/>
    </row>
    <row r="24" spans="1:10" x14ac:dyDescent="0.25">
      <c r="A24" s="24" t="s">
        <v>87</v>
      </c>
      <c r="B24" s="25" t="s">
        <v>88</v>
      </c>
      <c r="C24" s="25" t="s">
        <v>89</v>
      </c>
      <c r="D24" s="25" t="s">
        <v>90</v>
      </c>
      <c r="E24" s="26" t="s">
        <v>30</v>
      </c>
    </row>
    <row r="25" spans="1:10" x14ac:dyDescent="0.25">
      <c r="A25" s="24" t="s">
        <v>91</v>
      </c>
      <c r="B25" s="25" t="s">
        <v>92</v>
      </c>
      <c r="C25" s="25" t="s">
        <v>92</v>
      </c>
      <c r="D25" s="25" t="s">
        <v>93</v>
      </c>
      <c r="E25" s="26" t="s">
        <v>31</v>
      </c>
    </row>
    <row r="26" spans="1:10" x14ac:dyDescent="0.25">
      <c r="A26" s="24" t="s">
        <v>94</v>
      </c>
      <c r="B26" s="25" t="s">
        <v>95</v>
      </c>
      <c r="C26" s="25"/>
      <c r="D26" s="25"/>
      <c r="E26" s="26" t="s">
        <v>32</v>
      </c>
    </row>
    <row r="27" spans="1:10" x14ac:dyDescent="0.25">
      <c r="A27" s="24"/>
      <c r="B27" s="25"/>
      <c r="C27" s="25"/>
      <c r="D27" s="25"/>
      <c r="E27" s="26" t="s">
        <v>33</v>
      </c>
    </row>
    <row r="28" spans="1:10" x14ac:dyDescent="0.25">
      <c r="A28" s="24"/>
      <c r="B28" s="25"/>
      <c r="C28" s="25"/>
      <c r="D28" s="25"/>
      <c r="E28" s="26" t="s">
        <v>34</v>
      </c>
    </row>
    <row r="29" spans="1:10" x14ac:dyDescent="0.25">
      <c r="A29" s="24"/>
      <c r="B29" s="25"/>
      <c r="C29" s="25"/>
      <c r="D29" s="25"/>
      <c r="E29" s="26" t="s">
        <v>35</v>
      </c>
    </row>
    <row r="30" spans="1:10" x14ac:dyDescent="0.25">
      <c r="A30" s="24"/>
      <c r="B30" s="25"/>
      <c r="C30" s="25"/>
      <c r="D30" s="25"/>
      <c r="E30" s="26" t="s">
        <v>36</v>
      </c>
    </row>
    <row r="31" spans="1:10" x14ac:dyDescent="0.25">
      <c r="A31" s="27"/>
      <c r="B31" s="28"/>
      <c r="C31" s="28"/>
      <c r="D31" s="28"/>
      <c r="E31" s="29" t="s">
        <v>37</v>
      </c>
    </row>
  </sheetData>
  <mergeCells count="6">
    <mergeCell ref="G23:J23"/>
    <mergeCell ref="A1:H1"/>
    <mergeCell ref="G19:J19"/>
    <mergeCell ref="G20:J20"/>
    <mergeCell ref="G21:J21"/>
    <mergeCell ref="G22:J22"/>
  </mergeCells>
  <dataValidations count="2">
    <dataValidation type="list" sqref="B8" xr:uid="{00000000-0002-0000-0100-000000000000}">
      <formula1>$D$4:$D$6</formula1>
    </dataValidation>
    <dataValidation type="list" sqref="B9:B10" xr:uid="{00000000-0002-0000-0100-000001000000}">
      <formula1>"0,1,2,3,4,5,6,7,8,9,10,11,12"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42"/>
  <sheetViews>
    <sheetView workbookViewId="0"/>
  </sheetViews>
  <sheetFormatPr baseColWidth="10" defaultColWidth="9" defaultRowHeight="15" x14ac:dyDescent="0.25"/>
  <cols>
    <col min="1" max="1" width="10" customWidth="1"/>
    <col min="2" max="4" width="18" customWidth="1"/>
    <col min="5" max="5" width="30" customWidth="1"/>
    <col min="6" max="6" width="18" customWidth="1"/>
    <col min="7" max="7" width="32" customWidth="1"/>
    <col min="8" max="31" width="12" customWidth="1"/>
    <col min="32" max="37" width="15" customWidth="1"/>
  </cols>
  <sheetData>
    <row r="1" spans="1:37" ht="30" customHeight="1" x14ac:dyDescent="0.25">
      <c r="A1" s="98" t="s">
        <v>96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</row>
    <row r="3" spans="1:37" x14ac:dyDescent="0.25">
      <c r="A3" s="30" t="s">
        <v>1</v>
      </c>
      <c r="B3" s="104" t="str">
        <f>Annahmen!$B$3</f>
        <v>Musterfirma Nordlicht GmbH</v>
      </c>
      <c r="C3" s="104"/>
      <c r="D3" s="30" t="s">
        <v>2</v>
      </c>
      <c r="E3" s="30">
        <f>Annahmen!$B$4</f>
        <v>2026</v>
      </c>
      <c r="F3" s="30" t="s">
        <v>3</v>
      </c>
      <c r="G3" s="30" t="str">
        <f>Annahmen!$B$8</f>
        <v>Basis</v>
      </c>
      <c r="H3" s="30" t="s">
        <v>4</v>
      </c>
      <c r="I3" s="30">
        <f>Annahmen!$B$9</f>
        <v>4</v>
      </c>
      <c r="J3" s="104" t="s">
        <v>97</v>
      </c>
      <c r="K3" s="104"/>
    </row>
    <row r="5" spans="1:37" x14ac:dyDescent="0.25">
      <c r="A5" s="31"/>
      <c r="B5" s="31"/>
      <c r="C5" s="31"/>
      <c r="D5" s="31"/>
      <c r="E5" s="31"/>
      <c r="F5" s="31"/>
      <c r="G5" s="31"/>
      <c r="H5" s="101" t="s">
        <v>26</v>
      </c>
      <c r="I5" s="101">
        <v>1</v>
      </c>
      <c r="J5" s="101" t="s">
        <v>27</v>
      </c>
      <c r="K5" s="101">
        <v>2</v>
      </c>
      <c r="L5" s="101" t="s">
        <v>28</v>
      </c>
      <c r="M5" s="101">
        <v>3</v>
      </c>
      <c r="N5" s="101" t="s">
        <v>29</v>
      </c>
      <c r="O5" s="101">
        <v>4</v>
      </c>
      <c r="P5" s="101" t="s">
        <v>30</v>
      </c>
      <c r="Q5" s="101">
        <v>5</v>
      </c>
      <c r="R5" s="101" t="s">
        <v>31</v>
      </c>
      <c r="S5" s="101">
        <v>6</v>
      </c>
      <c r="T5" s="101" t="s">
        <v>32</v>
      </c>
      <c r="U5" s="101">
        <v>7</v>
      </c>
      <c r="V5" s="101" t="s">
        <v>33</v>
      </c>
      <c r="W5" s="101">
        <v>8</v>
      </c>
      <c r="X5" s="101" t="s">
        <v>34</v>
      </c>
      <c r="Y5" s="101">
        <v>9</v>
      </c>
      <c r="Z5" s="101" t="s">
        <v>35</v>
      </c>
      <c r="AA5" s="101">
        <v>10</v>
      </c>
      <c r="AB5" s="101" t="s">
        <v>36</v>
      </c>
      <c r="AC5" s="101">
        <v>11</v>
      </c>
      <c r="AD5" s="101" t="s">
        <v>37</v>
      </c>
      <c r="AE5" s="101">
        <v>12</v>
      </c>
      <c r="AF5" s="31"/>
      <c r="AG5" s="31"/>
      <c r="AH5" s="31"/>
      <c r="AI5" s="31"/>
      <c r="AJ5" s="31"/>
      <c r="AK5" s="31"/>
    </row>
    <row r="6" spans="1:37" x14ac:dyDescent="0.25">
      <c r="A6" s="31" t="s">
        <v>98</v>
      </c>
      <c r="B6" s="31" t="s">
        <v>99</v>
      </c>
      <c r="C6" s="31" t="s">
        <v>100</v>
      </c>
      <c r="D6" s="31" t="s">
        <v>21</v>
      </c>
      <c r="E6" s="31" t="s">
        <v>101</v>
      </c>
      <c r="F6" s="31" t="s">
        <v>102</v>
      </c>
      <c r="G6" s="31" t="s">
        <v>103</v>
      </c>
      <c r="H6" s="31" t="s">
        <v>104</v>
      </c>
      <c r="I6" s="31" t="s">
        <v>105</v>
      </c>
      <c r="J6" s="31" t="s">
        <v>106</v>
      </c>
      <c r="K6" s="31" t="s">
        <v>107</v>
      </c>
      <c r="L6" s="31" t="s">
        <v>108</v>
      </c>
      <c r="M6" s="31" t="s">
        <v>109</v>
      </c>
      <c r="N6" s="31" t="s">
        <v>110</v>
      </c>
      <c r="O6" s="31" t="s">
        <v>111</v>
      </c>
      <c r="P6" s="31" t="s">
        <v>112</v>
      </c>
      <c r="Q6" s="31" t="s">
        <v>113</v>
      </c>
      <c r="R6" s="31" t="s">
        <v>114</v>
      </c>
      <c r="S6" s="31" t="s">
        <v>115</v>
      </c>
      <c r="T6" s="31" t="s">
        <v>116</v>
      </c>
      <c r="U6" s="31" t="s">
        <v>117</v>
      </c>
      <c r="V6" s="31" t="s">
        <v>118</v>
      </c>
      <c r="W6" s="31" t="s">
        <v>119</v>
      </c>
      <c r="X6" s="31" t="s">
        <v>120</v>
      </c>
      <c r="Y6" s="31" t="s">
        <v>121</v>
      </c>
      <c r="Z6" s="31" t="s">
        <v>122</v>
      </c>
      <c r="AA6" s="31" t="s">
        <v>123</v>
      </c>
      <c r="AB6" s="31" t="s">
        <v>124</v>
      </c>
      <c r="AC6" s="31" t="s">
        <v>125</v>
      </c>
      <c r="AD6" s="31" t="s">
        <v>126</v>
      </c>
      <c r="AE6" s="31" t="s">
        <v>127</v>
      </c>
      <c r="AF6" s="31" t="s">
        <v>22</v>
      </c>
      <c r="AG6" s="31" t="s">
        <v>128</v>
      </c>
      <c r="AH6" s="31" t="s">
        <v>129</v>
      </c>
      <c r="AI6" s="31" t="s">
        <v>130</v>
      </c>
      <c r="AJ6" s="31" t="s">
        <v>23</v>
      </c>
      <c r="AK6" s="31" t="s">
        <v>131</v>
      </c>
    </row>
    <row r="7" spans="1:37" x14ac:dyDescent="0.25">
      <c r="A7" s="35" t="s">
        <v>132</v>
      </c>
      <c r="B7" s="36" t="s">
        <v>69</v>
      </c>
      <c r="C7" s="36" t="s">
        <v>70</v>
      </c>
      <c r="D7" s="36" t="s">
        <v>71</v>
      </c>
      <c r="E7" s="36" t="s">
        <v>133</v>
      </c>
      <c r="F7" s="36" t="s">
        <v>72</v>
      </c>
      <c r="G7" s="37" t="s">
        <v>134</v>
      </c>
      <c r="H7" s="47">
        <v>42000</v>
      </c>
      <c r="I7" s="48">
        <v>40500</v>
      </c>
      <c r="J7" s="48">
        <v>43000</v>
      </c>
      <c r="K7" s="48">
        <v>43200</v>
      </c>
      <c r="L7" s="48">
        <v>44500</v>
      </c>
      <c r="M7" s="48">
        <v>45000</v>
      </c>
      <c r="N7" s="48">
        <v>45500</v>
      </c>
      <c r="O7" s="48">
        <v>46200</v>
      </c>
      <c r="P7" s="48">
        <v>47000</v>
      </c>
      <c r="Q7" s="48"/>
      <c r="R7" s="48">
        <v>48500</v>
      </c>
      <c r="S7" s="48"/>
      <c r="T7" s="48">
        <v>50000</v>
      </c>
      <c r="U7" s="48"/>
      <c r="V7" s="48">
        <v>51000</v>
      </c>
      <c r="W7" s="48"/>
      <c r="X7" s="48">
        <v>52500</v>
      </c>
      <c r="Y7" s="48"/>
      <c r="Z7" s="48">
        <v>54000</v>
      </c>
      <c r="AA7" s="48"/>
      <c r="AB7" s="48">
        <v>55500</v>
      </c>
      <c r="AC7" s="48"/>
      <c r="AD7" s="48">
        <v>57500</v>
      </c>
      <c r="AE7" s="49"/>
      <c r="AF7" s="50">
        <f t="shared" ref="AF7:AF30" si="0">SUM(H7,J7,L7,N7,P7,R7,T7,V7,X7,Z7,AB7,AD7)</f>
        <v>591000</v>
      </c>
      <c r="AG7" s="51">
        <f t="shared" ref="AG7:AG30" si="1">SUM(I7,K7,M7,O7,Q7,S7,U7,W7,Y7,AA7,AC7,AE7)</f>
        <v>174900</v>
      </c>
      <c r="AH7" s="51">
        <f t="shared" ref="AH7:AH30" si="2">IF($D7="Einnahme",AG7-AF7,AF7-AG7)</f>
        <v>-416100</v>
      </c>
      <c r="AI7" s="63">
        <f t="shared" ref="AI7:AI30" si="3">IF(AF7&lt;&gt;0,AH7/ABS(AF7),0)</f>
        <v>-0.70406091370558377</v>
      </c>
      <c r="AJ7" s="51">
        <f>IF(1&lt;=Annahmen!$B$9,I7,H7*IF($D7="Einnahme",Annahmen!$B$11,IF($D7="Personal",Annahmen!$B$13,Annahmen!$B$12)))+IF(2&lt;=Annahmen!$B$9,K7,J7*IF($D7="Einnahme",Annahmen!$B$11,IF($D7="Personal",Annahmen!$B$13,Annahmen!$B$12)))+IF(3&lt;=Annahmen!$B$9,M7,L7*IF($D7="Einnahme",Annahmen!$B$11,IF($D7="Personal",Annahmen!$B$13,Annahmen!$B$12)))+IF(4&lt;=Annahmen!$B$9,O7,N7*IF($D7="Einnahme",Annahmen!$B$11,IF($D7="Personal",Annahmen!$B$13,Annahmen!$B$12)))+IF(5&lt;=Annahmen!$B$9,Q7,P7*IF($D7="Einnahme",Annahmen!$B$11,IF($D7="Personal",Annahmen!$B$13,Annahmen!$B$12)))+IF(6&lt;=Annahmen!$B$9,S7,R7*IF($D7="Einnahme",Annahmen!$B$11,IF($D7="Personal",Annahmen!$B$13,Annahmen!$B$12)))+IF(7&lt;=Annahmen!$B$9,U7,T7*IF($D7="Einnahme",Annahmen!$B$11,IF($D7="Personal",Annahmen!$B$13,Annahmen!$B$12)))+IF(8&lt;=Annahmen!$B$9,W7,V7*IF($D7="Einnahme",Annahmen!$B$11,IF($D7="Personal",Annahmen!$B$13,Annahmen!$B$12)))+IF(9&lt;=Annahmen!$B$9,Y7,X7*IF($D7="Einnahme",Annahmen!$B$11,IF($D7="Personal",Annahmen!$B$13,Annahmen!$B$12)))+IF(10&lt;=Annahmen!$B$9,AA7,Z7*IF($D7="Einnahme",Annahmen!$B$11,IF($D7="Personal",Annahmen!$B$13,Annahmen!$B$12)))+IF(11&lt;=Annahmen!$B$9,AC7,AB7*IF($D7="Einnahme",Annahmen!$B$11,IF($D7="Personal",Annahmen!$B$13,Annahmen!$B$12)))+IF(12&lt;=Annahmen!$B$9,AE7,AD7*IF($D7="Einnahme",Annahmen!$B$11,IF($D7="Personal",Annahmen!$B$13,Annahmen!$B$12)))</f>
        <v>590900</v>
      </c>
      <c r="AK7" s="44" t="str">
        <f t="shared" ref="AK7:AK30" si="4">IF($D7="Einnahme",IF(AJ7&gt;=AF7,"Im Plan","Risiko"),IF(AJ7&lt;=AF7,"Im Plan",IF(AJ7&lt;=AF7*1.05,"Beobachten","Überschreitung")))</f>
        <v>Risiko</v>
      </c>
    </row>
    <row r="8" spans="1:37" x14ac:dyDescent="0.25">
      <c r="A8" s="38" t="s">
        <v>135</v>
      </c>
      <c r="B8" s="39" t="s">
        <v>69</v>
      </c>
      <c r="C8" s="39" t="s">
        <v>70</v>
      </c>
      <c r="D8" s="39" t="s">
        <v>71</v>
      </c>
      <c r="E8" s="39" t="s">
        <v>136</v>
      </c>
      <c r="F8" s="39" t="s">
        <v>77</v>
      </c>
      <c r="G8" s="40" t="s">
        <v>137</v>
      </c>
      <c r="H8" s="52">
        <v>21000</v>
      </c>
      <c r="I8" s="53">
        <v>20500</v>
      </c>
      <c r="J8" s="53">
        <v>19000</v>
      </c>
      <c r="K8" s="53">
        <v>21500</v>
      </c>
      <c r="L8" s="53">
        <v>26000</v>
      </c>
      <c r="M8" s="53">
        <v>27000</v>
      </c>
      <c r="N8" s="53">
        <v>24000</v>
      </c>
      <c r="O8" s="53">
        <v>23800</v>
      </c>
      <c r="P8" s="53">
        <v>28000</v>
      </c>
      <c r="Q8" s="53"/>
      <c r="R8" s="53">
        <v>27000</v>
      </c>
      <c r="S8" s="53"/>
      <c r="T8" s="53">
        <v>22000</v>
      </c>
      <c r="U8" s="53"/>
      <c r="V8" s="53">
        <v>20000</v>
      </c>
      <c r="W8" s="53"/>
      <c r="X8" s="53">
        <v>30000</v>
      </c>
      <c r="Y8" s="53"/>
      <c r="Z8" s="53">
        <v>28000</v>
      </c>
      <c r="AA8" s="53"/>
      <c r="AB8" s="53">
        <v>30000</v>
      </c>
      <c r="AC8" s="53"/>
      <c r="AD8" s="53">
        <v>35000</v>
      </c>
      <c r="AE8" s="54"/>
      <c r="AF8" s="55">
        <f t="shared" si="0"/>
        <v>310000</v>
      </c>
      <c r="AG8" s="56">
        <f t="shared" si="1"/>
        <v>92800</v>
      </c>
      <c r="AH8" s="56">
        <f t="shared" si="2"/>
        <v>-217200</v>
      </c>
      <c r="AI8" s="64">
        <f t="shared" si="3"/>
        <v>-0.70064516129032262</v>
      </c>
      <c r="AJ8" s="56">
        <f>IF(1&lt;=Annahmen!$B$9,I8,H8*IF($D8="Einnahme",Annahmen!$B$11,IF($D8="Personal",Annahmen!$B$13,Annahmen!$B$12)))+IF(2&lt;=Annahmen!$B$9,K8,J8*IF($D8="Einnahme",Annahmen!$B$11,IF($D8="Personal",Annahmen!$B$13,Annahmen!$B$12)))+IF(3&lt;=Annahmen!$B$9,M8,L8*IF($D8="Einnahme",Annahmen!$B$11,IF($D8="Personal",Annahmen!$B$13,Annahmen!$B$12)))+IF(4&lt;=Annahmen!$B$9,O8,N8*IF($D8="Einnahme",Annahmen!$B$11,IF($D8="Personal",Annahmen!$B$13,Annahmen!$B$12)))+IF(5&lt;=Annahmen!$B$9,Q8,P8*IF($D8="Einnahme",Annahmen!$B$11,IF($D8="Personal",Annahmen!$B$13,Annahmen!$B$12)))+IF(6&lt;=Annahmen!$B$9,S8,R8*IF($D8="Einnahme",Annahmen!$B$11,IF($D8="Personal",Annahmen!$B$13,Annahmen!$B$12)))+IF(7&lt;=Annahmen!$B$9,U8,T8*IF($D8="Einnahme",Annahmen!$B$11,IF($D8="Personal",Annahmen!$B$13,Annahmen!$B$12)))+IF(8&lt;=Annahmen!$B$9,W8,V8*IF($D8="Einnahme",Annahmen!$B$11,IF($D8="Personal",Annahmen!$B$13,Annahmen!$B$12)))+IF(9&lt;=Annahmen!$B$9,Y8,X8*IF($D8="Einnahme",Annahmen!$B$11,IF($D8="Personal",Annahmen!$B$13,Annahmen!$B$12)))+IF(10&lt;=Annahmen!$B$9,AA8,Z8*IF($D8="Einnahme",Annahmen!$B$11,IF($D8="Personal",Annahmen!$B$13,Annahmen!$B$12)))+IF(11&lt;=Annahmen!$B$9,AC8,AB8*IF($D8="Einnahme",Annahmen!$B$11,IF($D8="Personal",Annahmen!$B$13,Annahmen!$B$12)))+IF(12&lt;=Annahmen!$B$9,AE8,AD8*IF($D8="Einnahme",Annahmen!$B$11,IF($D8="Personal",Annahmen!$B$13,Annahmen!$B$12)))</f>
        <v>312800</v>
      </c>
      <c r="AK8" s="45" t="str">
        <f t="shared" si="4"/>
        <v>Im Plan</v>
      </c>
    </row>
    <row r="9" spans="1:37" x14ac:dyDescent="0.25">
      <c r="A9" s="38" t="s">
        <v>138</v>
      </c>
      <c r="B9" s="39" t="s">
        <v>91</v>
      </c>
      <c r="C9" s="39" t="s">
        <v>70</v>
      </c>
      <c r="D9" s="39" t="s">
        <v>71</v>
      </c>
      <c r="E9" s="39" t="s">
        <v>139</v>
      </c>
      <c r="F9" s="39" t="s">
        <v>81</v>
      </c>
      <c r="G9" s="40" t="s">
        <v>140</v>
      </c>
      <c r="H9" s="52">
        <v>12500</v>
      </c>
      <c r="I9" s="53">
        <v>12300</v>
      </c>
      <c r="J9" s="53">
        <v>12600</v>
      </c>
      <c r="K9" s="53">
        <v>12650</v>
      </c>
      <c r="L9" s="53">
        <v>12700</v>
      </c>
      <c r="M9" s="53">
        <v>12800</v>
      </c>
      <c r="N9" s="53">
        <v>12800</v>
      </c>
      <c r="O9" s="53">
        <v>12950</v>
      </c>
      <c r="P9" s="53">
        <v>12900</v>
      </c>
      <c r="Q9" s="53"/>
      <c r="R9" s="53">
        <v>13000</v>
      </c>
      <c r="S9" s="53"/>
      <c r="T9" s="53">
        <v>13200</v>
      </c>
      <c r="U9" s="53"/>
      <c r="V9" s="53">
        <v>13300</v>
      </c>
      <c r="W9" s="53"/>
      <c r="X9" s="53">
        <v>13400</v>
      </c>
      <c r="Y9" s="53"/>
      <c r="Z9" s="53">
        <v>13500</v>
      </c>
      <c r="AA9" s="53"/>
      <c r="AB9" s="53">
        <v>13600</v>
      </c>
      <c r="AC9" s="53"/>
      <c r="AD9" s="53">
        <v>13800</v>
      </c>
      <c r="AE9" s="54"/>
      <c r="AF9" s="55">
        <f t="shared" si="0"/>
        <v>157300</v>
      </c>
      <c r="AG9" s="56">
        <f t="shared" si="1"/>
        <v>50700</v>
      </c>
      <c r="AH9" s="56">
        <f t="shared" si="2"/>
        <v>-106600</v>
      </c>
      <c r="AI9" s="64">
        <f t="shared" si="3"/>
        <v>-0.6776859504132231</v>
      </c>
      <c r="AJ9" s="56">
        <f>IF(1&lt;=Annahmen!$B$9,I9,H9*IF($D9="Einnahme",Annahmen!$B$11,IF($D9="Personal",Annahmen!$B$13,Annahmen!$B$12)))+IF(2&lt;=Annahmen!$B$9,K9,J9*IF($D9="Einnahme",Annahmen!$B$11,IF($D9="Personal",Annahmen!$B$13,Annahmen!$B$12)))+IF(3&lt;=Annahmen!$B$9,M9,L9*IF($D9="Einnahme",Annahmen!$B$11,IF($D9="Personal",Annahmen!$B$13,Annahmen!$B$12)))+IF(4&lt;=Annahmen!$B$9,O9,N9*IF($D9="Einnahme",Annahmen!$B$11,IF($D9="Personal",Annahmen!$B$13,Annahmen!$B$12)))+IF(5&lt;=Annahmen!$B$9,Q9,P9*IF($D9="Einnahme",Annahmen!$B$11,IF($D9="Personal",Annahmen!$B$13,Annahmen!$B$12)))+IF(6&lt;=Annahmen!$B$9,S9,R9*IF($D9="Einnahme",Annahmen!$B$11,IF($D9="Personal",Annahmen!$B$13,Annahmen!$B$12)))+IF(7&lt;=Annahmen!$B$9,U9,T9*IF($D9="Einnahme",Annahmen!$B$11,IF($D9="Personal",Annahmen!$B$13,Annahmen!$B$12)))+IF(8&lt;=Annahmen!$B$9,W9,V9*IF($D9="Einnahme",Annahmen!$B$11,IF($D9="Personal",Annahmen!$B$13,Annahmen!$B$12)))+IF(9&lt;=Annahmen!$B$9,Y9,X9*IF($D9="Einnahme",Annahmen!$B$11,IF($D9="Personal",Annahmen!$B$13,Annahmen!$B$12)))+IF(10&lt;=Annahmen!$B$9,AA9,Z9*IF($D9="Einnahme",Annahmen!$B$11,IF($D9="Personal",Annahmen!$B$13,Annahmen!$B$12)))+IF(11&lt;=Annahmen!$B$9,AC9,AB9*IF($D9="Einnahme",Annahmen!$B$11,IF($D9="Personal",Annahmen!$B$13,Annahmen!$B$12)))+IF(12&lt;=Annahmen!$B$9,AE9,AD9*IF($D9="Einnahme",Annahmen!$B$11,IF($D9="Personal",Annahmen!$B$13,Annahmen!$B$12)))</f>
        <v>157400</v>
      </c>
      <c r="AK9" s="45" t="str">
        <f t="shared" si="4"/>
        <v>Im Plan</v>
      </c>
    </row>
    <row r="10" spans="1:37" x14ac:dyDescent="0.25">
      <c r="A10" s="38" t="s">
        <v>141</v>
      </c>
      <c r="B10" s="39" t="s">
        <v>79</v>
      </c>
      <c r="C10" s="39" t="s">
        <v>70</v>
      </c>
      <c r="D10" s="39" t="s">
        <v>71</v>
      </c>
      <c r="E10" s="39" t="s">
        <v>142</v>
      </c>
      <c r="F10" s="39" t="s">
        <v>85</v>
      </c>
      <c r="G10" s="40" t="s">
        <v>143</v>
      </c>
      <c r="H10" s="52">
        <v>5000</v>
      </c>
      <c r="I10" s="53">
        <v>4200</v>
      </c>
      <c r="J10" s="53">
        <v>5200</v>
      </c>
      <c r="K10" s="53">
        <v>5600</v>
      </c>
      <c r="L10" s="53">
        <v>8500</v>
      </c>
      <c r="M10" s="53">
        <v>9000</v>
      </c>
      <c r="N10" s="53">
        <v>6000</v>
      </c>
      <c r="O10" s="53">
        <v>5900</v>
      </c>
      <c r="P10" s="53">
        <v>6500</v>
      </c>
      <c r="Q10" s="53"/>
      <c r="R10" s="53">
        <v>9000</v>
      </c>
      <c r="S10" s="53"/>
      <c r="T10" s="53">
        <v>5200</v>
      </c>
      <c r="U10" s="53"/>
      <c r="V10" s="53">
        <v>4500</v>
      </c>
      <c r="W10" s="53"/>
      <c r="X10" s="53">
        <v>8500</v>
      </c>
      <c r="Y10" s="53"/>
      <c r="Z10" s="53">
        <v>7000</v>
      </c>
      <c r="AA10" s="53"/>
      <c r="AB10" s="53">
        <v>7500</v>
      </c>
      <c r="AC10" s="53"/>
      <c r="AD10" s="53">
        <v>11000</v>
      </c>
      <c r="AE10" s="54"/>
      <c r="AF10" s="55">
        <f t="shared" si="0"/>
        <v>83900</v>
      </c>
      <c r="AG10" s="56">
        <f t="shared" si="1"/>
        <v>24700</v>
      </c>
      <c r="AH10" s="56">
        <f t="shared" si="2"/>
        <v>-59200</v>
      </c>
      <c r="AI10" s="64">
        <f t="shared" si="3"/>
        <v>-0.70560190703218117</v>
      </c>
      <c r="AJ10" s="56">
        <f>IF(1&lt;=Annahmen!$B$9,I10,H10*IF($D10="Einnahme",Annahmen!$B$11,IF($D10="Personal",Annahmen!$B$13,Annahmen!$B$12)))+IF(2&lt;=Annahmen!$B$9,K10,J10*IF($D10="Einnahme",Annahmen!$B$11,IF($D10="Personal",Annahmen!$B$13,Annahmen!$B$12)))+IF(3&lt;=Annahmen!$B$9,M10,L10*IF($D10="Einnahme",Annahmen!$B$11,IF($D10="Personal",Annahmen!$B$13,Annahmen!$B$12)))+IF(4&lt;=Annahmen!$B$9,O10,N10*IF($D10="Einnahme",Annahmen!$B$11,IF($D10="Personal",Annahmen!$B$13,Annahmen!$B$12)))+IF(5&lt;=Annahmen!$B$9,Q10,P10*IF($D10="Einnahme",Annahmen!$B$11,IF($D10="Personal",Annahmen!$B$13,Annahmen!$B$12)))+IF(6&lt;=Annahmen!$B$9,S10,R10*IF($D10="Einnahme",Annahmen!$B$11,IF($D10="Personal",Annahmen!$B$13,Annahmen!$B$12)))+IF(7&lt;=Annahmen!$B$9,U10,T10*IF($D10="Einnahme",Annahmen!$B$11,IF($D10="Personal",Annahmen!$B$13,Annahmen!$B$12)))+IF(8&lt;=Annahmen!$B$9,W10,V10*IF($D10="Einnahme",Annahmen!$B$11,IF($D10="Personal",Annahmen!$B$13,Annahmen!$B$12)))+IF(9&lt;=Annahmen!$B$9,Y10,X10*IF($D10="Einnahme",Annahmen!$B$11,IF($D10="Personal",Annahmen!$B$13,Annahmen!$B$12)))+IF(10&lt;=Annahmen!$B$9,AA10,Z10*IF($D10="Einnahme",Annahmen!$B$11,IF($D10="Personal",Annahmen!$B$13,Annahmen!$B$12)))+IF(11&lt;=Annahmen!$B$9,AC10,AB10*IF($D10="Einnahme",Annahmen!$B$11,IF($D10="Personal",Annahmen!$B$13,Annahmen!$B$12)))+IF(12&lt;=Annahmen!$B$9,AE10,AD10*IF($D10="Einnahme",Annahmen!$B$11,IF($D10="Personal",Annahmen!$B$13,Annahmen!$B$12)))</f>
        <v>83900</v>
      </c>
      <c r="AK10" s="45" t="str">
        <f t="shared" si="4"/>
        <v>Im Plan</v>
      </c>
    </row>
    <row r="11" spans="1:37" x14ac:dyDescent="0.25">
      <c r="A11" s="38" t="s">
        <v>144</v>
      </c>
      <c r="B11" s="39" t="s">
        <v>74</v>
      </c>
      <c r="C11" s="39" t="s">
        <v>75</v>
      </c>
      <c r="D11" s="39" t="s">
        <v>76</v>
      </c>
      <c r="E11" s="39" t="s">
        <v>145</v>
      </c>
      <c r="F11" s="39" t="s">
        <v>77</v>
      </c>
      <c r="G11" s="40" t="s">
        <v>146</v>
      </c>
      <c r="H11" s="52">
        <v>4800</v>
      </c>
      <c r="I11" s="53">
        <v>5100</v>
      </c>
      <c r="J11" s="53">
        <v>5000</v>
      </c>
      <c r="K11" s="53">
        <v>5000</v>
      </c>
      <c r="L11" s="53">
        <v>5200</v>
      </c>
      <c r="M11" s="53">
        <v>5300</v>
      </c>
      <c r="N11" s="53">
        <v>5200</v>
      </c>
      <c r="O11" s="53">
        <v>5400</v>
      </c>
      <c r="P11" s="53">
        <v>5400</v>
      </c>
      <c r="Q11" s="53"/>
      <c r="R11" s="53">
        <v>5500</v>
      </c>
      <c r="S11" s="53"/>
      <c r="T11" s="53">
        <v>5400</v>
      </c>
      <c r="U11" s="53"/>
      <c r="V11" s="53">
        <v>5200</v>
      </c>
      <c r="W11" s="53"/>
      <c r="X11" s="53">
        <v>5600</v>
      </c>
      <c r="Y11" s="53"/>
      <c r="Z11" s="53">
        <v>5900</v>
      </c>
      <c r="AA11" s="53"/>
      <c r="AB11" s="53">
        <v>6100</v>
      </c>
      <c r="AC11" s="53"/>
      <c r="AD11" s="53">
        <v>6500</v>
      </c>
      <c r="AE11" s="54"/>
      <c r="AF11" s="55">
        <f t="shared" si="0"/>
        <v>65800</v>
      </c>
      <c r="AG11" s="56">
        <f t="shared" si="1"/>
        <v>20800</v>
      </c>
      <c r="AH11" s="56">
        <f t="shared" si="2"/>
        <v>45000</v>
      </c>
      <c r="AI11" s="64">
        <f t="shared" si="3"/>
        <v>0.68389057750759874</v>
      </c>
      <c r="AJ11" s="56">
        <f>IF(1&lt;=Annahmen!$B$9,I11,H11*IF($D11="Einnahme",Annahmen!$B$11,IF($D11="Personal",Annahmen!$B$13,Annahmen!$B$12)))+IF(2&lt;=Annahmen!$B$9,K11,J11*IF($D11="Einnahme",Annahmen!$B$11,IF($D11="Personal",Annahmen!$B$13,Annahmen!$B$12)))+IF(3&lt;=Annahmen!$B$9,M11,L11*IF($D11="Einnahme",Annahmen!$B$11,IF($D11="Personal",Annahmen!$B$13,Annahmen!$B$12)))+IF(4&lt;=Annahmen!$B$9,O11,N11*IF($D11="Einnahme",Annahmen!$B$11,IF($D11="Personal",Annahmen!$B$13,Annahmen!$B$12)))+IF(5&lt;=Annahmen!$B$9,Q11,P11*IF($D11="Einnahme",Annahmen!$B$11,IF($D11="Personal",Annahmen!$B$13,Annahmen!$B$12)))+IF(6&lt;=Annahmen!$B$9,S11,R11*IF($D11="Einnahme",Annahmen!$B$11,IF($D11="Personal",Annahmen!$B$13,Annahmen!$B$12)))+IF(7&lt;=Annahmen!$B$9,U11,T11*IF($D11="Einnahme",Annahmen!$B$11,IF($D11="Personal",Annahmen!$B$13,Annahmen!$B$12)))+IF(8&lt;=Annahmen!$B$9,W11,V11*IF($D11="Einnahme",Annahmen!$B$11,IF($D11="Personal",Annahmen!$B$13,Annahmen!$B$12)))+IF(9&lt;=Annahmen!$B$9,Y11,X11*IF($D11="Einnahme",Annahmen!$B$11,IF($D11="Personal",Annahmen!$B$13,Annahmen!$B$12)))+IF(10&lt;=Annahmen!$B$9,AA11,Z11*IF($D11="Einnahme",Annahmen!$B$11,IF($D11="Personal",Annahmen!$B$13,Annahmen!$B$12)))+IF(11&lt;=Annahmen!$B$9,AC11,AB11*IF($D11="Einnahme",Annahmen!$B$11,IF($D11="Personal",Annahmen!$B$13,Annahmen!$B$12)))+IF(12&lt;=Annahmen!$B$9,AE11,AD11*IF($D11="Einnahme",Annahmen!$B$11,IF($D11="Personal",Annahmen!$B$13,Annahmen!$B$12)))</f>
        <v>66400</v>
      </c>
      <c r="AK11" s="45" t="str">
        <f t="shared" si="4"/>
        <v>Beobachten</v>
      </c>
    </row>
    <row r="12" spans="1:37" x14ac:dyDescent="0.25">
      <c r="A12" s="38" t="s">
        <v>147</v>
      </c>
      <c r="B12" s="39" t="s">
        <v>69</v>
      </c>
      <c r="C12" s="39" t="s">
        <v>75</v>
      </c>
      <c r="D12" s="39" t="s">
        <v>76</v>
      </c>
      <c r="E12" s="39" t="s">
        <v>148</v>
      </c>
      <c r="F12" s="39" t="s">
        <v>93</v>
      </c>
      <c r="G12" s="40" t="s">
        <v>149</v>
      </c>
      <c r="H12" s="52">
        <v>900</v>
      </c>
      <c r="I12" s="53">
        <v>880</v>
      </c>
      <c r="J12" s="53">
        <v>900</v>
      </c>
      <c r="K12" s="53">
        <v>910</v>
      </c>
      <c r="L12" s="53">
        <v>950</v>
      </c>
      <c r="M12" s="53">
        <v>980</v>
      </c>
      <c r="N12" s="53">
        <v>950</v>
      </c>
      <c r="O12" s="53">
        <v>970</v>
      </c>
      <c r="P12" s="53">
        <v>1000</v>
      </c>
      <c r="Q12" s="53"/>
      <c r="R12" s="53">
        <v>1000</v>
      </c>
      <c r="S12" s="53"/>
      <c r="T12" s="53">
        <v>950</v>
      </c>
      <c r="U12" s="53"/>
      <c r="V12" s="53">
        <v>950</v>
      </c>
      <c r="W12" s="53"/>
      <c r="X12" s="53">
        <v>1000</v>
      </c>
      <c r="Y12" s="53"/>
      <c r="Z12" s="53">
        <v>1050</v>
      </c>
      <c r="AA12" s="53"/>
      <c r="AB12" s="53">
        <v>1100</v>
      </c>
      <c r="AC12" s="53"/>
      <c r="AD12" s="53">
        <v>1150</v>
      </c>
      <c r="AE12" s="54"/>
      <c r="AF12" s="55">
        <f t="shared" si="0"/>
        <v>11900</v>
      </c>
      <c r="AG12" s="56">
        <f t="shared" si="1"/>
        <v>3740</v>
      </c>
      <c r="AH12" s="56">
        <f t="shared" si="2"/>
        <v>8160</v>
      </c>
      <c r="AI12" s="64">
        <f t="shared" si="3"/>
        <v>0.68571428571428572</v>
      </c>
      <c r="AJ12" s="56">
        <f>IF(1&lt;=Annahmen!$B$9,I12,H12*IF($D12="Einnahme",Annahmen!$B$11,IF($D12="Personal",Annahmen!$B$13,Annahmen!$B$12)))+IF(2&lt;=Annahmen!$B$9,K12,J12*IF($D12="Einnahme",Annahmen!$B$11,IF($D12="Personal",Annahmen!$B$13,Annahmen!$B$12)))+IF(3&lt;=Annahmen!$B$9,M12,L12*IF($D12="Einnahme",Annahmen!$B$11,IF($D12="Personal",Annahmen!$B$13,Annahmen!$B$12)))+IF(4&lt;=Annahmen!$B$9,O12,N12*IF($D12="Einnahme",Annahmen!$B$11,IF($D12="Personal",Annahmen!$B$13,Annahmen!$B$12)))+IF(5&lt;=Annahmen!$B$9,Q12,P12*IF($D12="Einnahme",Annahmen!$B$11,IF($D12="Personal",Annahmen!$B$13,Annahmen!$B$12)))+IF(6&lt;=Annahmen!$B$9,S12,R12*IF($D12="Einnahme",Annahmen!$B$11,IF($D12="Personal",Annahmen!$B$13,Annahmen!$B$12)))+IF(7&lt;=Annahmen!$B$9,U12,T12*IF($D12="Einnahme",Annahmen!$B$11,IF($D12="Personal",Annahmen!$B$13,Annahmen!$B$12)))+IF(8&lt;=Annahmen!$B$9,W12,V12*IF($D12="Einnahme",Annahmen!$B$11,IF($D12="Personal",Annahmen!$B$13,Annahmen!$B$12)))+IF(9&lt;=Annahmen!$B$9,Y12,X12*IF($D12="Einnahme",Annahmen!$B$11,IF($D12="Personal",Annahmen!$B$13,Annahmen!$B$12)))+IF(10&lt;=Annahmen!$B$9,AA12,Z12*IF($D12="Einnahme",Annahmen!$B$11,IF($D12="Personal",Annahmen!$B$13,Annahmen!$B$12)))+IF(11&lt;=Annahmen!$B$9,AC12,AB12*IF($D12="Einnahme",Annahmen!$B$11,IF($D12="Personal",Annahmen!$B$13,Annahmen!$B$12)))+IF(12&lt;=Annahmen!$B$9,AE12,AD12*IF($D12="Einnahme",Annahmen!$B$11,IF($D12="Personal",Annahmen!$B$13,Annahmen!$B$12)))</f>
        <v>11940</v>
      </c>
      <c r="AK12" s="45" t="str">
        <f t="shared" si="4"/>
        <v>Beobachten</v>
      </c>
    </row>
    <row r="13" spans="1:37" x14ac:dyDescent="0.25">
      <c r="A13" s="38" t="s">
        <v>150</v>
      </c>
      <c r="B13" s="39" t="s">
        <v>74</v>
      </c>
      <c r="C13" s="39" t="s">
        <v>75</v>
      </c>
      <c r="D13" s="39" t="s">
        <v>76</v>
      </c>
      <c r="E13" s="39" t="s">
        <v>151</v>
      </c>
      <c r="F13" s="39" t="s">
        <v>77</v>
      </c>
      <c r="G13" s="40" t="s">
        <v>152</v>
      </c>
      <c r="H13" s="52">
        <v>3500</v>
      </c>
      <c r="I13" s="53">
        <v>3400</v>
      </c>
      <c r="J13" s="53">
        <v>4200</v>
      </c>
      <c r="K13" s="53">
        <v>4500</v>
      </c>
      <c r="L13" s="53">
        <v>4800</v>
      </c>
      <c r="M13" s="53">
        <v>5100</v>
      </c>
      <c r="N13" s="53">
        <v>4500</v>
      </c>
      <c r="O13" s="53">
        <v>4700</v>
      </c>
      <c r="P13" s="53">
        <v>5200</v>
      </c>
      <c r="Q13" s="53"/>
      <c r="R13" s="53">
        <v>5000</v>
      </c>
      <c r="S13" s="53"/>
      <c r="T13" s="53">
        <v>3800</v>
      </c>
      <c r="U13" s="53"/>
      <c r="V13" s="53">
        <v>3000</v>
      </c>
      <c r="W13" s="53"/>
      <c r="X13" s="53">
        <v>5200</v>
      </c>
      <c r="Y13" s="53"/>
      <c r="Z13" s="53">
        <v>4800</v>
      </c>
      <c r="AA13" s="53"/>
      <c r="AB13" s="53">
        <v>4500</v>
      </c>
      <c r="AC13" s="53"/>
      <c r="AD13" s="53">
        <v>4200</v>
      </c>
      <c r="AE13" s="54"/>
      <c r="AF13" s="55">
        <f t="shared" si="0"/>
        <v>52700</v>
      </c>
      <c r="AG13" s="56">
        <f t="shared" si="1"/>
        <v>17700</v>
      </c>
      <c r="AH13" s="56">
        <f t="shared" si="2"/>
        <v>35000</v>
      </c>
      <c r="AI13" s="64">
        <f t="shared" si="3"/>
        <v>0.66413662239089188</v>
      </c>
      <c r="AJ13" s="56">
        <f>IF(1&lt;=Annahmen!$B$9,I13,H13*IF($D13="Einnahme",Annahmen!$B$11,IF($D13="Personal",Annahmen!$B$13,Annahmen!$B$12)))+IF(2&lt;=Annahmen!$B$9,K13,J13*IF($D13="Einnahme",Annahmen!$B$11,IF($D13="Personal",Annahmen!$B$13,Annahmen!$B$12)))+IF(3&lt;=Annahmen!$B$9,M13,L13*IF($D13="Einnahme",Annahmen!$B$11,IF($D13="Personal",Annahmen!$B$13,Annahmen!$B$12)))+IF(4&lt;=Annahmen!$B$9,O13,N13*IF($D13="Einnahme",Annahmen!$B$11,IF($D13="Personal",Annahmen!$B$13,Annahmen!$B$12)))+IF(5&lt;=Annahmen!$B$9,Q13,P13*IF($D13="Einnahme",Annahmen!$B$11,IF($D13="Personal",Annahmen!$B$13,Annahmen!$B$12)))+IF(6&lt;=Annahmen!$B$9,S13,R13*IF($D13="Einnahme",Annahmen!$B$11,IF($D13="Personal",Annahmen!$B$13,Annahmen!$B$12)))+IF(7&lt;=Annahmen!$B$9,U13,T13*IF($D13="Einnahme",Annahmen!$B$11,IF($D13="Personal",Annahmen!$B$13,Annahmen!$B$12)))+IF(8&lt;=Annahmen!$B$9,W13,V13*IF($D13="Einnahme",Annahmen!$B$11,IF($D13="Personal",Annahmen!$B$13,Annahmen!$B$12)))+IF(9&lt;=Annahmen!$B$9,Y13,X13*IF($D13="Einnahme",Annahmen!$B$11,IF($D13="Personal",Annahmen!$B$13,Annahmen!$B$12)))+IF(10&lt;=Annahmen!$B$9,AA13,Z13*IF($D13="Einnahme",Annahmen!$B$11,IF($D13="Personal",Annahmen!$B$13,Annahmen!$B$12)))+IF(11&lt;=Annahmen!$B$9,AC13,AB13*IF($D13="Einnahme",Annahmen!$B$11,IF($D13="Personal",Annahmen!$B$13,Annahmen!$B$12)))+IF(12&lt;=Annahmen!$B$9,AE13,AD13*IF($D13="Einnahme",Annahmen!$B$11,IF($D13="Personal",Annahmen!$B$13,Annahmen!$B$12)))</f>
        <v>53400</v>
      </c>
      <c r="AK13" s="45" t="str">
        <f t="shared" si="4"/>
        <v>Beobachten</v>
      </c>
    </row>
    <row r="14" spans="1:37" x14ac:dyDescent="0.25">
      <c r="A14" s="38" t="s">
        <v>153</v>
      </c>
      <c r="B14" s="39" t="s">
        <v>69</v>
      </c>
      <c r="C14" s="39" t="s">
        <v>84</v>
      </c>
      <c r="D14" s="39" t="s">
        <v>84</v>
      </c>
      <c r="E14" s="39" t="s">
        <v>154</v>
      </c>
      <c r="F14" s="39" t="s">
        <v>72</v>
      </c>
      <c r="G14" s="40" t="s">
        <v>155</v>
      </c>
      <c r="H14" s="52">
        <v>9000</v>
      </c>
      <c r="I14" s="53">
        <v>9000</v>
      </c>
      <c r="J14" s="53">
        <v>9000</v>
      </c>
      <c r="K14" s="53">
        <v>9000</v>
      </c>
      <c r="L14" s="53">
        <v>9000</v>
      </c>
      <c r="M14" s="53">
        <v>9200</v>
      </c>
      <c r="N14" s="53">
        <v>9000</v>
      </c>
      <c r="O14" s="53">
        <v>9200</v>
      </c>
      <c r="P14" s="53">
        <v>9000</v>
      </c>
      <c r="Q14" s="53"/>
      <c r="R14" s="53">
        <v>9000</v>
      </c>
      <c r="S14" s="53"/>
      <c r="T14" s="53">
        <v>9000</v>
      </c>
      <c r="U14" s="53"/>
      <c r="V14" s="53">
        <v>9000</v>
      </c>
      <c r="W14" s="53"/>
      <c r="X14" s="53">
        <v>9000</v>
      </c>
      <c r="Y14" s="53"/>
      <c r="Z14" s="53">
        <v>9000</v>
      </c>
      <c r="AA14" s="53"/>
      <c r="AB14" s="53">
        <v>9000</v>
      </c>
      <c r="AC14" s="53"/>
      <c r="AD14" s="53">
        <v>9000</v>
      </c>
      <c r="AE14" s="54"/>
      <c r="AF14" s="55">
        <f t="shared" si="0"/>
        <v>108000</v>
      </c>
      <c r="AG14" s="56">
        <f t="shared" si="1"/>
        <v>36400</v>
      </c>
      <c r="AH14" s="56">
        <f t="shared" si="2"/>
        <v>71600</v>
      </c>
      <c r="AI14" s="64">
        <f t="shared" si="3"/>
        <v>0.66296296296296298</v>
      </c>
      <c r="AJ14" s="56">
        <f>IF(1&lt;=Annahmen!$B$9,I14,H14*IF($D14="Einnahme",Annahmen!$B$11,IF($D14="Personal",Annahmen!$B$13,Annahmen!$B$12)))+IF(2&lt;=Annahmen!$B$9,K14,J14*IF($D14="Einnahme",Annahmen!$B$11,IF($D14="Personal",Annahmen!$B$13,Annahmen!$B$12)))+IF(3&lt;=Annahmen!$B$9,M14,L14*IF($D14="Einnahme",Annahmen!$B$11,IF($D14="Personal",Annahmen!$B$13,Annahmen!$B$12)))+IF(4&lt;=Annahmen!$B$9,O14,N14*IF($D14="Einnahme",Annahmen!$B$11,IF($D14="Personal",Annahmen!$B$13,Annahmen!$B$12)))+IF(5&lt;=Annahmen!$B$9,Q14,P14*IF($D14="Einnahme",Annahmen!$B$11,IF($D14="Personal",Annahmen!$B$13,Annahmen!$B$12)))+IF(6&lt;=Annahmen!$B$9,S14,R14*IF($D14="Einnahme",Annahmen!$B$11,IF($D14="Personal",Annahmen!$B$13,Annahmen!$B$12)))+IF(7&lt;=Annahmen!$B$9,U14,T14*IF($D14="Einnahme",Annahmen!$B$11,IF($D14="Personal",Annahmen!$B$13,Annahmen!$B$12)))+IF(8&lt;=Annahmen!$B$9,W14,V14*IF($D14="Einnahme",Annahmen!$B$11,IF($D14="Personal",Annahmen!$B$13,Annahmen!$B$12)))+IF(9&lt;=Annahmen!$B$9,Y14,X14*IF($D14="Einnahme",Annahmen!$B$11,IF($D14="Personal",Annahmen!$B$13,Annahmen!$B$12)))+IF(10&lt;=Annahmen!$B$9,AA14,Z14*IF($D14="Einnahme",Annahmen!$B$11,IF($D14="Personal",Annahmen!$B$13,Annahmen!$B$12)))+IF(11&lt;=Annahmen!$B$9,AC14,AB14*IF($D14="Einnahme",Annahmen!$B$11,IF($D14="Personal",Annahmen!$B$13,Annahmen!$B$12)))+IF(12&lt;=Annahmen!$B$9,AE14,AD14*IF($D14="Einnahme",Annahmen!$B$11,IF($D14="Personal",Annahmen!$B$13,Annahmen!$B$12)))</f>
        <v>108400</v>
      </c>
      <c r="AK14" s="45" t="str">
        <f t="shared" si="4"/>
        <v>Beobachten</v>
      </c>
    </row>
    <row r="15" spans="1:37" x14ac:dyDescent="0.25">
      <c r="A15" s="38" t="s">
        <v>156</v>
      </c>
      <c r="B15" s="39" t="s">
        <v>74</v>
      </c>
      <c r="C15" s="39" t="s">
        <v>84</v>
      </c>
      <c r="D15" s="39" t="s">
        <v>84</v>
      </c>
      <c r="E15" s="39" t="s">
        <v>157</v>
      </c>
      <c r="F15" s="39" t="s">
        <v>77</v>
      </c>
      <c r="G15" s="40" t="s">
        <v>158</v>
      </c>
      <c r="H15" s="52">
        <v>18000</v>
      </c>
      <c r="I15" s="53">
        <v>18000</v>
      </c>
      <c r="J15" s="53">
        <v>18000</v>
      </c>
      <c r="K15" s="53">
        <v>18000</v>
      </c>
      <c r="L15" s="53">
        <v>18000</v>
      </c>
      <c r="M15" s="53">
        <v>18400</v>
      </c>
      <c r="N15" s="53">
        <v>18000</v>
      </c>
      <c r="O15" s="53">
        <v>18400</v>
      </c>
      <c r="P15" s="53">
        <v>18000</v>
      </c>
      <c r="Q15" s="53"/>
      <c r="R15" s="53">
        <v>18000</v>
      </c>
      <c r="S15" s="53"/>
      <c r="T15" s="53">
        <v>18000</v>
      </c>
      <c r="U15" s="53"/>
      <c r="V15" s="53">
        <v>18000</v>
      </c>
      <c r="W15" s="53"/>
      <c r="X15" s="53">
        <v>18000</v>
      </c>
      <c r="Y15" s="53"/>
      <c r="Z15" s="53">
        <v>18000</v>
      </c>
      <c r="AA15" s="53"/>
      <c r="AB15" s="53">
        <v>18000</v>
      </c>
      <c r="AC15" s="53"/>
      <c r="AD15" s="53">
        <v>18000</v>
      </c>
      <c r="AE15" s="54"/>
      <c r="AF15" s="55">
        <f t="shared" si="0"/>
        <v>216000</v>
      </c>
      <c r="AG15" s="56">
        <f t="shared" si="1"/>
        <v>72800</v>
      </c>
      <c r="AH15" s="56">
        <f t="shared" si="2"/>
        <v>143200</v>
      </c>
      <c r="AI15" s="64">
        <f t="shared" si="3"/>
        <v>0.66296296296296298</v>
      </c>
      <c r="AJ15" s="56">
        <f>IF(1&lt;=Annahmen!$B$9,I15,H15*IF($D15="Einnahme",Annahmen!$B$11,IF($D15="Personal",Annahmen!$B$13,Annahmen!$B$12)))+IF(2&lt;=Annahmen!$B$9,K15,J15*IF($D15="Einnahme",Annahmen!$B$11,IF($D15="Personal",Annahmen!$B$13,Annahmen!$B$12)))+IF(3&lt;=Annahmen!$B$9,M15,L15*IF($D15="Einnahme",Annahmen!$B$11,IF($D15="Personal",Annahmen!$B$13,Annahmen!$B$12)))+IF(4&lt;=Annahmen!$B$9,O15,N15*IF($D15="Einnahme",Annahmen!$B$11,IF($D15="Personal",Annahmen!$B$13,Annahmen!$B$12)))+IF(5&lt;=Annahmen!$B$9,Q15,P15*IF($D15="Einnahme",Annahmen!$B$11,IF($D15="Personal",Annahmen!$B$13,Annahmen!$B$12)))+IF(6&lt;=Annahmen!$B$9,S15,R15*IF($D15="Einnahme",Annahmen!$B$11,IF($D15="Personal",Annahmen!$B$13,Annahmen!$B$12)))+IF(7&lt;=Annahmen!$B$9,U15,T15*IF($D15="Einnahme",Annahmen!$B$11,IF($D15="Personal",Annahmen!$B$13,Annahmen!$B$12)))+IF(8&lt;=Annahmen!$B$9,W15,V15*IF($D15="Einnahme",Annahmen!$B$11,IF($D15="Personal",Annahmen!$B$13,Annahmen!$B$12)))+IF(9&lt;=Annahmen!$B$9,Y15,X15*IF($D15="Einnahme",Annahmen!$B$11,IF($D15="Personal",Annahmen!$B$13,Annahmen!$B$12)))+IF(10&lt;=Annahmen!$B$9,AA15,Z15*IF($D15="Einnahme",Annahmen!$B$11,IF($D15="Personal",Annahmen!$B$13,Annahmen!$B$12)))+IF(11&lt;=Annahmen!$B$9,AC15,AB15*IF($D15="Einnahme",Annahmen!$B$11,IF($D15="Personal",Annahmen!$B$13,Annahmen!$B$12)))+IF(12&lt;=Annahmen!$B$9,AE15,AD15*IF($D15="Einnahme",Annahmen!$B$11,IF($D15="Personal",Annahmen!$B$13,Annahmen!$B$12)))</f>
        <v>216800</v>
      </c>
      <c r="AK15" s="45" t="str">
        <f t="shared" si="4"/>
        <v>Beobachten</v>
      </c>
    </row>
    <row r="16" spans="1:37" x14ac:dyDescent="0.25">
      <c r="A16" s="38" t="s">
        <v>159</v>
      </c>
      <c r="B16" s="39" t="s">
        <v>91</v>
      </c>
      <c r="C16" s="39" t="s">
        <v>84</v>
      </c>
      <c r="D16" s="39" t="s">
        <v>84</v>
      </c>
      <c r="E16" s="39" t="s">
        <v>160</v>
      </c>
      <c r="F16" s="39" t="s">
        <v>81</v>
      </c>
      <c r="G16" s="40" t="s">
        <v>161</v>
      </c>
      <c r="H16" s="52">
        <v>8500</v>
      </c>
      <c r="I16" s="53">
        <v>8500</v>
      </c>
      <c r="J16" s="53">
        <v>8500</v>
      </c>
      <c r="K16" s="53">
        <v>8500</v>
      </c>
      <c r="L16" s="53">
        <v>8500</v>
      </c>
      <c r="M16" s="53">
        <v>8600</v>
      </c>
      <c r="N16" s="53">
        <v>8500</v>
      </c>
      <c r="O16" s="53">
        <v>8600</v>
      </c>
      <c r="P16" s="53">
        <v>8500</v>
      </c>
      <c r="Q16" s="53"/>
      <c r="R16" s="53">
        <v>8500</v>
      </c>
      <c r="S16" s="53"/>
      <c r="T16" s="53">
        <v>8500</v>
      </c>
      <c r="U16" s="53"/>
      <c r="V16" s="53">
        <v>8500</v>
      </c>
      <c r="W16" s="53"/>
      <c r="X16" s="53">
        <v>8500</v>
      </c>
      <c r="Y16" s="53"/>
      <c r="Z16" s="53">
        <v>8500</v>
      </c>
      <c r="AA16" s="53"/>
      <c r="AB16" s="53">
        <v>8500</v>
      </c>
      <c r="AC16" s="53"/>
      <c r="AD16" s="53">
        <v>8500</v>
      </c>
      <c r="AE16" s="54"/>
      <c r="AF16" s="55">
        <f t="shared" si="0"/>
        <v>102000</v>
      </c>
      <c r="AG16" s="56">
        <f t="shared" si="1"/>
        <v>34200</v>
      </c>
      <c r="AH16" s="56">
        <f t="shared" si="2"/>
        <v>67800</v>
      </c>
      <c r="AI16" s="64">
        <f t="shared" si="3"/>
        <v>0.66470588235294115</v>
      </c>
      <c r="AJ16" s="56">
        <f>IF(1&lt;=Annahmen!$B$9,I16,H16*IF($D16="Einnahme",Annahmen!$B$11,IF($D16="Personal",Annahmen!$B$13,Annahmen!$B$12)))+IF(2&lt;=Annahmen!$B$9,K16,J16*IF($D16="Einnahme",Annahmen!$B$11,IF($D16="Personal",Annahmen!$B$13,Annahmen!$B$12)))+IF(3&lt;=Annahmen!$B$9,M16,L16*IF($D16="Einnahme",Annahmen!$B$11,IF($D16="Personal",Annahmen!$B$13,Annahmen!$B$12)))+IF(4&lt;=Annahmen!$B$9,O16,N16*IF($D16="Einnahme",Annahmen!$B$11,IF($D16="Personal",Annahmen!$B$13,Annahmen!$B$12)))+IF(5&lt;=Annahmen!$B$9,Q16,P16*IF($D16="Einnahme",Annahmen!$B$11,IF($D16="Personal",Annahmen!$B$13,Annahmen!$B$12)))+IF(6&lt;=Annahmen!$B$9,S16,R16*IF($D16="Einnahme",Annahmen!$B$11,IF($D16="Personal",Annahmen!$B$13,Annahmen!$B$12)))+IF(7&lt;=Annahmen!$B$9,U16,T16*IF($D16="Einnahme",Annahmen!$B$11,IF($D16="Personal",Annahmen!$B$13,Annahmen!$B$12)))+IF(8&lt;=Annahmen!$B$9,W16,V16*IF($D16="Einnahme",Annahmen!$B$11,IF($D16="Personal",Annahmen!$B$13,Annahmen!$B$12)))+IF(9&lt;=Annahmen!$B$9,Y16,X16*IF($D16="Einnahme",Annahmen!$B$11,IF($D16="Personal",Annahmen!$B$13,Annahmen!$B$12)))+IF(10&lt;=Annahmen!$B$9,AA16,Z16*IF($D16="Einnahme",Annahmen!$B$11,IF($D16="Personal",Annahmen!$B$13,Annahmen!$B$12)))+IF(11&lt;=Annahmen!$B$9,AC16,AB16*IF($D16="Einnahme",Annahmen!$B$11,IF($D16="Personal",Annahmen!$B$13,Annahmen!$B$12)))+IF(12&lt;=Annahmen!$B$9,AE16,AD16*IF($D16="Einnahme",Annahmen!$B$11,IF($D16="Personal",Annahmen!$B$13,Annahmen!$B$12)))</f>
        <v>102200</v>
      </c>
      <c r="AK16" s="45" t="str">
        <f t="shared" si="4"/>
        <v>Beobachten</v>
      </c>
    </row>
    <row r="17" spans="1:37" x14ac:dyDescent="0.25">
      <c r="A17" s="38" t="s">
        <v>162</v>
      </c>
      <c r="B17" s="39" t="s">
        <v>87</v>
      </c>
      <c r="C17" s="39" t="s">
        <v>84</v>
      </c>
      <c r="D17" s="39" t="s">
        <v>84</v>
      </c>
      <c r="E17" s="39" t="s">
        <v>87</v>
      </c>
      <c r="F17" s="39" t="s">
        <v>90</v>
      </c>
      <c r="G17" s="40" t="s">
        <v>163</v>
      </c>
      <c r="H17" s="52">
        <v>12000</v>
      </c>
      <c r="I17" s="53">
        <v>12000</v>
      </c>
      <c r="J17" s="53">
        <v>12000</v>
      </c>
      <c r="K17" s="53">
        <v>12000</v>
      </c>
      <c r="L17" s="53">
        <v>12000</v>
      </c>
      <c r="M17" s="53">
        <v>12000</v>
      </c>
      <c r="N17" s="53">
        <v>12000</v>
      </c>
      <c r="O17" s="53">
        <v>12000</v>
      </c>
      <c r="P17" s="53">
        <v>12000</v>
      </c>
      <c r="Q17" s="53"/>
      <c r="R17" s="53">
        <v>12000</v>
      </c>
      <c r="S17" s="53"/>
      <c r="T17" s="53">
        <v>12000</v>
      </c>
      <c r="U17" s="53"/>
      <c r="V17" s="53">
        <v>12000</v>
      </c>
      <c r="W17" s="53"/>
      <c r="X17" s="53">
        <v>12000</v>
      </c>
      <c r="Y17" s="53"/>
      <c r="Z17" s="53">
        <v>12000</v>
      </c>
      <c r="AA17" s="53"/>
      <c r="AB17" s="53">
        <v>12000</v>
      </c>
      <c r="AC17" s="53"/>
      <c r="AD17" s="53">
        <v>12000</v>
      </c>
      <c r="AE17" s="54"/>
      <c r="AF17" s="55">
        <f t="shared" si="0"/>
        <v>144000</v>
      </c>
      <c r="AG17" s="56">
        <f t="shared" si="1"/>
        <v>48000</v>
      </c>
      <c r="AH17" s="56">
        <f t="shared" si="2"/>
        <v>96000</v>
      </c>
      <c r="AI17" s="64">
        <f t="shared" si="3"/>
        <v>0.66666666666666663</v>
      </c>
      <c r="AJ17" s="56">
        <f>IF(1&lt;=Annahmen!$B$9,I17,H17*IF($D17="Einnahme",Annahmen!$B$11,IF($D17="Personal",Annahmen!$B$13,Annahmen!$B$12)))+IF(2&lt;=Annahmen!$B$9,K17,J17*IF($D17="Einnahme",Annahmen!$B$11,IF($D17="Personal",Annahmen!$B$13,Annahmen!$B$12)))+IF(3&lt;=Annahmen!$B$9,M17,L17*IF($D17="Einnahme",Annahmen!$B$11,IF($D17="Personal",Annahmen!$B$13,Annahmen!$B$12)))+IF(4&lt;=Annahmen!$B$9,O17,N17*IF($D17="Einnahme",Annahmen!$B$11,IF($D17="Personal",Annahmen!$B$13,Annahmen!$B$12)))+IF(5&lt;=Annahmen!$B$9,Q17,P17*IF($D17="Einnahme",Annahmen!$B$11,IF($D17="Personal",Annahmen!$B$13,Annahmen!$B$12)))+IF(6&lt;=Annahmen!$B$9,S17,R17*IF($D17="Einnahme",Annahmen!$B$11,IF($D17="Personal",Annahmen!$B$13,Annahmen!$B$12)))+IF(7&lt;=Annahmen!$B$9,U17,T17*IF($D17="Einnahme",Annahmen!$B$11,IF($D17="Personal",Annahmen!$B$13,Annahmen!$B$12)))+IF(8&lt;=Annahmen!$B$9,W17,V17*IF($D17="Einnahme",Annahmen!$B$11,IF($D17="Personal",Annahmen!$B$13,Annahmen!$B$12)))+IF(9&lt;=Annahmen!$B$9,Y17,X17*IF($D17="Einnahme",Annahmen!$B$11,IF($D17="Personal",Annahmen!$B$13,Annahmen!$B$12)))+IF(10&lt;=Annahmen!$B$9,AA17,Z17*IF($D17="Einnahme",Annahmen!$B$11,IF($D17="Personal",Annahmen!$B$13,Annahmen!$B$12)))+IF(11&lt;=Annahmen!$B$9,AC17,AB17*IF($D17="Einnahme",Annahmen!$B$11,IF($D17="Personal",Annahmen!$B$13,Annahmen!$B$12)))+IF(12&lt;=Annahmen!$B$9,AE17,AD17*IF($D17="Einnahme",Annahmen!$B$11,IF($D17="Personal",Annahmen!$B$13,Annahmen!$B$12)))</f>
        <v>144000</v>
      </c>
      <c r="AK17" s="45" t="str">
        <f t="shared" si="4"/>
        <v>Im Plan</v>
      </c>
    </row>
    <row r="18" spans="1:37" x14ac:dyDescent="0.25">
      <c r="A18" s="38" t="s">
        <v>164</v>
      </c>
      <c r="B18" s="39" t="s">
        <v>83</v>
      </c>
      <c r="C18" s="39" t="s">
        <v>84</v>
      </c>
      <c r="D18" s="39" t="s">
        <v>84</v>
      </c>
      <c r="E18" s="39" t="s">
        <v>165</v>
      </c>
      <c r="F18" s="39" t="s">
        <v>85</v>
      </c>
      <c r="G18" s="40" t="s">
        <v>166</v>
      </c>
      <c r="H18" s="52">
        <v>2200</v>
      </c>
      <c r="I18" s="53">
        <v>2100</v>
      </c>
      <c r="J18" s="53">
        <v>2200</v>
      </c>
      <c r="K18" s="53">
        <v>2300</v>
      </c>
      <c r="L18" s="53">
        <v>2500</v>
      </c>
      <c r="M18" s="53">
        <v>2600</v>
      </c>
      <c r="N18" s="53">
        <v>2500</v>
      </c>
      <c r="O18" s="53">
        <v>2400</v>
      </c>
      <c r="P18" s="53">
        <v>2500</v>
      </c>
      <c r="Q18" s="53"/>
      <c r="R18" s="53">
        <v>2800</v>
      </c>
      <c r="S18" s="53"/>
      <c r="T18" s="53">
        <v>2800</v>
      </c>
      <c r="U18" s="53"/>
      <c r="V18" s="53">
        <v>2200</v>
      </c>
      <c r="W18" s="53"/>
      <c r="X18" s="53">
        <v>2500</v>
      </c>
      <c r="Y18" s="53"/>
      <c r="Z18" s="53">
        <v>2500</v>
      </c>
      <c r="AA18" s="53"/>
      <c r="AB18" s="53">
        <v>2500</v>
      </c>
      <c r="AC18" s="53"/>
      <c r="AD18" s="53">
        <v>3000</v>
      </c>
      <c r="AE18" s="54"/>
      <c r="AF18" s="55">
        <f t="shared" si="0"/>
        <v>30200</v>
      </c>
      <c r="AG18" s="56">
        <f t="shared" si="1"/>
        <v>9400</v>
      </c>
      <c r="AH18" s="56">
        <f t="shared" si="2"/>
        <v>20800</v>
      </c>
      <c r="AI18" s="64">
        <f t="shared" si="3"/>
        <v>0.6887417218543046</v>
      </c>
      <c r="AJ18" s="56">
        <f>IF(1&lt;=Annahmen!$B$9,I18,H18*IF($D18="Einnahme",Annahmen!$B$11,IF($D18="Personal",Annahmen!$B$13,Annahmen!$B$12)))+IF(2&lt;=Annahmen!$B$9,K18,J18*IF($D18="Einnahme",Annahmen!$B$11,IF($D18="Personal",Annahmen!$B$13,Annahmen!$B$12)))+IF(3&lt;=Annahmen!$B$9,M18,L18*IF($D18="Einnahme",Annahmen!$B$11,IF($D18="Personal",Annahmen!$B$13,Annahmen!$B$12)))+IF(4&lt;=Annahmen!$B$9,O18,N18*IF($D18="Einnahme",Annahmen!$B$11,IF($D18="Personal",Annahmen!$B$13,Annahmen!$B$12)))+IF(5&lt;=Annahmen!$B$9,Q18,P18*IF($D18="Einnahme",Annahmen!$B$11,IF($D18="Personal",Annahmen!$B$13,Annahmen!$B$12)))+IF(6&lt;=Annahmen!$B$9,S18,R18*IF($D18="Einnahme",Annahmen!$B$11,IF($D18="Personal",Annahmen!$B$13,Annahmen!$B$12)))+IF(7&lt;=Annahmen!$B$9,U18,T18*IF($D18="Einnahme",Annahmen!$B$11,IF($D18="Personal",Annahmen!$B$13,Annahmen!$B$12)))+IF(8&lt;=Annahmen!$B$9,W18,V18*IF($D18="Einnahme",Annahmen!$B$11,IF($D18="Personal",Annahmen!$B$13,Annahmen!$B$12)))+IF(9&lt;=Annahmen!$B$9,Y18,X18*IF($D18="Einnahme",Annahmen!$B$11,IF($D18="Personal",Annahmen!$B$13,Annahmen!$B$12)))+IF(10&lt;=Annahmen!$B$9,AA18,Z18*IF($D18="Einnahme",Annahmen!$B$11,IF($D18="Personal",Annahmen!$B$13,Annahmen!$B$12)))+IF(11&lt;=Annahmen!$B$9,AC18,AB18*IF($D18="Einnahme",Annahmen!$B$11,IF($D18="Personal",Annahmen!$B$13,Annahmen!$B$12)))+IF(12&lt;=Annahmen!$B$9,AE18,AD18*IF($D18="Einnahme",Annahmen!$B$11,IF($D18="Personal",Annahmen!$B$13,Annahmen!$B$12)))</f>
        <v>30200</v>
      </c>
      <c r="AK18" s="45" t="str">
        <f t="shared" si="4"/>
        <v>Im Plan</v>
      </c>
    </row>
    <row r="19" spans="1:37" x14ac:dyDescent="0.25">
      <c r="A19" s="38" t="s">
        <v>167</v>
      </c>
      <c r="B19" s="39" t="s">
        <v>79</v>
      </c>
      <c r="C19" s="39" t="s">
        <v>79</v>
      </c>
      <c r="D19" s="39" t="s">
        <v>80</v>
      </c>
      <c r="E19" s="39" t="s">
        <v>168</v>
      </c>
      <c r="F19" s="39" t="s">
        <v>81</v>
      </c>
      <c r="G19" s="40" t="s">
        <v>169</v>
      </c>
      <c r="H19" s="52">
        <v>5500</v>
      </c>
      <c r="I19" s="53">
        <v>5300</v>
      </c>
      <c r="J19" s="53">
        <v>5600</v>
      </c>
      <c r="K19" s="53">
        <v>5900</v>
      </c>
      <c r="L19" s="53">
        <v>6500</v>
      </c>
      <c r="M19" s="53">
        <v>6800</v>
      </c>
      <c r="N19" s="53">
        <v>6000</v>
      </c>
      <c r="O19" s="53">
        <v>6200</v>
      </c>
      <c r="P19" s="53">
        <v>6200</v>
      </c>
      <c r="Q19" s="53"/>
      <c r="R19" s="53">
        <v>6500</v>
      </c>
      <c r="S19" s="53"/>
      <c r="T19" s="53">
        <v>5500</v>
      </c>
      <c r="U19" s="53"/>
      <c r="V19" s="53">
        <v>5000</v>
      </c>
      <c r="W19" s="53"/>
      <c r="X19" s="53">
        <v>6800</v>
      </c>
      <c r="Y19" s="53"/>
      <c r="Z19" s="53">
        <v>7000</v>
      </c>
      <c r="AA19" s="53"/>
      <c r="AB19" s="53">
        <v>7500</v>
      </c>
      <c r="AC19" s="53"/>
      <c r="AD19" s="53">
        <v>9000</v>
      </c>
      <c r="AE19" s="54"/>
      <c r="AF19" s="55">
        <f t="shared" si="0"/>
        <v>77100</v>
      </c>
      <c r="AG19" s="56">
        <f t="shared" si="1"/>
        <v>24200</v>
      </c>
      <c r="AH19" s="56">
        <f t="shared" si="2"/>
        <v>52900</v>
      </c>
      <c r="AI19" s="64">
        <f t="shared" si="3"/>
        <v>0.68612191958495461</v>
      </c>
      <c r="AJ19" s="56">
        <f>IF(1&lt;=Annahmen!$B$9,I19,H19*IF($D19="Einnahme",Annahmen!$B$11,IF($D19="Personal",Annahmen!$B$13,Annahmen!$B$12)))+IF(2&lt;=Annahmen!$B$9,K19,J19*IF($D19="Einnahme",Annahmen!$B$11,IF($D19="Personal",Annahmen!$B$13,Annahmen!$B$12)))+IF(3&lt;=Annahmen!$B$9,M19,L19*IF($D19="Einnahme",Annahmen!$B$11,IF($D19="Personal",Annahmen!$B$13,Annahmen!$B$12)))+IF(4&lt;=Annahmen!$B$9,O19,N19*IF($D19="Einnahme",Annahmen!$B$11,IF($D19="Personal",Annahmen!$B$13,Annahmen!$B$12)))+IF(5&lt;=Annahmen!$B$9,Q19,P19*IF($D19="Einnahme",Annahmen!$B$11,IF($D19="Personal",Annahmen!$B$13,Annahmen!$B$12)))+IF(6&lt;=Annahmen!$B$9,S19,R19*IF($D19="Einnahme",Annahmen!$B$11,IF($D19="Personal",Annahmen!$B$13,Annahmen!$B$12)))+IF(7&lt;=Annahmen!$B$9,U19,T19*IF($D19="Einnahme",Annahmen!$B$11,IF($D19="Personal",Annahmen!$B$13,Annahmen!$B$12)))+IF(8&lt;=Annahmen!$B$9,W19,V19*IF($D19="Einnahme",Annahmen!$B$11,IF($D19="Personal",Annahmen!$B$13,Annahmen!$B$12)))+IF(9&lt;=Annahmen!$B$9,Y19,X19*IF($D19="Einnahme",Annahmen!$B$11,IF($D19="Personal",Annahmen!$B$13,Annahmen!$B$12)))+IF(10&lt;=Annahmen!$B$9,AA19,Z19*IF($D19="Einnahme",Annahmen!$B$11,IF($D19="Personal",Annahmen!$B$13,Annahmen!$B$12)))+IF(11&lt;=Annahmen!$B$9,AC19,AB19*IF($D19="Einnahme",Annahmen!$B$11,IF($D19="Personal",Annahmen!$B$13,Annahmen!$B$12)))+IF(12&lt;=Annahmen!$B$9,AE19,AD19*IF($D19="Einnahme",Annahmen!$B$11,IF($D19="Personal",Annahmen!$B$13,Annahmen!$B$12)))</f>
        <v>77700</v>
      </c>
      <c r="AK19" s="45" t="str">
        <f t="shared" si="4"/>
        <v>Beobachten</v>
      </c>
    </row>
    <row r="20" spans="1:37" x14ac:dyDescent="0.25">
      <c r="A20" s="38" t="s">
        <v>170</v>
      </c>
      <c r="B20" s="39" t="s">
        <v>79</v>
      </c>
      <c r="C20" s="39" t="s">
        <v>79</v>
      </c>
      <c r="D20" s="39" t="s">
        <v>80</v>
      </c>
      <c r="E20" s="39" t="s">
        <v>171</v>
      </c>
      <c r="F20" s="39" t="s">
        <v>81</v>
      </c>
      <c r="G20" s="40" t="s">
        <v>172</v>
      </c>
      <c r="H20" s="52">
        <v>2500</v>
      </c>
      <c r="I20" s="53">
        <v>2400</v>
      </c>
      <c r="J20" s="53">
        <v>2500</v>
      </c>
      <c r="K20" s="53">
        <v>2500</v>
      </c>
      <c r="L20" s="53">
        <v>2500</v>
      </c>
      <c r="M20" s="53">
        <v>2600</v>
      </c>
      <c r="N20" s="53">
        <v>2500</v>
      </c>
      <c r="O20" s="53">
        <v>2550</v>
      </c>
      <c r="P20" s="53">
        <v>2600</v>
      </c>
      <c r="Q20" s="53"/>
      <c r="R20" s="53">
        <v>2600</v>
      </c>
      <c r="S20" s="53"/>
      <c r="T20" s="53">
        <v>2600</v>
      </c>
      <c r="U20" s="53"/>
      <c r="V20" s="53">
        <v>2600</v>
      </c>
      <c r="W20" s="53"/>
      <c r="X20" s="53">
        <v>2600</v>
      </c>
      <c r="Y20" s="53"/>
      <c r="Z20" s="53">
        <v>2600</v>
      </c>
      <c r="AA20" s="53"/>
      <c r="AB20" s="53">
        <v>2600</v>
      </c>
      <c r="AC20" s="53"/>
      <c r="AD20" s="53">
        <v>2600</v>
      </c>
      <c r="AE20" s="54"/>
      <c r="AF20" s="55">
        <f t="shared" si="0"/>
        <v>30800</v>
      </c>
      <c r="AG20" s="56">
        <f t="shared" si="1"/>
        <v>10050</v>
      </c>
      <c r="AH20" s="56">
        <f t="shared" si="2"/>
        <v>20750</v>
      </c>
      <c r="AI20" s="64">
        <f t="shared" si="3"/>
        <v>0.67370129870129869</v>
      </c>
      <c r="AJ20" s="56">
        <f>IF(1&lt;=Annahmen!$B$9,I20,H20*IF($D20="Einnahme",Annahmen!$B$11,IF($D20="Personal",Annahmen!$B$13,Annahmen!$B$12)))+IF(2&lt;=Annahmen!$B$9,K20,J20*IF($D20="Einnahme",Annahmen!$B$11,IF($D20="Personal",Annahmen!$B$13,Annahmen!$B$12)))+IF(3&lt;=Annahmen!$B$9,M20,L20*IF($D20="Einnahme",Annahmen!$B$11,IF($D20="Personal",Annahmen!$B$13,Annahmen!$B$12)))+IF(4&lt;=Annahmen!$B$9,O20,N20*IF($D20="Einnahme",Annahmen!$B$11,IF($D20="Personal",Annahmen!$B$13,Annahmen!$B$12)))+IF(5&lt;=Annahmen!$B$9,Q20,P20*IF($D20="Einnahme",Annahmen!$B$11,IF($D20="Personal",Annahmen!$B$13,Annahmen!$B$12)))+IF(6&lt;=Annahmen!$B$9,S20,R20*IF($D20="Einnahme",Annahmen!$B$11,IF($D20="Personal",Annahmen!$B$13,Annahmen!$B$12)))+IF(7&lt;=Annahmen!$B$9,U20,T20*IF($D20="Einnahme",Annahmen!$B$11,IF($D20="Personal",Annahmen!$B$13,Annahmen!$B$12)))+IF(8&lt;=Annahmen!$B$9,W20,V20*IF($D20="Einnahme",Annahmen!$B$11,IF($D20="Personal",Annahmen!$B$13,Annahmen!$B$12)))+IF(9&lt;=Annahmen!$B$9,Y20,X20*IF($D20="Einnahme",Annahmen!$B$11,IF($D20="Personal",Annahmen!$B$13,Annahmen!$B$12)))+IF(10&lt;=Annahmen!$B$9,AA20,Z20*IF($D20="Einnahme",Annahmen!$B$11,IF($D20="Personal",Annahmen!$B$13,Annahmen!$B$12)))+IF(11&lt;=Annahmen!$B$9,AC20,AB20*IF($D20="Einnahme",Annahmen!$B$11,IF($D20="Personal",Annahmen!$B$13,Annahmen!$B$12)))+IF(12&lt;=Annahmen!$B$9,AE20,AD20*IF($D20="Einnahme",Annahmen!$B$11,IF($D20="Personal",Annahmen!$B$13,Annahmen!$B$12)))</f>
        <v>30850</v>
      </c>
      <c r="AK20" s="45" t="str">
        <f t="shared" si="4"/>
        <v>Beobachten</v>
      </c>
    </row>
    <row r="21" spans="1:37" x14ac:dyDescent="0.25">
      <c r="A21" s="38" t="s">
        <v>173</v>
      </c>
      <c r="B21" s="39" t="s">
        <v>79</v>
      </c>
      <c r="C21" s="39" t="s">
        <v>79</v>
      </c>
      <c r="D21" s="39" t="s">
        <v>80</v>
      </c>
      <c r="E21" s="39" t="s">
        <v>174</v>
      </c>
      <c r="F21" s="39" t="s">
        <v>72</v>
      </c>
      <c r="G21" s="40" t="s">
        <v>175</v>
      </c>
      <c r="H21" s="52">
        <v>0</v>
      </c>
      <c r="I21" s="53">
        <v>0</v>
      </c>
      <c r="J21" s="53">
        <v>0</v>
      </c>
      <c r="K21" s="53">
        <v>0</v>
      </c>
      <c r="L21" s="53">
        <v>7500</v>
      </c>
      <c r="M21" s="53">
        <v>7900</v>
      </c>
      <c r="N21" s="53">
        <v>0</v>
      </c>
      <c r="O21" s="53">
        <v>0</v>
      </c>
      <c r="P21" s="53">
        <v>0</v>
      </c>
      <c r="Q21" s="53"/>
      <c r="R21" s="53">
        <v>1500</v>
      </c>
      <c r="S21" s="53"/>
      <c r="T21" s="53">
        <v>0</v>
      </c>
      <c r="U21" s="53"/>
      <c r="V21" s="53">
        <v>0</v>
      </c>
      <c r="W21" s="53"/>
      <c r="X21" s="53">
        <v>8000</v>
      </c>
      <c r="Y21" s="53"/>
      <c r="Z21" s="53">
        <v>0</v>
      </c>
      <c r="AA21" s="53"/>
      <c r="AB21" s="53">
        <v>0</v>
      </c>
      <c r="AC21" s="53"/>
      <c r="AD21" s="53">
        <v>2500</v>
      </c>
      <c r="AE21" s="54"/>
      <c r="AF21" s="55">
        <f t="shared" si="0"/>
        <v>19500</v>
      </c>
      <c r="AG21" s="56">
        <f t="shared" si="1"/>
        <v>7900</v>
      </c>
      <c r="AH21" s="56">
        <f t="shared" si="2"/>
        <v>11600</v>
      </c>
      <c r="AI21" s="64">
        <f t="shared" si="3"/>
        <v>0.59487179487179487</v>
      </c>
      <c r="AJ21" s="56">
        <f>IF(1&lt;=Annahmen!$B$9,I21,H21*IF($D21="Einnahme",Annahmen!$B$11,IF($D21="Personal",Annahmen!$B$13,Annahmen!$B$12)))+IF(2&lt;=Annahmen!$B$9,K21,J21*IF($D21="Einnahme",Annahmen!$B$11,IF($D21="Personal",Annahmen!$B$13,Annahmen!$B$12)))+IF(3&lt;=Annahmen!$B$9,M21,L21*IF($D21="Einnahme",Annahmen!$B$11,IF($D21="Personal",Annahmen!$B$13,Annahmen!$B$12)))+IF(4&lt;=Annahmen!$B$9,O21,N21*IF($D21="Einnahme",Annahmen!$B$11,IF($D21="Personal",Annahmen!$B$13,Annahmen!$B$12)))+IF(5&lt;=Annahmen!$B$9,Q21,P21*IF($D21="Einnahme",Annahmen!$B$11,IF($D21="Personal",Annahmen!$B$13,Annahmen!$B$12)))+IF(6&lt;=Annahmen!$B$9,S21,R21*IF($D21="Einnahme",Annahmen!$B$11,IF($D21="Personal",Annahmen!$B$13,Annahmen!$B$12)))+IF(7&lt;=Annahmen!$B$9,U21,T21*IF($D21="Einnahme",Annahmen!$B$11,IF($D21="Personal",Annahmen!$B$13,Annahmen!$B$12)))+IF(8&lt;=Annahmen!$B$9,W21,V21*IF($D21="Einnahme",Annahmen!$B$11,IF($D21="Personal",Annahmen!$B$13,Annahmen!$B$12)))+IF(9&lt;=Annahmen!$B$9,Y21,X21*IF($D21="Einnahme",Annahmen!$B$11,IF($D21="Personal",Annahmen!$B$13,Annahmen!$B$12)))+IF(10&lt;=Annahmen!$B$9,AA21,Z21*IF($D21="Einnahme",Annahmen!$B$11,IF($D21="Personal",Annahmen!$B$13,Annahmen!$B$12)))+IF(11&lt;=Annahmen!$B$9,AC21,AB21*IF($D21="Einnahme",Annahmen!$B$11,IF($D21="Personal",Annahmen!$B$13,Annahmen!$B$12)))+IF(12&lt;=Annahmen!$B$9,AE21,AD21*IF($D21="Einnahme",Annahmen!$B$11,IF($D21="Personal",Annahmen!$B$13,Annahmen!$B$12)))</f>
        <v>19900</v>
      </c>
      <c r="AK21" s="45" t="str">
        <f t="shared" si="4"/>
        <v>Beobachten</v>
      </c>
    </row>
    <row r="22" spans="1:37" x14ac:dyDescent="0.25">
      <c r="A22" s="38" t="s">
        <v>176</v>
      </c>
      <c r="B22" s="39" t="s">
        <v>83</v>
      </c>
      <c r="C22" s="39" t="s">
        <v>88</v>
      </c>
      <c r="D22" s="39" t="s">
        <v>80</v>
      </c>
      <c r="E22" s="39" t="s">
        <v>177</v>
      </c>
      <c r="F22" s="39" t="s">
        <v>93</v>
      </c>
      <c r="G22" s="40" t="s">
        <v>178</v>
      </c>
      <c r="H22" s="52">
        <v>3200</v>
      </c>
      <c r="I22" s="53">
        <v>3200</v>
      </c>
      <c r="J22" s="53">
        <v>3200</v>
      </c>
      <c r="K22" s="53">
        <v>3200</v>
      </c>
      <c r="L22" s="53">
        <v>3200</v>
      </c>
      <c r="M22" s="53">
        <v>3200</v>
      </c>
      <c r="N22" s="53">
        <v>3200</v>
      </c>
      <c r="O22" s="53">
        <v>3300</v>
      </c>
      <c r="P22" s="53">
        <v>3200</v>
      </c>
      <c r="Q22" s="53"/>
      <c r="R22" s="53">
        <v>3200</v>
      </c>
      <c r="S22" s="53"/>
      <c r="T22" s="53">
        <v>3200</v>
      </c>
      <c r="U22" s="53"/>
      <c r="V22" s="53">
        <v>3200</v>
      </c>
      <c r="W22" s="53"/>
      <c r="X22" s="53">
        <v>3200</v>
      </c>
      <c r="Y22" s="53"/>
      <c r="Z22" s="53">
        <v>3200</v>
      </c>
      <c r="AA22" s="53"/>
      <c r="AB22" s="53">
        <v>3200</v>
      </c>
      <c r="AC22" s="53"/>
      <c r="AD22" s="53">
        <v>3200</v>
      </c>
      <c r="AE22" s="54"/>
      <c r="AF22" s="55">
        <f t="shared" si="0"/>
        <v>38400</v>
      </c>
      <c r="AG22" s="56">
        <f t="shared" si="1"/>
        <v>12900</v>
      </c>
      <c r="AH22" s="56">
        <f t="shared" si="2"/>
        <v>25500</v>
      </c>
      <c r="AI22" s="64">
        <f t="shared" si="3"/>
        <v>0.6640625</v>
      </c>
      <c r="AJ22" s="56">
        <f>IF(1&lt;=Annahmen!$B$9,I22,H22*IF($D22="Einnahme",Annahmen!$B$11,IF($D22="Personal",Annahmen!$B$13,Annahmen!$B$12)))+IF(2&lt;=Annahmen!$B$9,K22,J22*IF($D22="Einnahme",Annahmen!$B$11,IF($D22="Personal",Annahmen!$B$13,Annahmen!$B$12)))+IF(3&lt;=Annahmen!$B$9,M22,L22*IF($D22="Einnahme",Annahmen!$B$11,IF($D22="Personal",Annahmen!$B$13,Annahmen!$B$12)))+IF(4&lt;=Annahmen!$B$9,O22,N22*IF($D22="Einnahme",Annahmen!$B$11,IF($D22="Personal",Annahmen!$B$13,Annahmen!$B$12)))+IF(5&lt;=Annahmen!$B$9,Q22,P22*IF($D22="Einnahme",Annahmen!$B$11,IF($D22="Personal",Annahmen!$B$13,Annahmen!$B$12)))+IF(6&lt;=Annahmen!$B$9,S22,R22*IF($D22="Einnahme",Annahmen!$B$11,IF($D22="Personal",Annahmen!$B$13,Annahmen!$B$12)))+IF(7&lt;=Annahmen!$B$9,U22,T22*IF($D22="Einnahme",Annahmen!$B$11,IF($D22="Personal",Annahmen!$B$13,Annahmen!$B$12)))+IF(8&lt;=Annahmen!$B$9,W22,V22*IF($D22="Einnahme",Annahmen!$B$11,IF($D22="Personal",Annahmen!$B$13,Annahmen!$B$12)))+IF(9&lt;=Annahmen!$B$9,Y22,X22*IF($D22="Einnahme",Annahmen!$B$11,IF($D22="Personal",Annahmen!$B$13,Annahmen!$B$12)))+IF(10&lt;=Annahmen!$B$9,AA22,Z22*IF($D22="Einnahme",Annahmen!$B$11,IF($D22="Personal",Annahmen!$B$13,Annahmen!$B$12)))+IF(11&lt;=Annahmen!$B$9,AC22,AB22*IF($D22="Einnahme",Annahmen!$B$11,IF($D22="Personal",Annahmen!$B$13,Annahmen!$B$12)))+IF(12&lt;=Annahmen!$B$9,AE22,AD22*IF($D22="Einnahme",Annahmen!$B$11,IF($D22="Personal",Annahmen!$B$13,Annahmen!$B$12)))</f>
        <v>38500</v>
      </c>
      <c r="AK22" s="45" t="str">
        <f t="shared" si="4"/>
        <v>Beobachten</v>
      </c>
    </row>
    <row r="23" spans="1:37" x14ac:dyDescent="0.25">
      <c r="A23" s="38" t="s">
        <v>179</v>
      </c>
      <c r="B23" s="39" t="s">
        <v>94</v>
      </c>
      <c r="C23" s="39" t="s">
        <v>88</v>
      </c>
      <c r="D23" s="39" t="s">
        <v>80</v>
      </c>
      <c r="E23" s="39" t="s">
        <v>180</v>
      </c>
      <c r="F23" s="39" t="s">
        <v>85</v>
      </c>
      <c r="G23" s="40" t="s">
        <v>181</v>
      </c>
      <c r="H23" s="52">
        <v>2600</v>
      </c>
      <c r="I23" s="53">
        <v>2500</v>
      </c>
      <c r="J23" s="53">
        <v>2600</v>
      </c>
      <c r="K23" s="53">
        <v>2600</v>
      </c>
      <c r="L23" s="53">
        <v>2700</v>
      </c>
      <c r="M23" s="53">
        <v>2700</v>
      </c>
      <c r="N23" s="53">
        <v>2700</v>
      </c>
      <c r="O23" s="53">
        <v>2700</v>
      </c>
      <c r="P23" s="53">
        <v>2700</v>
      </c>
      <c r="Q23" s="53"/>
      <c r="R23" s="53">
        <v>2700</v>
      </c>
      <c r="S23" s="53"/>
      <c r="T23" s="53">
        <v>2800</v>
      </c>
      <c r="U23" s="53"/>
      <c r="V23" s="53">
        <v>2800</v>
      </c>
      <c r="W23" s="53"/>
      <c r="X23" s="53">
        <v>2800</v>
      </c>
      <c r="Y23" s="53"/>
      <c r="Z23" s="53">
        <v>2800</v>
      </c>
      <c r="AA23" s="53"/>
      <c r="AB23" s="53">
        <v>2900</v>
      </c>
      <c r="AC23" s="53"/>
      <c r="AD23" s="53">
        <v>2900</v>
      </c>
      <c r="AE23" s="54"/>
      <c r="AF23" s="55">
        <f t="shared" si="0"/>
        <v>33000</v>
      </c>
      <c r="AG23" s="56">
        <f t="shared" si="1"/>
        <v>10500</v>
      </c>
      <c r="AH23" s="56">
        <f t="shared" si="2"/>
        <v>22500</v>
      </c>
      <c r="AI23" s="64">
        <f t="shared" si="3"/>
        <v>0.68181818181818177</v>
      </c>
      <c r="AJ23" s="56">
        <f>IF(1&lt;=Annahmen!$B$9,I23,H23*IF($D23="Einnahme",Annahmen!$B$11,IF($D23="Personal",Annahmen!$B$13,Annahmen!$B$12)))+IF(2&lt;=Annahmen!$B$9,K23,J23*IF($D23="Einnahme",Annahmen!$B$11,IF($D23="Personal",Annahmen!$B$13,Annahmen!$B$12)))+IF(3&lt;=Annahmen!$B$9,M23,L23*IF($D23="Einnahme",Annahmen!$B$11,IF($D23="Personal",Annahmen!$B$13,Annahmen!$B$12)))+IF(4&lt;=Annahmen!$B$9,O23,N23*IF($D23="Einnahme",Annahmen!$B$11,IF($D23="Personal",Annahmen!$B$13,Annahmen!$B$12)))+IF(5&lt;=Annahmen!$B$9,Q23,P23*IF($D23="Einnahme",Annahmen!$B$11,IF($D23="Personal",Annahmen!$B$13,Annahmen!$B$12)))+IF(6&lt;=Annahmen!$B$9,S23,R23*IF($D23="Einnahme",Annahmen!$B$11,IF($D23="Personal",Annahmen!$B$13,Annahmen!$B$12)))+IF(7&lt;=Annahmen!$B$9,U23,T23*IF($D23="Einnahme",Annahmen!$B$11,IF($D23="Personal",Annahmen!$B$13,Annahmen!$B$12)))+IF(8&lt;=Annahmen!$B$9,W23,V23*IF($D23="Einnahme",Annahmen!$B$11,IF($D23="Personal",Annahmen!$B$13,Annahmen!$B$12)))+IF(9&lt;=Annahmen!$B$9,Y23,X23*IF($D23="Einnahme",Annahmen!$B$11,IF($D23="Personal",Annahmen!$B$13,Annahmen!$B$12)))+IF(10&lt;=Annahmen!$B$9,AA23,Z23*IF($D23="Einnahme",Annahmen!$B$11,IF($D23="Personal",Annahmen!$B$13,Annahmen!$B$12)))+IF(11&lt;=Annahmen!$B$9,AC23,AB23*IF($D23="Einnahme",Annahmen!$B$11,IF($D23="Personal",Annahmen!$B$13,Annahmen!$B$12)))+IF(12&lt;=Annahmen!$B$9,AE23,AD23*IF($D23="Einnahme",Annahmen!$B$11,IF($D23="Personal",Annahmen!$B$13,Annahmen!$B$12)))</f>
        <v>32900</v>
      </c>
      <c r="AK23" s="45" t="str">
        <f t="shared" si="4"/>
        <v>Im Plan</v>
      </c>
    </row>
    <row r="24" spans="1:37" x14ac:dyDescent="0.25">
      <c r="A24" s="38" t="s">
        <v>182</v>
      </c>
      <c r="B24" s="39" t="s">
        <v>83</v>
      </c>
      <c r="C24" s="39" t="s">
        <v>88</v>
      </c>
      <c r="D24" s="39" t="s">
        <v>80</v>
      </c>
      <c r="E24" s="39" t="s">
        <v>183</v>
      </c>
      <c r="F24" s="39" t="s">
        <v>93</v>
      </c>
      <c r="G24" s="40" t="s">
        <v>184</v>
      </c>
      <c r="H24" s="52">
        <v>900</v>
      </c>
      <c r="I24" s="53">
        <v>900</v>
      </c>
      <c r="J24" s="53">
        <v>900</v>
      </c>
      <c r="K24" s="53">
        <v>900</v>
      </c>
      <c r="L24" s="53">
        <v>900</v>
      </c>
      <c r="M24" s="53">
        <v>900</v>
      </c>
      <c r="N24" s="53">
        <v>900</v>
      </c>
      <c r="O24" s="53">
        <v>900</v>
      </c>
      <c r="P24" s="53">
        <v>900</v>
      </c>
      <c r="Q24" s="53"/>
      <c r="R24" s="53">
        <v>900</v>
      </c>
      <c r="S24" s="53"/>
      <c r="T24" s="53">
        <v>900</v>
      </c>
      <c r="U24" s="53"/>
      <c r="V24" s="53">
        <v>900</v>
      </c>
      <c r="W24" s="53"/>
      <c r="X24" s="53">
        <v>900</v>
      </c>
      <c r="Y24" s="53"/>
      <c r="Z24" s="53">
        <v>900</v>
      </c>
      <c r="AA24" s="53"/>
      <c r="AB24" s="53">
        <v>900</v>
      </c>
      <c r="AC24" s="53"/>
      <c r="AD24" s="53">
        <v>900</v>
      </c>
      <c r="AE24" s="54"/>
      <c r="AF24" s="55">
        <f t="shared" si="0"/>
        <v>10800</v>
      </c>
      <c r="AG24" s="56">
        <f t="shared" si="1"/>
        <v>3600</v>
      </c>
      <c r="AH24" s="56">
        <f t="shared" si="2"/>
        <v>7200</v>
      </c>
      <c r="AI24" s="64">
        <f t="shared" si="3"/>
        <v>0.66666666666666663</v>
      </c>
      <c r="AJ24" s="56">
        <f>IF(1&lt;=Annahmen!$B$9,I24,H24*IF($D24="Einnahme",Annahmen!$B$11,IF($D24="Personal",Annahmen!$B$13,Annahmen!$B$12)))+IF(2&lt;=Annahmen!$B$9,K24,J24*IF($D24="Einnahme",Annahmen!$B$11,IF($D24="Personal",Annahmen!$B$13,Annahmen!$B$12)))+IF(3&lt;=Annahmen!$B$9,M24,L24*IF($D24="Einnahme",Annahmen!$B$11,IF($D24="Personal",Annahmen!$B$13,Annahmen!$B$12)))+IF(4&lt;=Annahmen!$B$9,O24,N24*IF($D24="Einnahme",Annahmen!$B$11,IF($D24="Personal",Annahmen!$B$13,Annahmen!$B$12)))+IF(5&lt;=Annahmen!$B$9,Q24,P24*IF($D24="Einnahme",Annahmen!$B$11,IF($D24="Personal",Annahmen!$B$13,Annahmen!$B$12)))+IF(6&lt;=Annahmen!$B$9,S24,R24*IF($D24="Einnahme",Annahmen!$B$11,IF($D24="Personal",Annahmen!$B$13,Annahmen!$B$12)))+IF(7&lt;=Annahmen!$B$9,U24,T24*IF($D24="Einnahme",Annahmen!$B$11,IF($D24="Personal",Annahmen!$B$13,Annahmen!$B$12)))+IF(8&lt;=Annahmen!$B$9,W24,V24*IF($D24="Einnahme",Annahmen!$B$11,IF($D24="Personal",Annahmen!$B$13,Annahmen!$B$12)))+IF(9&lt;=Annahmen!$B$9,Y24,X24*IF($D24="Einnahme",Annahmen!$B$11,IF($D24="Personal",Annahmen!$B$13,Annahmen!$B$12)))+IF(10&lt;=Annahmen!$B$9,AA24,Z24*IF($D24="Einnahme",Annahmen!$B$11,IF($D24="Personal",Annahmen!$B$13,Annahmen!$B$12)))+IF(11&lt;=Annahmen!$B$9,AC24,AB24*IF($D24="Einnahme",Annahmen!$B$11,IF($D24="Personal",Annahmen!$B$13,Annahmen!$B$12)))+IF(12&lt;=Annahmen!$B$9,AE24,AD24*IF($D24="Einnahme",Annahmen!$B$11,IF($D24="Personal",Annahmen!$B$13,Annahmen!$B$12)))</f>
        <v>10800</v>
      </c>
      <c r="AK24" s="45" t="str">
        <f t="shared" si="4"/>
        <v>Im Plan</v>
      </c>
    </row>
    <row r="25" spans="1:37" x14ac:dyDescent="0.25">
      <c r="A25" s="38" t="s">
        <v>185</v>
      </c>
      <c r="B25" s="39" t="s">
        <v>83</v>
      </c>
      <c r="C25" s="39" t="s">
        <v>88</v>
      </c>
      <c r="D25" s="39" t="s">
        <v>80</v>
      </c>
      <c r="E25" s="39" t="s">
        <v>186</v>
      </c>
      <c r="F25" s="39" t="s">
        <v>93</v>
      </c>
      <c r="G25" s="40" t="s">
        <v>187</v>
      </c>
      <c r="H25" s="52">
        <v>1600</v>
      </c>
      <c r="I25" s="53">
        <v>1500</v>
      </c>
      <c r="J25" s="53">
        <v>1600</v>
      </c>
      <c r="K25" s="53">
        <v>1600</v>
      </c>
      <c r="L25" s="53">
        <v>1600</v>
      </c>
      <c r="M25" s="53">
        <v>1600</v>
      </c>
      <c r="N25" s="53">
        <v>1600</v>
      </c>
      <c r="O25" s="53">
        <v>1700</v>
      </c>
      <c r="P25" s="53">
        <v>1600</v>
      </c>
      <c r="Q25" s="53"/>
      <c r="R25" s="53">
        <v>1600</v>
      </c>
      <c r="S25" s="53"/>
      <c r="T25" s="53">
        <v>1600</v>
      </c>
      <c r="U25" s="53"/>
      <c r="V25" s="53">
        <v>1600</v>
      </c>
      <c r="W25" s="53"/>
      <c r="X25" s="53">
        <v>1600</v>
      </c>
      <c r="Y25" s="53"/>
      <c r="Z25" s="53">
        <v>1600</v>
      </c>
      <c r="AA25" s="53"/>
      <c r="AB25" s="53">
        <v>1600</v>
      </c>
      <c r="AC25" s="53"/>
      <c r="AD25" s="53">
        <v>1600</v>
      </c>
      <c r="AE25" s="54"/>
      <c r="AF25" s="55">
        <f t="shared" si="0"/>
        <v>19200</v>
      </c>
      <c r="AG25" s="56">
        <f t="shared" si="1"/>
        <v>6400</v>
      </c>
      <c r="AH25" s="56">
        <f t="shared" si="2"/>
        <v>12800</v>
      </c>
      <c r="AI25" s="64">
        <f t="shared" si="3"/>
        <v>0.66666666666666663</v>
      </c>
      <c r="AJ25" s="56">
        <f>IF(1&lt;=Annahmen!$B$9,I25,H25*IF($D25="Einnahme",Annahmen!$B$11,IF($D25="Personal",Annahmen!$B$13,Annahmen!$B$12)))+IF(2&lt;=Annahmen!$B$9,K25,J25*IF($D25="Einnahme",Annahmen!$B$11,IF($D25="Personal",Annahmen!$B$13,Annahmen!$B$12)))+IF(3&lt;=Annahmen!$B$9,M25,L25*IF($D25="Einnahme",Annahmen!$B$11,IF($D25="Personal",Annahmen!$B$13,Annahmen!$B$12)))+IF(4&lt;=Annahmen!$B$9,O25,N25*IF($D25="Einnahme",Annahmen!$B$11,IF($D25="Personal",Annahmen!$B$13,Annahmen!$B$12)))+IF(5&lt;=Annahmen!$B$9,Q25,P25*IF($D25="Einnahme",Annahmen!$B$11,IF($D25="Personal",Annahmen!$B$13,Annahmen!$B$12)))+IF(6&lt;=Annahmen!$B$9,S25,R25*IF($D25="Einnahme",Annahmen!$B$11,IF($D25="Personal",Annahmen!$B$13,Annahmen!$B$12)))+IF(7&lt;=Annahmen!$B$9,U25,T25*IF($D25="Einnahme",Annahmen!$B$11,IF($D25="Personal",Annahmen!$B$13,Annahmen!$B$12)))+IF(8&lt;=Annahmen!$B$9,W25,V25*IF($D25="Einnahme",Annahmen!$B$11,IF($D25="Personal",Annahmen!$B$13,Annahmen!$B$12)))+IF(9&lt;=Annahmen!$B$9,Y25,X25*IF($D25="Einnahme",Annahmen!$B$11,IF($D25="Personal",Annahmen!$B$13,Annahmen!$B$12)))+IF(10&lt;=Annahmen!$B$9,AA25,Z25*IF($D25="Einnahme",Annahmen!$B$11,IF($D25="Personal",Annahmen!$B$13,Annahmen!$B$12)))+IF(11&lt;=Annahmen!$B$9,AC25,AB25*IF($D25="Einnahme",Annahmen!$B$11,IF($D25="Personal",Annahmen!$B$13,Annahmen!$B$12)))+IF(12&lt;=Annahmen!$B$9,AE25,AD25*IF($D25="Einnahme",Annahmen!$B$11,IF($D25="Personal",Annahmen!$B$13,Annahmen!$B$12)))</f>
        <v>19200</v>
      </c>
      <c r="AK25" s="45" t="str">
        <f t="shared" si="4"/>
        <v>Im Plan</v>
      </c>
    </row>
    <row r="26" spans="1:37" x14ac:dyDescent="0.25">
      <c r="A26" s="38" t="s">
        <v>188</v>
      </c>
      <c r="B26" s="39" t="s">
        <v>69</v>
      </c>
      <c r="C26" s="39" t="s">
        <v>88</v>
      </c>
      <c r="D26" s="39" t="s">
        <v>80</v>
      </c>
      <c r="E26" s="39" t="s">
        <v>189</v>
      </c>
      <c r="F26" s="39" t="s">
        <v>72</v>
      </c>
      <c r="G26" s="40" t="s">
        <v>190</v>
      </c>
      <c r="H26" s="52">
        <v>1500</v>
      </c>
      <c r="I26" s="53">
        <v>1300</v>
      </c>
      <c r="J26" s="53">
        <v>1600</v>
      </c>
      <c r="K26" s="53">
        <v>1700</v>
      </c>
      <c r="L26" s="53">
        <v>2200</v>
      </c>
      <c r="M26" s="53">
        <v>2400</v>
      </c>
      <c r="N26" s="53">
        <v>1800</v>
      </c>
      <c r="O26" s="53">
        <v>2100</v>
      </c>
      <c r="P26" s="53">
        <v>2100</v>
      </c>
      <c r="Q26" s="53"/>
      <c r="R26" s="53">
        <v>2200</v>
      </c>
      <c r="S26" s="53"/>
      <c r="T26" s="53">
        <v>1500</v>
      </c>
      <c r="U26" s="53"/>
      <c r="V26" s="53">
        <v>1200</v>
      </c>
      <c r="W26" s="53"/>
      <c r="X26" s="53">
        <v>2300</v>
      </c>
      <c r="Y26" s="53"/>
      <c r="Z26" s="53">
        <v>2500</v>
      </c>
      <c r="AA26" s="53"/>
      <c r="AB26" s="53">
        <v>2600</v>
      </c>
      <c r="AC26" s="53"/>
      <c r="AD26" s="53">
        <v>3000</v>
      </c>
      <c r="AE26" s="54"/>
      <c r="AF26" s="55">
        <f t="shared" si="0"/>
        <v>24500</v>
      </c>
      <c r="AG26" s="56">
        <f t="shared" si="1"/>
        <v>7500</v>
      </c>
      <c r="AH26" s="56">
        <f t="shared" si="2"/>
        <v>17000</v>
      </c>
      <c r="AI26" s="64">
        <f t="shared" si="3"/>
        <v>0.69387755102040816</v>
      </c>
      <c r="AJ26" s="56">
        <f>IF(1&lt;=Annahmen!$B$9,I26,H26*IF($D26="Einnahme",Annahmen!$B$11,IF($D26="Personal",Annahmen!$B$13,Annahmen!$B$12)))+IF(2&lt;=Annahmen!$B$9,K26,J26*IF($D26="Einnahme",Annahmen!$B$11,IF($D26="Personal",Annahmen!$B$13,Annahmen!$B$12)))+IF(3&lt;=Annahmen!$B$9,M26,L26*IF($D26="Einnahme",Annahmen!$B$11,IF($D26="Personal",Annahmen!$B$13,Annahmen!$B$12)))+IF(4&lt;=Annahmen!$B$9,O26,N26*IF($D26="Einnahme",Annahmen!$B$11,IF($D26="Personal",Annahmen!$B$13,Annahmen!$B$12)))+IF(5&lt;=Annahmen!$B$9,Q26,P26*IF($D26="Einnahme",Annahmen!$B$11,IF($D26="Personal",Annahmen!$B$13,Annahmen!$B$12)))+IF(6&lt;=Annahmen!$B$9,S26,R26*IF($D26="Einnahme",Annahmen!$B$11,IF($D26="Personal",Annahmen!$B$13,Annahmen!$B$12)))+IF(7&lt;=Annahmen!$B$9,U26,T26*IF($D26="Einnahme",Annahmen!$B$11,IF($D26="Personal",Annahmen!$B$13,Annahmen!$B$12)))+IF(8&lt;=Annahmen!$B$9,W26,V26*IF($D26="Einnahme",Annahmen!$B$11,IF($D26="Personal",Annahmen!$B$13,Annahmen!$B$12)))+IF(9&lt;=Annahmen!$B$9,Y26,X26*IF($D26="Einnahme",Annahmen!$B$11,IF($D26="Personal",Annahmen!$B$13,Annahmen!$B$12)))+IF(10&lt;=Annahmen!$B$9,AA26,Z26*IF($D26="Einnahme",Annahmen!$B$11,IF($D26="Personal",Annahmen!$B$13,Annahmen!$B$12)))+IF(11&lt;=Annahmen!$B$9,AC26,AB26*IF($D26="Einnahme",Annahmen!$B$11,IF($D26="Personal",Annahmen!$B$13,Annahmen!$B$12)))+IF(12&lt;=Annahmen!$B$9,AE26,AD26*IF($D26="Einnahme",Annahmen!$B$11,IF($D26="Personal",Annahmen!$B$13,Annahmen!$B$12)))</f>
        <v>24900</v>
      </c>
      <c r="AK26" s="45" t="str">
        <f t="shared" si="4"/>
        <v>Beobachten</v>
      </c>
    </row>
    <row r="27" spans="1:37" x14ac:dyDescent="0.25">
      <c r="A27" s="38" t="s">
        <v>191</v>
      </c>
      <c r="B27" s="39" t="s">
        <v>94</v>
      </c>
      <c r="C27" s="39" t="s">
        <v>95</v>
      </c>
      <c r="D27" s="39" t="s">
        <v>89</v>
      </c>
      <c r="E27" s="39" t="s">
        <v>192</v>
      </c>
      <c r="F27" s="39" t="s">
        <v>85</v>
      </c>
      <c r="G27" s="40" t="s">
        <v>193</v>
      </c>
      <c r="H27" s="52">
        <v>0</v>
      </c>
      <c r="I27" s="53">
        <v>0</v>
      </c>
      <c r="J27" s="53">
        <v>0</v>
      </c>
      <c r="K27" s="53">
        <v>0</v>
      </c>
      <c r="L27" s="53">
        <v>6500</v>
      </c>
      <c r="M27" s="53">
        <v>6200</v>
      </c>
      <c r="N27" s="53">
        <v>0</v>
      </c>
      <c r="O27" s="53">
        <v>0</v>
      </c>
      <c r="P27" s="53">
        <v>0</v>
      </c>
      <c r="Q27" s="53"/>
      <c r="R27" s="53">
        <v>0</v>
      </c>
      <c r="S27" s="53"/>
      <c r="T27" s="53">
        <v>0</v>
      </c>
      <c r="U27" s="53"/>
      <c r="V27" s="53">
        <v>0</v>
      </c>
      <c r="W27" s="53"/>
      <c r="X27" s="53">
        <v>0</v>
      </c>
      <c r="Y27" s="53"/>
      <c r="Z27" s="53">
        <v>0</v>
      </c>
      <c r="AA27" s="53"/>
      <c r="AB27" s="53">
        <v>7000</v>
      </c>
      <c r="AC27" s="53"/>
      <c r="AD27" s="53">
        <v>0</v>
      </c>
      <c r="AE27" s="54"/>
      <c r="AF27" s="55">
        <f t="shared" si="0"/>
        <v>13500</v>
      </c>
      <c r="AG27" s="56">
        <f t="shared" si="1"/>
        <v>6200</v>
      </c>
      <c r="AH27" s="56">
        <f t="shared" si="2"/>
        <v>7300</v>
      </c>
      <c r="AI27" s="64">
        <f t="shared" si="3"/>
        <v>0.54074074074074074</v>
      </c>
      <c r="AJ27" s="56">
        <f>IF(1&lt;=Annahmen!$B$9,I27,H27*IF($D27="Einnahme",Annahmen!$B$11,IF($D27="Personal",Annahmen!$B$13,Annahmen!$B$12)))+IF(2&lt;=Annahmen!$B$9,K27,J27*IF($D27="Einnahme",Annahmen!$B$11,IF($D27="Personal",Annahmen!$B$13,Annahmen!$B$12)))+IF(3&lt;=Annahmen!$B$9,M27,L27*IF($D27="Einnahme",Annahmen!$B$11,IF($D27="Personal",Annahmen!$B$13,Annahmen!$B$12)))+IF(4&lt;=Annahmen!$B$9,O27,N27*IF($D27="Einnahme",Annahmen!$B$11,IF($D27="Personal",Annahmen!$B$13,Annahmen!$B$12)))+IF(5&lt;=Annahmen!$B$9,Q27,P27*IF($D27="Einnahme",Annahmen!$B$11,IF($D27="Personal",Annahmen!$B$13,Annahmen!$B$12)))+IF(6&lt;=Annahmen!$B$9,S27,R27*IF($D27="Einnahme",Annahmen!$B$11,IF($D27="Personal",Annahmen!$B$13,Annahmen!$B$12)))+IF(7&lt;=Annahmen!$B$9,U27,T27*IF($D27="Einnahme",Annahmen!$B$11,IF($D27="Personal",Annahmen!$B$13,Annahmen!$B$12)))+IF(8&lt;=Annahmen!$B$9,W27,V27*IF($D27="Einnahme",Annahmen!$B$11,IF($D27="Personal",Annahmen!$B$13,Annahmen!$B$12)))+IF(9&lt;=Annahmen!$B$9,Y27,X27*IF($D27="Einnahme",Annahmen!$B$11,IF($D27="Personal",Annahmen!$B$13,Annahmen!$B$12)))+IF(10&lt;=Annahmen!$B$9,AA27,Z27*IF($D27="Einnahme",Annahmen!$B$11,IF($D27="Personal",Annahmen!$B$13,Annahmen!$B$12)))+IF(11&lt;=Annahmen!$B$9,AC27,AB27*IF($D27="Einnahme",Annahmen!$B$11,IF($D27="Personal",Annahmen!$B$13,Annahmen!$B$12)))+IF(12&lt;=Annahmen!$B$9,AE27,AD27*IF($D27="Einnahme",Annahmen!$B$11,IF($D27="Personal",Annahmen!$B$13,Annahmen!$B$12)))</f>
        <v>13200</v>
      </c>
      <c r="AK27" s="45" t="str">
        <f t="shared" si="4"/>
        <v>Im Plan</v>
      </c>
    </row>
    <row r="28" spans="1:37" x14ac:dyDescent="0.25">
      <c r="A28" s="38" t="s">
        <v>194</v>
      </c>
      <c r="B28" s="39" t="s">
        <v>79</v>
      </c>
      <c r="C28" s="39" t="s">
        <v>95</v>
      </c>
      <c r="D28" s="39" t="s">
        <v>89</v>
      </c>
      <c r="E28" s="39" t="s">
        <v>195</v>
      </c>
      <c r="F28" s="39" t="s">
        <v>81</v>
      </c>
      <c r="G28" s="40" t="s">
        <v>196</v>
      </c>
      <c r="H28" s="52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4000</v>
      </c>
      <c r="O28" s="53">
        <v>3800</v>
      </c>
      <c r="P28" s="53">
        <v>5000</v>
      </c>
      <c r="Q28" s="53"/>
      <c r="R28" s="53">
        <v>3000</v>
      </c>
      <c r="S28" s="53"/>
      <c r="T28" s="53">
        <v>0</v>
      </c>
      <c r="U28" s="53"/>
      <c r="V28" s="53">
        <v>0</v>
      </c>
      <c r="W28" s="53"/>
      <c r="X28" s="53">
        <v>0</v>
      </c>
      <c r="Y28" s="53"/>
      <c r="Z28" s="53">
        <v>0</v>
      </c>
      <c r="AA28" s="53"/>
      <c r="AB28" s="53">
        <v>0</v>
      </c>
      <c r="AC28" s="53"/>
      <c r="AD28" s="53">
        <v>0</v>
      </c>
      <c r="AE28" s="54"/>
      <c r="AF28" s="55">
        <f t="shared" si="0"/>
        <v>12000</v>
      </c>
      <c r="AG28" s="56">
        <f t="shared" si="1"/>
        <v>3800</v>
      </c>
      <c r="AH28" s="56">
        <f t="shared" si="2"/>
        <v>8200</v>
      </c>
      <c r="AI28" s="64">
        <f t="shared" si="3"/>
        <v>0.68333333333333335</v>
      </c>
      <c r="AJ28" s="56">
        <f>IF(1&lt;=Annahmen!$B$9,I28,H28*IF($D28="Einnahme",Annahmen!$B$11,IF($D28="Personal",Annahmen!$B$13,Annahmen!$B$12)))+IF(2&lt;=Annahmen!$B$9,K28,J28*IF($D28="Einnahme",Annahmen!$B$11,IF($D28="Personal",Annahmen!$B$13,Annahmen!$B$12)))+IF(3&lt;=Annahmen!$B$9,M28,L28*IF($D28="Einnahme",Annahmen!$B$11,IF($D28="Personal",Annahmen!$B$13,Annahmen!$B$12)))+IF(4&lt;=Annahmen!$B$9,O28,N28*IF($D28="Einnahme",Annahmen!$B$11,IF($D28="Personal",Annahmen!$B$13,Annahmen!$B$12)))+IF(5&lt;=Annahmen!$B$9,Q28,P28*IF($D28="Einnahme",Annahmen!$B$11,IF($D28="Personal",Annahmen!$B$13,Annahmen!$B$12)))+IF(6&lt;=Annahmen!$B$9,S28,R28*IF($D28="Einnahme",Annahmen!$B$11,IF($D28="Personal",Annahmen!$B$13,Annahmen!$B$12)))+IF(7&lt;=Annahmen!$B$9,U28,T28*IF($D28="Einnahme",Annahmen!$B$11,IF($D28="Personal",Annahmen!$B$13,Annahmen!$B$12)))+IF(8&lt;=Annahmen!$B$9,W28,V28*IF($D28="Einnahme",Annahmen!$B$11,IF($D28="Personal",Annahmen!$B$13,Annahmen!$B$12)))+IF(9&lt;=Annahmen!$B$9,Y28,X28*IF($D28="Einnahme",Annahmen!$B$11,IF($D28="Personal",Annahmen!$B$13,Annahmen!$B$12)))+IF(10&lt;=Annahmen!$B$9,AA28,Z28*IF($D28="Einnahme",Annahmen!$B$11,IF($D28="Personal",Annahmen!$B$13,Annahmen!$B$12)))+IF(11&lt;=Annahmen!$B$9,AC28,AB28*IF($D28="Einnahme",Annahmen!$B$11,IF($D28="Personal",Annahmen!$B$13,Annahmen!$B$12)))+IF(12&lt;=Annahmen!$B$9,AE28,AD28*IF($D28="Einnahme",Annahmen!$B$11,IF($D28="Personal",Annahmen!$B$13,Annahmen!$B$12)))</f>
        <v>11800</v>
      </c>
      <c r="AK28" s="45" t="str">
        <f t="shared" si="4"/>
        <v>Im Plan</v>
      </c>
    </row>
    <row r="29" spans="1:37" x14ac:dyDescent="0.25">
      <c r="A29" s="38" t="s">
        <v>197</v>
      </c>
      <c r="B29" s="39" t="s">
        <v>87</v>
      </c>
      <c r="C29" s="39" t="s">
        <v>92</v>
      </c>
      <c r="D29" s="39" t="s">
        <v>92</v>
      </c>
      <c r="E29" s="39" t="s">
        <v>198</v>
      </c>
      <c r="F29" s="39" t="s">
        <v>93</v>
      </c>
      <c r="G29" s="40" t="s">
        <v>199</v>
      </c>
      <c r="H29" s="52">
        <v>2200</v>
      </c>
      <c r="I29" s="53">
        <v>2200</v>
      </c>
      <c r="J29" s="53">
        <v>2200</v>
      </c>
      <c r="K29" s="53">
        <v>2200</v>
      </c>
      <c r="L29" s="53">
        <v>2200</v>
      </c>
      <c r="M29" s="53">
        <v>2200</v>
      </c>
      <c r="N29" s="53">
        <v>2200</v>
      </c>
      <c r="O29" s="53">
        <v>2200</v>
      </c>
      <c r="P29" s="53">
        <v>2200</v>
      </c>
      <c r="Q29" s="53"/>
      <c r="R29" s="53">
        <v>2200</v>
      </c>
      <c r="S29" s="53"/>
      <c r="T29" s="53">
        <v>2200</v>
      </c>
      <c r="U29" s="53"/>
      <c r="V29" s="53">
        <v>2200</v>
      </c>
      <c r="W29" s="53"/>
      <c r="X29" s="53">
        <v>2200</v>
      </c>
      <c r="Y29" s="53"/>
      <c r="Z29" s="53">
        <v>2200</v>
      </c>
      <c r="AA29" s="53"/>
      <c r="AB29" s="53">
        <v>2200</v>
      </c>
      <c r="AC29" s="53"/>
      <c r="AD29" s="53">
        <v>2200</v>
      </c>
      <c r="AE29" s="54"/>
      <c r="AF29" s="55">
        <f t="shared" si="0"/>
        <v>26400</v>
      </c>
      <c r="AG29" s="56">
        <f t="shared" si="1"/>
        <v>8800</v>
      </c>
      <c r="AH29" s="56">
        <f t="shared" si="2"/>
        <v>17600</v>
      </c>
      <c r="AI29" s="64">
        <f t="shared" si="3"/>
        <v>0.66666666666666663</v>
      </c>
      <c r="AJ29" s="56">
        <f>IF(1&lt;=Annahmen!$B$9,I29,H29*IF($D29="Einnahme",Annahmen!$B$11,IF($D29="Personal",Annahmen!$B$13,Annahmen!$B$12)))+IF(2&lt;=Annahmen!$B$9,K29,J29*IF($D29="Einnahme",Annahmen!$B$11,IF($D29="Personal",Annahmen!$B$13,Annahmen!$B$12)))+IF(3&lt;=Annahmen!$B$9,M29,L29*IF($D29="Einnahme",Annahmen!$B$11,IF($D29="Personal",Annahmen!$B$13,Annahmen!$B$12)))+IF(4&lt;=Annahmen!$B$9,O29,N29*IF($D29="Einnahme",Annahmen!$B$11,IF($D29="Personal",Annahmen!$B$13,Annahmen!$B$12)))+IF(5&lt;=Annahmen!$B$9,Q29,P29*IF($D29="Einnahme",Annahmen!$B$11,IF($D29="Personal",Annahmen!$B$13,Annahmen!$B$12)))+IF(6&lt;=Annahmen!$B$9,S29,R29*IF($D29="Einnahme",Annahmen!$B$11,IF($D29="Personal",Annahmen!$B$13,Annahmen!$B$12)))+IF(7&lt;=Annahmen!$B$9,U29,T29*IF($D29="Einnahme",Annahmen!$B$11,IF($D29="Personal",Annahmen!$B$13,Annahmen!$B$12)))+IF(8&lt;=Annahmen!$B$9,W29,V29*IF($D29="Einnahme",Annahmen!$B$11,IF($D29="Personal",Annahmen!$B$13,Annahmen!$B$12)))+IF(9&lt;=Annahmen!$B$9,Y29,X29*IF($D29="Einnahme",Annahmen!$B$11,IF($D29="Personal",Annahmen!$B$13,Annahmen!$B$12)))+IF(10&lt;=Annahmen!$B$9,AA29,Z29*IF($D29="Einnahme",Annahmen!$B$11,IF($D29="Personal",Annahmen!$B$13,Annahmen!$B$12)))+IF(11&lt;=Annahmen!$B$9,AC29,AB29*IF($D29="Einnahme",Annahmen!$B$11,IF($D29="Personal",Annahmen!$B$13,Annahmen!$B$12)))+IF(12&lt;=Annahmen!$B$9,AE29,AD29*IF($D29="Einnahme",Annahmen!$B$11,IF($D29="Personal",Annahmen!$B$13,Annahmen!$B$12)))</f>
        <v>26400</v>
      </c>
      <c r="AK29" s="45" t="str">
        <f t="shared" si="4"/>
        <v>Im Plan</v>
      </c>
    </row>
    <row r="30" spans="1:37" x14ac:dyDescent="0.25">
      <c r="A30" s="41" t="s">
        <v>200</v>
      </c>
      <c r="B30" s="42" t="s">
        <v>83</v>
      </c>
      <c r="C30" s="42" t="s">
        <v>88</v>
      </c>
      <c r="D30" s="42" t="s">
        <v>80</v>
      </c>
      <c r="E30" s="42" t="s">
        <v>201</v>
      </c>
      <c r="F30" s="42" t="s">
        <v>90</v>
      </c>
      <c r="G30" s="43" t="s">
        <v>202</v>
      </c>
      <c r="H30" s="57">
        <v>1500</v>
      </c>
      <c r="I30" s="58">
        <v>0</v>
      </c>
      <c r="J30" s="58">
        <v>1500</v>
      </c>
      <c r="K30" s="58">
        <v>600</v>
      </c>
      <c r="L30" s="58">
        <v>1500</v>
      </c>
      <c r="M30" s="58">
        <v>0</v>
      </c>
      <c r="N30" s="58">
        <v>1500</v>
      </c>
      <c r="O30" s="58">
        <v>900</v>
      </c>
      <c r="P30" s="58">
        <v>1500</v>
      </c>
      <c r="Q30" s="58"/>
      <c r="R30" s="58">
        <v>1500</v>
      </c>
      <c r="S30" s="58"/>
      <c r="T30" s="58">
        <v>1500</v>
      </c>
      <c r="U30" s="58"/>
      <c r="V30" s="58">
        <v>1500</v>
      </c>
      <c r="W30" s="58"/>
      <c r="X30" s="58">
        <v>1500</v>
      </c>
      <c r="Y30" s="58"/>
      <c r="Z30" s="58">
        <v>1500</v>
      </c>
      <c r="AA30" s="58"/>
      <c r="AB30" s="58">
        <v>1500</v>
      </c>
      <c r="AC30" s="58"/>
      <c r="AD30" s="58">
        <v>1500</v>
      </c>
      <c r="AE30" s="59"/>
      <c r="AF30" s="60">
        <f t="shared" si="0"/>
        <v>18000</v>
      </c>
      <c r="AG30" s="61">
        <f t="shared" si="1"/>
        <v>1500</v>
      </c>
      <c r="AH30" s="61">
        <f t="shared" si="2"/>
        <v>16500</v>
      </c>
      <c r="AI30" s="65">
        <f t="shared" si="3"/>
        <v>0.91666666666666663</v>
      </c>
      <c r="AJ30" s="61">
        <f>IF(1&lt;=Annahmen!$B$9,I30,H30*IF($D30="Einnahme",Annahmen!$B$11,IF($D30="Personal",Annahmen!$B$13,Annahmen!$B$12)))+IF(2&lt;=Annahmen!$B$9,K30,J30*IF($D30="Einnahme",Annahmen!$B$11,IF($D30="Personal",Annahmen!$B$13,Annahmen!$B$12)))+IF(3&lt;=Annahmen!$B$9,M30,L30*IF($D30="Einnahme",Annahmen!$B$11,IF($D30="Personal",Annahmen!$B$13,Annahmen!$B$12)))+IF(4&lt;=Annahmen!$B$9,O30,N30*IF($D30="Einnahme",Annahmen!$B$11,IF($D30="Personal",Annahmen!$B$13,Annahmen!$B$12)))+IF(5&lt;=Annahmen!$B$9,Q30,P30*IF($D30="Einnahme",Annahmen!$B$11,IF($D30="Personal",Annahmen!$B$13,Annahmen!$B$12)))+IF(6&lt;=Annahmen!$B$9,S30,R30*IF($D30="Einnahme",Annahmen!$B$11,IF($D30="Personal",Annahmen!$B$13,Annahmen!$B$12)))+IF(7&lt;=Annahmen!$B$9,U30,T30*IF($D30="Einnahme",Annahmen!$B$11,IF($D30="Personal",Annahmen!$B$13,Annahmen!$B$12)))+IF(8&lt;=Annahmen!$B$9,W30,V30*IF($D30="Einnahme",Annahmen!$B$11,IF($D30="Personal",Annahmen!$B$13,Annahmen!$B$12)))+IF(9&lt;=Annahmen!$B$9,Y30,X30*IF($D30="Einnahme",Annahmen!$B$11,IF($D30="Personal",Annahmen!$B$13,Annahmen!$B$12)))+IF(10&lt;=Annahmen!$B$9,AA30,Z30*IF($D30="Einnahme",Annahmen!$B$11,IF($D30="Personal",Annahmen!$B$13,Annahmen!$B$12)))+IF(11&lt;=Annahmen!$B$9,AC30,AB30*IF($D30="Einnahme",Annahmen!$B$11,IF($D30="Personal",Annahmen!$B$13,Annahmen!$B$12)))+IF(12&lt;=Annahmen!$B$9,AE30,AD30*IF($D30="Einnahme",Annahmen!$B$11,IF($D30="Personal",Annahmen!$B$13,Annahmen!$B$12)))</f>
        <v>13500</v>
      </c>
      <c r="AK30" s="46" t="str">
        <f t="shared" si="4"/>
        <v>Im Plan</v>
      </c>
    </row>
    <row r="31" spans="1:37" x14ac:dyDescent="0.25"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</row>
    <row r="32" spans="1:37" x14ac:dyDescent="0.25"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</row>
    <row r="33" spans="1:36" x14ac:dyDescent="0.25">
      <c r="A33" s="102" t="s">
        <v>203</v>
      </c>
      <c r="B33" s="102"/>
      <c r="C33" s="102"/>
      <c r="D33" s="102"/>
      <c r="E33" s="102"/>
      <c r="F33" s="102"/>
      <c r="G33" s="102"/>
      <c r="H33" s="103"/>
      <c r="I33" s="103"/>
      <c r="J33" s="103"/>
      <c r="K33" s="103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</row>
    <row r="34" spans="1:36" x14ac:dyDescent="0.25"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</row>
    <row r="35" spans="1:36" x14ac:dyDescent="0.25">
      <c r="A35" s="3" t="s">
        <v>21</v>
      </c>
      <c r="B35" s="3" t="s">
        <v>22</v>
      </c>
      <c r="C35" s="3" t="s">
        <v>4</v>
      </c>
      <c r="D35" s="3" t="s">
        <v>23</v>
      </c>
      <c r="E35" s="3" t="s">
        <v>24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</row>
    <row r="36" spans="1:36" x14ac:dyDescent="0.25">
      <c r="A36" s="21" t="s">
        <v>71</v>
      </c>
      <c r="B36" s="22">
        <f t="shared" ref="B36:B41" si="5">SUMIF($D$7:$D$30,A36,$AF$7:$AF$30)</f>
        <v>1142200</v>
      </c>
      <c r="C36" s="22">
        <f t="shared" ref="C36:C41" si="6">SUMIF($D$7:$D$30,A36,$AG$7:$AG$30)</f>
        <v>343100</v>
      </c>
      <c r="D36" s="22">
        <f t="shared" ref="D36:D41" si="7">SUMIF($D$7:$D$30,A36,$AJ$7:$AJ$30)</f>
        <v>1145000</v>
      </c>
      <c r="E36" s="23">
        <f t="shared" ref="E36:E41" si="8">IF(A36="Einnahme",D36-B36,B36-D36)</f>
        <v>2800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</row>
    <row r="37" spans="1:36" x14ac:dyDescent="0.25">
      <c r="A37" s="24" t="s">
        <v>76</v>
      </c>
      <c r="B37" s="25">
        <f t="shared" si="5"/>
        <v>130400</v>
      </c>
      <c r="C37" s="25">
        <f t="shared" si="6"/>
        <v>42240</v>
      </c>
      <c r="D37" s="25">
        <f t="shared" si="7"/>
        <v>131740</v>
      </c>
      <c r="E37" s="26">
        <f t="shared" si="8"/>
        <v>-1340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</row>
    <row r="38" spans="1:36" x14ac:dyDescent="0.25">
      <c r="A38" s="24" t="s">
        <v>84</v>
      </c>
      <c r="B38" s="25">
        <f t="shared" si="5"/>
        <v>600200</v>
      </c>
      <c r="C38" s="25">
        <f t="shared" si="6"/>
        <v>200800</v>
      </c>
      <c r="D38" s="25">
        <f t="shared" si="7"/>
        <v>601600</v>
      </c>
      <c r="E38" s="26">
        <f t="shared" si="8"/>
        <v>-1400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</row>
    <row r="39" spans="1:36" x14ac:dyDescent="0.25">
      <c r="A39" s="24" t="s">
        <v>80</v>
      </c>
      <c r="B39" s="25">
        <f t="shared" si="5"/>
        <v>271300</v>
      </c>
      <c r="C39" s="25">
        <f t="shared" si="6"/>
        <v>84550</v>
      </c>
      <c r="D39" s="25">
        <f t="shared" si="7"/>
        <v>268250</v>
      </c>
      <c r="E39" s="26">
        <f t="shared" si="8"/>
        <v>3050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</row>
    <row r="40" spans="1:36" x14ac:dyDescent="0.25">
      <c r="A40" s="24" t="s">
        <v>89</v>
      </c>
      <c r="B40" s="25">
        <f t="shared" si="5"/>
        <v>25500</v>
      </c>
      <c r="C40" s="25">
        <f t="shared" si="6"/>
        <v>10000</v>
      </c>
      <c r="D40" s="25">
        <f t="shared" si="7"/>
        <v>25000</v>
      </c>
      <c r="E40" s="26">
        <f t="shared" si="8"/>
        <v>500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</row>
    <row r="41" spans="1:36" x14ac:dyDescent="0.25">
      <c r="A41" s="24" t="s">
        <v>92</v>
      </c>
      <c r="B41" s="25">
        <f t="shared" si="5"/>
        <v>26400</v>
      </c>
      <c r="C41" s="25">
        <f t="shared" si="6"/>
        <v>8800</v>
      </c>
      <c r="D41" s="25">
        <f t="shared" si="7"/>
        <v>26400</v>
      </c>
      <c r="E41" s="26">
        <f t="shared" si="8"/>
        <v>0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</row>
    <row r="42" spans="1:36" x14ac:dyDescent="0.25">
      <c r="A42" s="32" t="s">
        <v>41</v>
      </c>
      <c r="B42" s="33">
        <f>B36-SUM(B37:B40)</f>
        <v>114800</v>
      </c>
      <c r="C42" s="33">
        <f>C36-SUM(C37:C40)</f>
        <v>5510</v>
      </c>
      <c r="D42" s="33">
        <f>D36-SUM(D37:D40)</f>
        <v>118410</v>
      </c>
      <c r="E42" s="34">
        <f>D42-B42</f>
        <v>3610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</row>
  </sheetData>
  <mergeCells count="16">
    <mergeCell ref="A33:K33"/>
    <mergeCell ref="B3:C3"/>
    <mergeCell ref="J3:K3"/>
    <mergeCell ref="A1:AK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</mergeCells>
  <conditionalFormatting sqref="AH7:AH30">
    <cfRule type="cellIs" dxfId="9" priority="1" operator="lessThan">
      <formula>0</formula>
    </cfRule>
    <cfRule type="cellIs" dxfId="8" priority="2" operator="greaterThan">
      <formula>0</formula>
    </cfRule>
  </conditionalFormatting>
  <conditionalFormatting sqref="AK7:AK30">
    <cfRule type="expression" dxfId="7" priority="3">
      <formula>AK7="Überschreitung"</formula>
    </cfRule>
    <cfRule type="expression" dxfId="6" priority="4">
      <formula>AK7="Risiko"</formula>
    </cfRule>
    <cfRule type="expression" dxfId="5" priority="5">
      <formula>AK7="Beobachten"</formula>
    </cfRule>
    <cfRule type="expression" dxfId="4" priority="6">
      <formula>AK7="Im Plan"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200-000000000000}">
          <x14:formula1>
            <xm:f>Annahmen!$A$20:$A$26</xm:f>
          </x14:formula1>
          <xm:sqref>B7:D30</xm:sqref>
        </x14:dataValidation>
        <x14:dataValidation type="list" xr:uid="{00000000-0002-0000-0200-000002000000}">
          <x14:formula1>
            <xm:f>Annahmen!$B$20:$B$26</xm:f>
          </x14:formula1>
          <xm:sqref>C7:C30</xm:sqref>
        </x14:dataValidation>
        <x14:dataValidation type="list" xr:uid="{00000000-0002-0000-0200-000003000000}">
          <x14:formula1>
            <xm:f>Annahmen!$C$20:$C$25</xm:f>
          </x14:formula1>
          <xm:sqref>D7:D30</xm:sqref>
        </x14:dataValidation>
        <x14:dataValidation type="list" xr:uid="{00000000-0002-0000-0200-000004000000}">
          <x14:formula1>
            <xm:f>Annahmen!$D$20:$D$25</xm:f>
          </x14:formula1>
          <xm:sqref>F7:F30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/>
  </sheetViews>
  <sheetFormatPr baseColWidth="10" defaultColWidth="9" defaultRowHeight="15" x14ac:dyDescent="0.25"/>
  <cols>
    <col min="1" max="1" width="36" customWidth="1"/>
    <col min="2" max="14" width="14" customWidth="1"/>
  </cols>
  <sheetData>
    <row r="1" spans="1:14" ht="30" customHeight="1" x14ac:dyDescent="0.25">
      <c r="A1" s="98" t="s">
        <v>204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3" spans="1:14" x14ac:dyDescent="0.25">
      <c r="A3" s="66" t="s">
        <v>205</v>
      </c>
      <c r="B3" s="105" t="s">
        <v>206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5" spans="1:14" x14ac:dyDescent="0.25">
      <c r="A5" s="3" t="s">
        <v>101</v>
      </c>
      <c r="B5" s="3" t="s">
        <v>26</v>
      </c>
      <c r="C5" s="3" t="s">
        <v>27</v>
      </c>
      <c r="D5" s="3" t="s">
        <v>28</v>
      </c>
      <c r="E5" s="3" t="s">
        <v>29</v>
      </c>
      <c r="F5" s="3" t="s">
        <v>30</v>
      </c>
      <c r="G5" s="3" t="s">
        <v>31</v>
      </c>
      <c r="H5" s="3" t="s">
        <v>32</v>
      </c>
      <c r="I5" s="3" t="s">
        <v>33</v>
      </c>
      <c r="J5" s="3" t="s">
        <v>34</v>
      </c>
      <c r="K5" s="3" t="s">
        <v>35</v>
      </c>
      <c r="L5" s="3" t="s">
        <v>36</v>
      </c>
      <c r="M5" s="3" t="s">
        <v>37</v>
      </c>
      <c r="N5" s="3" t="s">
        <v>207</v>
      </c>
    </row>
    <row r="6" spans="1:14" x14ac:dyDescent="0.25">
      <c r="A6" s="70" t="s">
        <v>208</v>
      </c>
      <c r="B6" s="73">
        <f>Annahmen!$B$5</f>
        <v>150000</v>
      </c>
      <c r="C6" s="73">
        <f t="shared" ref="C6:M6" si="0">B18</f>
        <v>158913.79999999999</v>
      </c>
      <c r="D6" s="73">
        <f t="shared" si="0"/>
        <v>160932.59999999998</v>
      </c>
      <c r="E6" s="73">
        <f t="shared" si="0"/>
        <v>155022.79999999999</v>
      </c>
      <c r="F6" s="73">
        <f t="shared" si="0"/>
        <v>156899.69999999998</v>
      </c>
      <c r="G6" s="73">
        <f t="shared" si="0"/>
        <v>162339.99999999997</v>
      </c>
      <c r="H6" s="73">
        <f t="shared" si="0"/>
        <v>170766.99999999997</v>
      </c>
      <c r="I6" s="73">
        <f t="shared" si="0"/>
        <v>178983.49999999997</v>
      </c>
      <c r="J6" s="73">
        <f t="shared" si="0"/>
        <v>187971.49999999997</v>
      </c>
      <c r="K6" s="73">
        <f t="shared" si="0"/>
        <v>199060.99999999997</v>
      </c>
      <c r="L6" s="73">
        <f t="shared" si="0"/>
        <v>216603.49999999997</v>
      </c>
      <c r="M6" s="73">
        <f t="shared" si="0"/>
        <v>228828.99999999997</v>
      </c>
      <c r="N6" s="74">
        <f>B6</f>
        <v>150000</v>
      </c>
    </row>
    <row r="7" spans="1:14" x14ac:dyDescent="0.25">
      <c r="A7" s="71" t="s">
        <v>209</v>
      </c>
      <c r="B7" s="75">
        <f>IF(1&lt;=Annahmen!$B$9,SUMIFS(Budgetplanung!$I$7:$I$30,Budgetplanung!$D$7:$D$30,"Einnahme"),SUMIFS(Budgetplanung!$H$7:$H$30,Budgetplanung!$D$7:$D$30,"Einnahme")*Annahmen!$B$11)</f>
        <v>77500</v>
      </c>
      <c r="C7" s="75">
        <f>IF(2&lt;=Annahmen!$B$9,SUMIFS(Budgetplanung!$K$7:$K$30,Budgetplanung!$D$7:$D$30,"Einnahme"),SUMIFS(Budgetplanung!$J$7:$J$30,Budgetplanung!$D$7:$D$30,"Einnahme")*Annahmen!$B$11)</f>
        <v>82950</v>
      </c>
      <c r="D7" s="75">
        <f>IF(3&lt;=Annahmen!$B$9,SUMIFS(Budgetplanung!$M$7:$M$30,Budgetplanung!$D$7:$D$30,"Einnahme"),SUMIFS(Budgetplanung!$L$7:$L$30,Budgetplanung!$D$7:$D$30,"Einnahme")*Annahmen!$B$11)</f>
        <v>93800</v>
      </c>
      <c r="E7" s="75">
        <f>IF(4&lt;=Annahmen!$B$9,SUMIFS(Budgetplanung!$O$7:$O$30,Budgetplanung!$D$7:$D$30,"Einnahme"),SUMIFS(Budgetplanung!$N$7:$N$30,Budgetplanung!$D$7:$D$30,"Einnahme")*Annahmen!$B$11)</f>
        <v>88850</v>
      </c>
      <c r="F7" s="75">
        <f>IF(5&lt;=Annahmen!$B$9,SUMIFS(Budgetplanung!$Q$7:$Q$30,Budgetplanung!$D$7:$D$30,"Einnahme"),SUMIFS(Budgetplanung!$P$7:$P$30,Budgetplanung!$D$7:$D$30,"Einnahme")*Annahmen!$B$11)</f>
        <v>94400</v>
      </c>
      <c r="G7" s="75">
        <f>IF(6&lt;=Annahmen!$B$9,SUMIFS(Budgetplanung!$S$7:$S$30,Budgetplanung!$D$7:$D$30,"Einnahme"),SUMIFS(Budgetplanung!$R$7:$R$30,Budgetplanung!$D$7:$D$30,"Einnahme")*Annahmen!$B$11)</f>
        <v>97500</v>
      </c>
      <c r="H7" s="75">
        <f>IF(7&lt;=Annahmen!$B$9,SUMIFS(Budgetplanung!$U$7:$U$30,Budgetplanung!$D$7:$D$30,"Einnahme"),SUMIFS(Budgetplanung!$T$7:$T$30,Budgetplanung!$D$7:$D$30,"Einnahme")*Annahmen!$B$11)</f>
        <v>90400</v>
      </c>
      <c r="I7" s="75">
        <f>IF(8&lt;=Annahmen!$B$9,SUMIFS(Budgetplanung!$W$7:$W$30,Budgetplanung!$D$7:$D$30,"Einnahme"),SUMIFS(Budgetplanung!$V$7:$V$30,Budgetplanung!$D$7:$D$30,"Einnahme")*Annahmen!$B$11)</f>
        <v>88800</v>
      </c>
      <c r="J7" s="75">
        <f>IF(9&lt;=Annahmen!$B$9,SUMIFS(Budgetplanung!$Y$7:$Y$30,Budgetplanung!$D$7:$D$30,"Einnahme"),SUMIFS(Budgetplanung!$X$7:$X$30,Budgetplanung!$D$7:$D$30,"Einnahme")*Annahmen!$B$11)</f>
        <v>104400</v>
      </c>
      <c r="K7" s="75">
        <f>IF(10&lt;=Annahmen!$B$9,SUMIFS(Budgetplanung!$AA$7:$AA$30,Budgetplanung!$D$7:$D$30,"Einnahme"),SUMIFS(Budgetplanung!$Z$7:$Z$30,Budgetplanung!$D$7:$D$30,"Einnahme")*Annahmen!$B$11)</f>
        <v>102500</v>
      </c>
      <c r="L7" s="75">
        <f>IF(11&lt;=Annahmen!$B$9,SUMIFS(Budgetplanung!$AC$7:$AC$30,Budgetplanung!$D$7:$D$30,"Einnahme"),SUMIFS(Budgetplanung!$AB$7:$AB$30,Budgetplanung!$D$7:$D$30,"Einnahme")*Annahmen!$B$11)</f>
        <v>106600</v>
      </c>
      <c r="M7" s="75">
        <f>IF(12&lt;=Annahmen!$B$9,SUMIFS(Budgetplanung!$AE$7:$AE$30,Budgetplanung!$D$7:$D$30,"Einnahme"),SUMIFS(Budgetplanung!$AD$7:$AD$30,Budgetplanung!$D$7:$D$30,"Einnahme")*Annahmen!$B$11)</f>
        <v>117300</v>
      </c>
      <c r="N7" s="76">
        <f t="shared" ref="N7:N17" si="1">SUM(B7:M7)</f>
        <v>1145000</v>
      </c>
    </row>
    <row r="8" spans="1:14" x14ac:dyDescent="0.25">
      <c r="A8" s="71" t="s">
        <v>210</v>
      </c>
      <c r="B8" s="75">
        <f>B7*Annahmen!$B$6</f>
        <v>14725</v>
      </c>
      <c r="C8" s="75">
        <f>C7*Annahmen!$B$6</f>
        <v>15760.5</v>
      </c>
      <c r="D8" s="75">
        <f>D7*Annahmen!$B$6</f>
        <v>17822</v>
      </c>
      <c r="E8" s="75">
        <f>E7*Annahmen!$B$6</f>
        <v>16881.5</v>
      </c>
      <c r="F8" s="75">
        <f>F7*Annahmen!$B$6</f>
        <v>17936</v>
      </c>
      <c r="G8" s="75">
        <f>G7*Annahmen!$B$6</f>
        <v>18525</v>
      </c>
      <c r="H8" s="75">
        <f>H7*Annahmen!$B$6</f>
        <v>17176</v>
      </c>
      <c r="I8" s="75">
        <f>I7*Annahmen!$B$6</f>
        <v>16872</v>
      </c>
      <c r="J8" s="75">
        <f>J7*Annahmen!$B$6</f>
        <v>19836</v>
      </c>
      <c r="K8" s="75">
        <f>K7*Annahmen!$B$6</f>
        <v>19475</v>
      </c>
      <c r="L8" s="75">
        <f>L7*Annahmen!$B$6</f>
        <v>20254</v>
      </c>
      <c r="M8" s="75">
        <f>M7*Annahmen!$B$6</f>
        <v>22287</v>
      </c>
      <c r="N8" s="76">
        <f t="shared" si="1"/>
        <v>217550</v>
      </c>
    </row>
    <row r="9" spans="1:14" x14ac:dyDescent="0.25">
      <c r="A9" s="71" t="s">
        <v>211</v>
      </c>
      <c r="B9" s="75">
        <f t="shared" ref="B9:M9" si="2">B7+B8</f>
        <v>92225</v>
      </c>
      <c r="C9" s="75">
        <f t="shared" si="2"/>
        <v>98710.5</v>
      </c>
      <c r="D9" s="75">
        <f t="shared" si="2"/>
        <v>111622</v>
      </c>
      <c r="E9" s="75">
        <f t="shared" si="2"/>
        <v>105731.5</v>
      </c>
      <c r="F9" s="75">
        <f t="shared" si="2"/>
        <v>112336</v>
      </c>
      <c r="G9" s="75">
        <f t="shared" si="2"/>
        <v>116025</v>
      </c>
      <c r="H9" s="75">
        <f t="shared" si="2"/>
        <v>107576</v>
      </c>
      <c r="I9" s="75">
        <f t="shared" si="2"/>
        <v>105672</v>
      </c>
      <c r="J9" s="75">
        <f t="shared" si="2"/>
        <v>124236</v>
      </c>
      <c r="K9" s="75">
        <f t="shared" si="2"/>
        <v>121975</v>
      </c>
      <c r="L9" s="75">
        <f t="shared" si="2"/>
        <v>126854</v>
      </c>
      <c r="M9" s="75">
        <f t="shared" si="2"/>
        <v>139587</v>
      </c>
      <c r="N9" s="76">
        <f t="shared" si="1"/>
        <v>1362550</v>
      </c>
    </row>
    <row r="10" spans="1:14" x14ac:dyDescent="0.25">
      <c r="A10" s="71" t="s">
        <v>212</v>
      </c>
      <c r="B10" s="75">
        <f>IF(1&lt;=Annahmen!$B$9,SUMIFS(Budgetplanung!$I$7:$I$30,Budgetplanung!$D$7:$D$30,"Variable Kosten"),SUMIFS(Budgetplanung!$H$7:$H$30,Budgetplanung!$D$7:$D$30,"Variable Kosten")*Annahmen!$B$12)</f>
        <v>9380</v>
      </c>
      <c r="C10" s="75">
        <f>IF(2&lt;=Annahmen!$B$9,SUMIFS(Budgetplanung!$K$7:$K$30,Budgetplanung!$D$7:$D$30,"Variable Kosten"),SUMIFS(Budgetplanung!$J$7:$J$30,Budgetplanung!$D$7:$D$30,"Variable Kosten")*Annahmen!$B$12)</f>
        <v>10410</v>
      </c>
      <c r="D10" s="75">
        <f>IF(3&lt;=Annahmen!$B$9,SUMIFS(Budgetplanung!$M$7:$M$30,Budgetplanung!$D$7:$D$30,"Variable Kosten"),SUMIFS(Budgetplanung!$L$7:$L$30,Budgetplanung!$D$7:$D$30,"Variable Kosten")*Annahmen!$B$12)</f>
        <v>11380</v>
      </c>
      <c r="E10" s="75">
        <f>IF(4&lt;=Annahmen!$B$9,SUMIFS(Budgetplanung!$O$7:$O$30,Budgetplanung!$D$7:$D$30,"Variable Kosten"),SUMIFS(Budgetplanung!$N$7:$N$30,Budgetplanung!$D$7:$D$30,"Variable Kosten")*Annahmen!$B$12)</f>
        <v>11070</v>
      </c>
      <c r="F10" s="75">
        <f>IF(5&lt;=Annahmen!$B$9,SUMIFS(Budgetplanung!$Q$7:$Q$30,Budgetplanung!$D$7:$D$30,"Variable Kosten"),SUMIFS(Budgetplanung!$P$7:$P$30,Budgetplanung!$D$7:$D$30,"Variable Kosten")*Annahmen!$B$12)</f>
        <v>11600</v>
      </c>
      <c r="G10" s="75">
        <f>IF(6&lt;=Annahmen!$B$9,SUMIFS(Budgetplanung!$S$7:$S$30,Budgetplanung!$D$7:$D$30,"Variable Kosten"),SUMIFS(Budgetplanung!$R$7:$R$30,Budgetplanung!$D$7:$D$30,"Variable Kosten")*Annahmen!$B$12)</f>
        <v>11500</v>
      </c>
      <c r="H10" s="75">
        <f>IF(7&lt;=Annahmen!$B$9,SUMIFS(Budgetplanung!$U$7:$U$30,Budgetplanung!$D$7:$D$30,"Variable Kosten"),SUMIFS(Budgetplanung!$T$7:$T$30,Budgetplanung!$D$7:$D$30,"Variable Kosten")*Annahmen!$B$12)</f>
        <v>10150</v>
      </c>
      <c r="I10" s="75">
        <f>IF(8&lt;=Annahmen!$B$9,SUMIFS(Budgetplanung!$W$7:$W$30,Budgetplanung!$D$7:$D$30,"Variable Kosten"),SUMIFS(Budgetplanung!$V$7:$V$30,Budgetplanung!$D$7:$D$30,"Variable Kosten")*Annahmen!$B$12)</f>
        <v>9150</v>
      </c>
      <c r="J10" s="75">
        <f>IF(9&lt;=Annahmen!$B$9,SUMIFS(Budgetplanung!$Y$7:$Y$30,Budgetplanung!$D$7:$D$30,"Variable Kosten"),SUMIFS(Budgetplanung!$X$7:$X$30,Budgetplanung!$D$7:$D$30,"Variable Kosten")*Annahmen!$B$12)</f>
        <v>11800</v>
      </c>
      <c r="K10" s="75">
        <f>IF(10&lt;=Annahmen!$B$9,SUMIFS(Budgetplanung!$AA$7:$AA$30,Budgetplanung!$D$7:$D$30,"Variable Kosten"),SUMIFS(Budgetplanung!$Z$7:$Z$30,Budgetplanung!$D$7:$D$30,"Variable Kosten")*Annahmen!$B$12)</f>
        <v>11750</v>
      </c>
      <c r="L10" s="75">
        <f>IF(11&lt;=Annahmen!$B$9,SUMIFS(Budgetplanung!$AC$7:$AC$30,Budgetplanung!$D$7:$D$30,"Variable Kosten"),SUMIFS(Budgetplanung!$AB$7:$AB$30,Budgetplanung!$D$7:$D$30,"Variable Kosten")*Annahmen!$B$12)</f>
        <v>11700</v>
      </c>
      <c r="M10" s="75">
        <f>IF(12&lt;=Annahmen!$B$9,SUMIFS(Budgetplanung!$AE$7:$AE$30,Budgetplanung!$D$7:$D$30,"Variable Kosten"),SUMIFS(Budgetplanung!$AD$7:$AD$30,Budgetplanung!$D$7:$D$30,"Variable Kosten")*Annahmen!$B$12)</f>
        <v>11850</v>
      </c>
      <c r="N10" s="76">
        <f t="shared" si="1"/>
        <v>131740</v>
      </c>
    </row>
    <row r="11" spans="1:14" x14ac:dyDescent="0.25">
      <c r="A11" s="71" t="s">
        <v>213</v>
      </c>
      <c r="B11" s="75">
        <f>IF(1&lt;=Annahmen!$B$9,SUMIFS(Budgetplanung!$I$7:$I$30,Budgetplanung!$D$7:$D$30,"Fixkosten"),SUMIFS(Budgetplanung!$H$7:$H$30,Budgetplanung!$D$7:$D$30,"Fixkosten")*Annahmen!$B$12)</f>
        <v>17100</v>
      </c>
      <c r="C11" s="75">
        <f>IF(2&lt;=Annahmen!$B$9,SUMIFS(Budgetplanung!$K$7:$K$30,Budgetplanung!$D$7:$D$30,"Fixkosten"),SUMIFS(Budgetplanung!$J$7:$J$30,Budgetplanung!$D$7:$D$30,"Fixkosten")*Annahmen!$B$12)</f>
        <v>19000</v>
      </c>
      <c r="D11" s="75">
        <f>IF(3&lt;=Annahmen!$B$9,SUMIFS(Budgetplanung!$M$7:$M$30,Budgetplanung!$D$7:$D$30,"Fixkosten"),SUMIFS(Budgetplanung!$L$7:$L$30,Budgetplanung!$D$7:$D$30,"Fixkosten")*Annahmen!$B$12)</f>
        <v>28100</v>
      </c>
      <c r="E11" s="75">
        <f>IF(4&lt;=Annahmen!$B$9,SUMIFS(Budgetplanung!$O$7:$O$30,Budgetplanung!$D$7:$D$30,"Fixkosten"),SUMIFS(Budgetplanung!$N$7:$N$30,Budgetplanung!$D$7:$D$30,"Fixkosten")*Annahmen!$B$12)</f>
        <v>20350</v>
      </c>
      <c r="F11" s="75">
        <f>IF(5&lt;=Annahmen!$B$9,SUMIFS(Budgetplanung!$Q$7:$Q$30,Budgetplanung!$D$7:$D$30,"Fixkosten"),SUMIFS(Budgetplanung!$P$7:$P$30,Budgetplanung!$D$7:$D$30,"Fixkosten")*Annahmen!$B$12)</f>
        <v>20800</v>
      </c>
      <c r="G11" s="75">
        <f>IF(6&lt;=Annahmen!$B$9,SUMIFS(Budgetplanung!$S$7:$S$30,Budgetplanung!$D$7:$D$30,"Fixkosten"),SUMIFS(Budgetplanung!$R$7:$R$30,Budgetplanung!$D$7:$D$30,"Fixkosten")*Annahmen!$B$12)</f>
        <v>22700</v>
      </c>
      <c r="H11" s="75">
        <f>IF(7&lt;=Annahmen!$B$9,SUMIFS(Budgetplanung!$U$7:$U$30,Budgetplanung!$D$7:$D$30,"Fixkosten"),SUMIFS(Budgetplanung!$T$7:$T$30,Budgetplanung!$D$7:$D$30,"Fixkosten")*Annahmen!$B$12)</f>
        <v>19600</v>
      </c>
      <c r="I11" s="75">
        <f>IF(8&lt;=Annahmen!$B$9,SUMIFS(Budgetplanung!$W$7:$W$30,Budgetplanung!$D$7:$D$30,"Fixkosten"),SUMIFS(Budgetplanung!$V$7:$V$30,Budgetplanung!$D$7:$D$30,"Fixkosten")*Annahmen!$B$12)</f>
        <v>18800</v>
      </c>
      <c r="J11" s="75">
        <f>IF(9&lt;=Annahmen!$B$9,SUMIFS(Budgetplanung!$Y$7:$Y$30,Budgetplanung!$D$7:$D$30,"Fixkosten"),SUMIFS(Budgetplanung!$X$7:$X$30,Budgetplanung!$D$7:$D$30,"Fixkosten")*Annahmen!$B$12)</f>
        <v>29700</v>
      </c>
      <c r="K11" s="75">
        <f>IF(10&lt;=Annahmen!$B$9,SUMIFS(Budgetplanung!$AA$7:$AA$30,Budgetplanung!$D$7:$D$30,"Fixkosten"),SUMIFS(Budgetplanung!$Z$7:$Z$30,Budgetplanung!$D$7:$D$30,"Fixkosten")*Annahmen!$B$12)</f>
        <v>22100</v>
      </c>
      <c r="L11" s="75">
        <f>IF(11&lt;=Annahmen!$B$9,SUMIFS(Budgetplanung!$AC$7:$AC$30,Budgetplanung!$D$7:$D$30,"Fixkosten"),SUMIFS(Budgetplanung!$AB$7:$AB$30,Budgetplanung!$D$7:$D$30,"Fixkosten")*Annahmen!$B$12)</f>
        <v>22800</v>
      </c>
      <c r="M11" s="75">
        <f>IF(12&lt;=Annahmen!$B$9,SUMIFS(Budgetplanung!$AE$7:$AE$30,Budgetplanung!$D$7:$D$30,"Fixkosten"),SUMIFS(Budgetplanung!$AD$7:$AD$30,Budgetplanung!$D$7:$D$30,"Fixkosten")*Annahmen!$B$12)</f>
        <v>27200</v>
      </c>
      <c r="N11" s="76">
        <f t="shared" si="1"/>
        <v>268250</v>
      </c>
    </row>
    <row r="12" spans="1:14" x14ac:dyDescent="0.25">
      <c r="A12" s="71" t="s">
        <v>214</v>
      </c>
      <c r="B12" s="75">
        <f>IF(1&lt;=Annahmen!$B$9,SUMIFS(Budgetplanung!$I$7:$I$30,Budgetplanung!$D$7:$D$30,"Personal"),SUMIFS(Budgetplanung!$H$7:$H$30,Budgetplanung!$D$7:$D$30,"Personal")*Annahmen!$B$13)</f>
        <v>49600</v>
      </c>
      <c r="C12" s="75">
        <f>IF(2&lt;=Annahmen!$B$9,SUMIFS(Budgetplanung!$K$7:$K$30,Budgetplanung!$D$7:$D$30,"Personal"),SUMIFS(Budgetplanung!$J$7:$J$30,Budgetplanung!$D$7:$D$30,"Personal")*Annahmen!$B$13)</f>
        <v>49800</v>
      </c>
      <c r="D12" s="75">
        <f>IF(3&lt;=Annahmen!$B$9,SUMIFS(Budgetplanung!$M$7:$M$30,Budgetplanung!$D$7:$D$30,"Personal"),SUMIFS(Budgetplanung!$L$7:$L$30,Budgetplanung!$D$7:$D$30,"Personal")*Annahmen!$B$13)</f>
        <v>50800</v>
      </c>
      <c r="E12" s="75">
        <f>IF(4&lt;=Annahmen!$B$9,SUMIFS(Budgetplanung!$O$7:$O$30,Budgetplanung!$D$7:$D$30,"Personal"),SUMIFS(Budgetplanung!$N$7:$N$30,Budgetplanung!$D$7:$D$30,"Personal")*Annahmen!$B$13)</f>
        <v>50600</v>
      </c>
      <c r="F12" s="75">
        <f>IF(5&lt;=Annahmen!$B$9,SUMIFS(Budgetplanung!$Q$7:$Q$30,Budgetplanung!$D$7:$D$30,"Personal"),SUMIFS(Budgetplanung!$P$7:$P$30,Budgetplanung!$D$7:$D$30,"Personal")*Annahmen!$B$13)</f>
        <v>50000</v>
      </c>
      <c r="G12" s="75">
        <f>IF(6&lt;=Annahmen!$B$9,SUMIFS(Budgetplanung!$S$7:$S$30,Budgetplanung!$D$7:$D$30,"Personal"),SUMIFS(Budgetplanung!$R$7:$R$30,Budgetplanung!$D$7:$D$30,"Personal")*Annahmen!$B$13)</f>
        <v>50300</v>
      </c>
      <c r="H12" s="75">
        <f>IF(7&lt;=Annahmen!$B$9,SUMIFS(Budgetplanung!$U$7:$U$30,Budgetplanung!$D$7:$D$30,"Personal"),SUMIFS(Budgetplanung!$T$7:$T$30,Budgetplanung!$D$7:$D$30,"Personal")*Annahmen!$B$13)</f>
        <v>50300</v>
      </c>
      <c r="I12" s="75">
        <f>IF(8&lt;=Annahmen!$B$9,SUMIFS(Budgetplanung!$W$7:$W$30,Budgetplanung!$D$7:$D$30,"Personal"),SUMIFS(Budgetplanung!$V$7:$V$30,Budgetplanung!$D$7:$D$30,"Personal")*Annahmen!$B$13)</f>
        <v>49700</v>
      </c>
      <c r="J12" s="75">
        <f>IF(9&lt;=Annahmen!$B$9,SUMIFS(Budgetplanung!$Y$7:$Y$30,Budgetplanung!$D$7:$D$30,"Personal"),SUMIFS(Budgetplanung!$X$7:$X$30,Budgetplanung!$D$7:$D$30,"Personal")*Annahmen!$B$13)</f>
        <v>50000</v>
      </c>
      <c r="K12" s="75">
        <f>IF(10&lt;=Annahmen!$B$9,SUMIFS(Budgetplanung!$AA$7:$AA$30,Budgetplanung!$D$7:$D$30,"Personal"),SUMIFS(Budgetplanung!$Z$7:$Z$30,Budgetplanung!$D$7:$D$30,"Personal")*Annahmen!$B$13)</f>
        <v>50000</v>
      </c>
      <c r="L12" s="75">
        <f>IF(11&lt;=Annahmen!$B$9,SUMIFS(Budgetplanung!$AC$7:$AC$30,Budgetplanung!$D$7:$D$30,"Personal"),SUMIFS(Budgetplanung!$AB$7:$AB$30,Budgetplanung!$D$7:$D$30,"Personal")*Annahmen!$B$13)</f>
        <v>50000</v>
      </c>
      <c r="M12" s="75">
        <f>IF(12&lt;=Annahmen!$B$9,SUMIFS(Budgetplanung!$AE$7:$AE$30,Budgetplanung!$D$7:$D$30,"Personal"),SUMIFS(Budgetplanung!$AD$7:$AD$30,Budgetplanung!$D$7:$D$30,"Personal")*Annahmen!$B$13)</f>
        <v>50500</v>
      </c>
      <c r="N12" s="76">
        <f t="shared" si="1"/>
        <v>601600</v>
      </c>
    </row>
    <row r="13" spans="1:14" x14ac:dyDescent="0.25">
      <c r="A13" s="71" t="s">
        <v>215</v>
      </c>
      <c r="B13" s="75">
        <f>IF(1&lt;=Annahmen!$B$9,SUMIFS(Budgetplanung!$I$7:$I$30,Budgetplanung!$D$7:$D$30,"Investition"),SUMIFS(Budgetplanung!$H$7:$H$30,Budgetplanung!$D$7:$D$30,"Investition")*Annahmen!$B$12)</f>
        <v>0</v>
      </c>
      <c r="C13" s="75">
        <f>IF(2&lt;=Annahmen!$B$9,SUMIFS(Budgetplanung!$K$7:$K$30,Budgetplanung!$D$7:$D$30,"Investition"),SUMIFS(Budgetplanung!$J$7:$J$30,Budgetplanung!$D$7:$D$30,"Investition")*Annahmen!$B$12)</f>
        <v>0</v>
      </c>
      <c r="D13" s="75">
        <f>IF(3&lt;=Annahmen!$B$9,SUMIFS(Budgetplanung!$M$7:$M$30,Budgetplanung!$D$7:$D$30,"Investition"),SUMIFS(Budgetplanung!$L$7:$L$30,Budgetplanung!$D$7:$D$30,"Investition")*Annahmen!$B$12)</f>
        <v>6200</v>
      </c>
      <c r="E13" s="75">
        <f>IF(4&lt;=Annahmen!$B$9,SUMIFS(Budgetplanung!$O$7:$O$30,Budgetplanung!$D$7:$D$30,"Investition"),SUMIFS(Budgetplanung!$N$7:$N$30,Budgetplanung!$D$7:$D$30,"Investition")*Annahmen!$B$12)</f>
        <v>3800</v>
      </c>
      <c r="F13" s="75">
        <f>IF(5&lt;=Annahmen!$B$9,SUMIFS(Budgetplanung!$Q$7:$Q$30,Budgetplanung!$D$7:$D$30,"Investition"),SUMIFS(Budgetplanung!$P$7:$P$30,Budgetplanung!$D$7:$D$30,"Investition")*Annahmen!$B$12)</f>
        <v>5000</v>
      </c>
      <c r="G13" s="75">
        <f>IF(6&lt;=Annahmen!$B$9,SUMIFS(Budgetplanung!$S$7:$S$30,Budgetplanung!$D$7:$D$30,"Investition"),SUMIFS(Budgetplanung!$R$7:$R$30,Budgetplanung!$D$7:$D$30,"Investition")*Annahmen!$B$12)</f>
        <v>3000</v>
      </c>
      <c r="H13" s="75">
        <f>IF(7&lt;=Annahmen!$B$9,SUMIFS(Budgetplanung!$U$7:$U$30,Budgetplanung!$D$7:$D$30,"Investition"),SUMIFS(Budgetplanung!$T$7:$T$30,Budgetplanung!$D$7:$D$30,"Investition")*Annahmen!$B$12)</f>
        <v>0</v>
      </c>
      <c r="I13" s="75">
        <f>IF(8&lt;=Annahmen!$B$9,SUMIFS(Budgetplanung!$W$7:$W$30,Budgetplanung!$D$7:$D$30,"Investition"),SUMIFS(Budgetplanung!$V$7:$V$30,Budgetplanung!$D$7:$D$30,"Investition")*Annahmen!$B$12)</f>
        <v>0</v>
      </c>
      <c r="J13" s="75">
        <f>IF(9&lt;=Annahmen!$B$9,SUMIFS(Budgetplanung!$Y$7:$Y$30,Budgetplanung!$D$7:$D$30,"Investition"),SUMIFS(Budgetplanung!$X$7:$X$30,Budgetplanung!$D$7:$D$30,"Investition")*Annahmen!$B$12)</f>
        <v>0</v>
      </c>
      <c r="K13" s="75">
        <f>IF(10&lt;=Annahmen!$B$9,SUMIFS(Budgetplanung!$AA$7:$AA$30,Budgetplanung!$D$7:$D$30,"Investition"),SUMIFS(Budgetplanung!$Z$7:$Z$30,Budgetplanung!$D$7:$D$30,"Investition")*Annahmen!$B$12)</f>
        <v>0</v>
      </c>
      <c r="L13" s="75">
        <f>IF(11&lt;=Annahmen!$B$9,SUMIFS(Budgetplanung!$AC$7:$AC$30,Budgetplanung!$D$7:$D$30,"Investition"),SUMIFS(Budgetplanung!$AB$7:$AB$30,Budgetplanung!$D$7:$D$30,"Investition")*Annahmen!$B$12)</f>
        <v>7000</v>
      </c>
      <c r="M13" s="75">
        <f>IF(12&lt;=Annahmen!$B$9,SUMIFS(Budgetplanung!$AE$7:$AE$30,Budgetplanung!$D$7:$D$30,"Investition"),SUMIFS(Budgetplanung!$AD$7:$AD$30,Budgetplanung!$D$7:$D$30,"Investition")*Annahmen!$B$12)</f>
        <v>0</v>
      </c>
      <c r="N13" s="76">
        <f t="shared" si="1"/>
        <v>25000</v>
      </c>
    </row>
    <row r="14" spans="1:14" x14ac:dyDescent="0.25">
      <c r="A14" s="71" t="s">
        <v>216</v>
      </c>
      <c r="B14" s="75">
        <f>(B10+B11+B13)*Annahmen!$B$6</f>
        <v>5031.2</v>
      </c>
      <c r="C14" s="75">
        <f>(C10+C11+C13)*Annahmen!$B$6</f>
        <v>5587.9</v>
      </c>
      <c r="D14" s="75">
        <f>(D10+D11+D13)*Annahmen!$B$6</f>
        <v>8679.2000000000007</v>
      </c>
      <c r="E14" s="75">
        <f>(E10+E11+E13)*Annahmen!$B$6</f>
        <v>6691.8</v>
      </c>
      <c r="F14" s="75">
        <f>(F10+F11+F13)*Annahmen!$B$6</f>
        <v>7106</v>
      </c>
      <c r="G14" s="75">
        <f>(G10+G11+G13)*Annahmen!$B$6</f>
        <v>7068</v>
      </c>
      <c r="H14" s="75">
        <f>(H10+H11+H13)*Annahmen!$B$6</f>
        <v>5652.5</v>
      </c>
      <c r="I14" s="75">
        <f>(I10+I11+I13)*Annahmen!$B$6</f>
        <v>5310.5</v>
      </c>
      <c r="J14" s="75">
        <f>(J10+J11+J13)*Annahmen!$B$6</f>
        <v>7885</v>
      </c>
      <c r="K14" s="75">
        <f>(K10+K11+K13)*Annahmen!$B$6</f>
        <v>6431.5</v>
      </c>
      <c r="L14" s="75">
        <f>(L10+L11+L13)*Annahmen!$B$6</f>
        <v>7885</v>
      </c>
      <c r="M14" s="75">
        <f>(M10+M11+M13)*Annahmen!$B$6</f>
        <v>7419.5</v>
      </c>
      <c r="N14" s="76">
        <f t="shared" si="1"/>
        <v>80748.100000000006</v>
      </c>
    </row>
    <row r="15" spans="1:14" x14ac:dyDescent="0.25">
      <c r="A15" s="71" t="s">
        <v>217</v>
      </c>
      <c r="B15" s="75">
        <f>IF(1&lt;=Annahmen!$B$9,SUMIFS(Budgetplanung!$I$7:$I$30,Budgetplanung!$D$7:$D$30,"Finanzierung"),SUMIFS(Budgetplanung!$H$7:$H$30,Budgetplanung!$D$7:$D$30,"Finanzierung"))</f>
        <v>2200</v>
      </c>
      <c r="C15" s="75">
        <f>IF(2&lt;=Annahmen!$B$9,SUMIFS(Budgetplanung!$K$7:$K$30,Budgetplanung!$D$7:$D$30,"Finanzierung"),SUMIFS(Budgetplanung!$J$7:$J$30,Budgetplanung!$D$7:$D$30,"Finanzierung"))</f>
        <v>2200</v>
      </c>
      <c r="D15" s="75">
        <f>IF(3&lt;=Annahmen!$B$9,SUMIFS(Budgetplanung!$M$7:$M$30,Budgetplanung!$D$7:$D$30,"Finanzierung"),SUMIFS(Budgetplanung!$L$7:$L$30,Budgetplanung!$D$7:$D$30,"Finanzierung"))</f>
        <v>2200</v>
      </c>
      <c r="E15" s="75">
        <f>IF(4&lt;=Annahmen!$B$9,SUMIFS(Budgetplanung!$O$7:$O$30,Budgetplanung!$D$7:$D$30,"Finanzierung"),SUMIFS(Budgetplanung!$N$7:$N$30,Budgetplanung!$D$7:$D$30,"Finanzierung"))</f>
        <v>2200</v>
      </c>
      <c r="F15" s="75">
        <f>IF(5&lt;=Annahmen!$B$9,SUMIFS(Budgetplanung!$Q$7:$Q$30,Budgetplanung!$D$7:$D$30,"Finanzierung"),SUMIFS(Budgetplanung!$P$7:$P$30,Budgetplanung!$D$7:$D$30,"Finanzierung"))</f>
        <v>2200</v>
      </c>
      <c r="G15" s="75">
        <f>IF(6&lt;=Annahmen!$B$9,SUMIFS(Budgetplanung!$S$7:$S$30,Budgetplanung!$D$7:$D$30,"Finanzierung"),SUMIFS(Budgetplanung!$R$7:$R$30,Budgetplanung!$D$7:$D$30,"Finanzierung"))</f>
        <v>2200</v>
      </c>
      <c r="H15" s="75">
        <f>IF(7&lt;=Annahmen!$B$9,SUMIFS(Budgetplanung!$U$7:$U$30,Budgetplanung!$D$7:$D$30,"Finanzierung"),SUMIFS(Budgetplanung!$T$7:$T$30,Budgetplanung!$D$7:$D$30,"Finanzierung"))</f>
        <v>2200</v>
      </c>
      <c r="I15" s="75">
        <f>IF(8&lt;=Annahmen!$B$9,SUMIFS(Budgetplanung!$W$7:$W$30,Budgetplanung!$D$7:$D$30,"Finanzierung"),SUMIFS(Budgetplanung!$V$7:$V$30,Budgetplanung!$D$7:$D$30,"Finanzierung"))</f>
        <v>2200</v>
      </c>
      <c r="J15" s="75">
        <f>IF(9&lt;=Annahmen!$B$9,SUMIFS(Budgetplanung!$Y$7:$Y$30,Budgetplanung!$D$7:$D$30,"Finanzierung"),SUMIFS(Budgetplanung!$X$7:$X$30,Budgetplanung!$D$7:$D$30,"Finanzierung"))</f>
        <v>2200</v>
      </c>
      <c r="K15" s="75">
        <f>IF(10&lt;=Annahmen!$B$9,SUMIFS(Budgetplanung!$AA$7:$AA$30,Budgetplanung!$D$7:$D$30,"Finanzierung"),SUMIFS(Budgetplanung!$Z$7:$Z$30,Budgetplanung!$D$7:$D$30,"Finanzierung"))</f>
        <v>2200</v>
      </c>
      <c r="L15" s="75">
        <f>IF(11&lt;=Annahmen!$B$9,SUMIFS(Budgetplanung!$AC$7:$AC$30,Budgetplanung!$D$7:$D$30,"Finanzierung"),SUMIFS(Budgetplanung!$AB$7:$AB$30,Budgetplanung!$D$7:$D$30,"Finanzierung"))</f>
        <v>2200</v>
      </c>
      <c r="M15" s="75">
        <f>IF(12&lt;=Annahmen!$B$9,SUMIFS(Budgetplanung!$AE$7:$AE$30,Budgetplanung!$D$7:$D$30,"Finanzierung"),SUMIFS(Budgetplanung!$AD$7:$AD$30,Budgetplanung!$D$7:$D$30,"Finanzierung"))</f>
        <v>2200</v>
      </c>
      <c r="N15" s="76">
        <f t="shared" si="1"/>
        <v>26400</v>
      </c>
    </row>
    <row r="16" spans="1:14" x14ac:dyDescent="0.25">
      <c r="A16" s="71" t="s">
        <v>218</v>
      </c>
      <c r="B16" s="75">
        <f>0</f>
        <v>0</v>
      </c>
      <c r="C16" s="75">
        <f t="shared" ref="C16:M16" si="3">MAX(0,B8-B14)</f>
        <v>9693.7999999999993</v>
      </c>
      <c r="D16" s="75">
        <f t="shared" si="3"/>
        <v>10172.6</v>
      </c>
      <c r="E16" s="75">
        <f t="shared" si="3"/>
        <v>9142.7999999999993</v>
      </c>
      <c r="F16" s="75">
        <f t="shared" si="3"/>
        <v>10189.700000000001</v>
      </c>
      <c r="G16" s="75">
        <f t="shared" si="3"/>
        <v>10830</v>
      </c>
      <c r="H16" s="75">
        <f t="shared" si="3"/>
        <v>11457</v>
      </c>
      <c r="I16" s="75">
        <f t="shared" si="3"/>
        <v>11523.5</v>
      </c>
      <c r="J16" s="75">
        <f t="shared" si="3"/>
        <v>11561.5</v>
      </c>
      <c r="K16" s="75">
        <f t="shared" si="3"/>
        <v>11951</v>
      </c>
      <c r="L16" s="75">
        <f t="shared" si="3"/>
        <v>13043.5</v>
      </c>
      <c r="M16" s="75">
        <f t="shared" si="3"/>
        <v>12369</v>
      </c>
      <c r="N16" s="76">
        <f t="shared" si="1"/>
        <v>121934.39999999999</v>
      </c>
    </row>
    <row r="17" spans="1:14" x14ac:dyDescent="0.25">
      <c r="A17" s="71" t="s">
        <v>40</v>
      </c>
      <c r="B17" s="75">
        <f t="shared" ref="B17:M17" si="4">B9-B10-B11-B12-B13-B14-B15-B16</f>
        <v>8913.7999999999993</v>
      </c>
      <c r="C17" s="75">
        <f t="shared" si="4"/>
        <v>2018.8000000000011</v>
      </c>
      <c r="D17" s="75">
        <f t="shared" si="4"/>
        <v>-5909.8000000000011</v>
      </c>
      <c r="E17" s="75">
        <f t="shared" si="4"/>
        <v>1876.9000000000015</v>
      </c>
      <c r="F17" s="75">
        <f t="shared" si="4"/>
        <v>5440.2999999999993</v>
      </c>
      <c r="G17" s="75">
        <f t="shared" si="4"/>
        <v>8427</v>
      </c>
      <c r="H17" s="75">
        <f t="shared" si="4"/>
        <v>8216.5</v>
      </c>
      <c r="I17" s="75">
        <f t="shared" si="4"/>
        <v>8988</v>
      </c>
      <c r="J17" s="75">
        <f t="shared" si="4"/>
        <v>11089.5</v>
      </c>
      <c r="K17" s="75">
        <f t="shared" si="4"/>
        <v>17542.5</v>
      </c>
      <c r="L17" s="75">
        <f t="shared" si="4"/>
        <v>12225.5</v>
      </c>
      <c r="M17" s="75">
        <f t="shared" si="4"/>
        <v>28048.5</v>
      </c>
      <c r="N17" s="76">
        <f t="shared" si="1"/>
        <v>106877.5</v>
      </c>
    </row>
    <row r="18" spans="1:14" x14ac:dyDescent="0.25">
      <c r="A18" s="71" t="s">
        <v>38</v>
      </c>
      <c r="B18" s="75">
        <f t="shared" ref="B18:M18" si="5">B6+B17</f>
        <v>158913.79999999999</v>
      </c>
      <c r="C18" s="75">
        <f t="shared" si="5"/>
        <v>160932.59999999998</v>
      </c>
      <c r="D18" s="75">
        <f t="shared" si="5"/>
        <v>155022.79999999999</v>
      </c>
      <c r="E18" s="75">
        <f t="shared" si="5"/>
        <v>156899.69999999998</v>
      </c>
      <c r="F18" s="75">
        <f t="shared" si="5"/>
        <v>162339.99999999997</v>
      </c>
      <c r="G18" s="75">
        <f t="shared" si="5"/>
        <v>170766.99999999997</v>
      </c>
      <c r="H18" s="75">
        <f t="shared" si="5"/>
        <v>178983.49999999997</v>
      </c>
      <c r="I18" s="75">
        <f t="shared" si="5"/>
        <v>187971.49999999997</v>
      </c>
      <c r="J18" s="75">
        <f t="shared" si="5"/>
        <v>199060.99999999997</v>
      </c>
      <c r="K18" s="75">
        <f t="shared" si="5"/>
        <v>216603.49999999997</v>
      </c>
      <c r="L18" s="75">
        <f t="shared" si="5"/>
        <v>228828.99999999997</v>
      </c>
      <c r="M18" s="75">
        <f t="shared" si="5"/>
        <v>256877.49999999997</v>
      </c>
      <c r="N18" s="76">
        <f>M18</f>
        <v>256877.49999999997</v>
      </c>
    </row>
    <row r="19" spans="1:14" x14ac:dyDescent="0.25">
      <c r="A19" s="71" t="s">
        <v>39</v>
      </c>
      <c r="B19" s="75">
        <f>Annahmen!$B$16</f>
        <v>25000</v>
      </c>
      <c r="C19" s="75">
        <f>Annahmen!$B$16</f>
        <v>25000</v>
      </c>
      <c r="D19" s="75">
        <f>Annahmen!$B$16</f>
        <v>25000</v>
      </c>
      <c r="E19" s="75">
        <f>Annahmen!$B$16</f>
        <v>25000</v>
      </c>
      <c r="F19" s="75">
        <f>Annahmen!$B$16</f>
        <v>25000</v>
      </c>
      <c r="G19" s="75">
        <f>Annahmen!$B$16</f>
        <v>25000</v>
      </c>
      <c r="H19" s="75">
        <f>Annahmen!$B$16</f>
        <v>25000</v>
      </c>
      <c r="I19" s="75">
        <f>Annahmen!$B$16</f>
        <v>25000</v>
      </c>
      <c r="J19" s="75">
        <f>Annahmen!$B$16</f>
        <v>25000</v>
      </c>
      <c r="K19" s="75">
        <f>Annahmen!$B$16</f>
        <v>25000</v>
      </c>
      <c r="L19" s="75">
        <f>Annahmen!$B$16</f>
        <v>25000</v>
      </c>
      <c r="M19" s="75">
        <f>Annahmen!$B$16</f>
        <v>25000</v>
      </c>
      <c r="N19" s="76">
        <f>Annahmen!$B$16</f>
        <v>25000</v>
      </c>
    </row>
    <row r="20" spans="1:14" x14ac:dyDescent="0.25">
      <c r="A20" s="72" t="s">
        <v>131</v>
      </c>
      <c r="B20" s="77" t="str">
        <f t="shared" ref="B20:N20" si="6">IF(B18&gt;=B19,"OK","Liquiditätslücke")</f>
        <v>OK</v>
      </c>
      <c r="C20" s="77" t="str">
        <f t="shared" si="6"/>
        <v>OK</v>
      </c>
      <c r="D20" s="77" t="str">
        <f t="shared" si="6"/>
        <v>OK</v>
      </c>
      <c r="E20" s="77" t="str">
        <f t="shared" si="6"/>
        <v>OK</v>
      </c>
      <c r="F20" s="77" t="str">
        <f t="shared" si="6"/>
        <v>OK</v>
      </c>
      <c r="G20" s="77" t="str">
        <f t="shared" si="6"/>
        <v>OK</v>
      </c>
      <c r="H20" s="77" t="str">
        <f t="shared" si="6"/>
        <v>OK</v>
      </c>
      <c r="I20" s="77" t="str">
        <f t="shared" si="6"/>
        <v>OK</v>
      </c>
      <c r="J20" s="77" t="str">
        <f t="shared" si="6"/>
        <v>OK</v>
      </c>
      <c r="K20" s="77" t="str">
        <f t="shared" si="6"/>
        <v>OK</v>
      </c>
      <c r="L20" s="77" t="str">
        <f t="shared" si="6"/>
        <v>OK</v>
      </c>
      <c r="M20" s="77" t="str">
        <f t="shared" si="6"/>
        <v>OK</v>
      </c>
      <c r="N20" s="78" t="str">
        <f t="shared" si="6"/>
        <v>OK</v>
      </c>
    </row>
  </sheetData>
  <mergeCells count="2">
    <mergeCell ref="A1:N1"/>
    <mergeCell ref="B3:N3"/>
  </mergeCells>
  <conditionalFormatting sqref="B18:N18">
    <cfRule type="expression" dxfId="3" priority="1">
      <formula>B18&lt;B19</formula>
    </cfRule>
    <cfRule type="expression" dxfId="2" priority="2">
      <formula>B18&gt;=B19</formula>
    </cfRule>
  </conditionalFormatting>
  <conditionalFormatting sqref="B20:N20">
    <cfRule type="expression" dxfId="1" priority="3">
      <formula>B20="Liquiditätslücke"</formula>
    </cfRule>
    <cfRule type="expression" dxfId="0" priority="4">
      <formula>B20="OK"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Annahmen</vt:lpstr>
      <vt:lpstr>Budgetplanung</vt:lpstr>
      <vt:lpstr>Liquidität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2026-05-10T17:43:12Z</dcterms:modified>
</cp:coreProperties>
</file>