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sergi\Documents\SEO\SEO\AA_Webs\Excel Aleman\budgetplanung\UNTERNEHMEN\"/>
    </mc:Choice>
  </mc:AlternateContent>
  <xr:revisionPtr revIDLastSave="0" documentId="13_ncr:1_{A5A6E2C1-DD63-4AA4-823F-514998F1445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ashboard" sheetId="1" r:id="rId1"/>
    <sheet name="Budgetplanung" sheetId="2" r:id="rId2"/>
    <sheet name="Annahmen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" i="3" l="1"/>
  <c r="E13" i="3"/>
  <c r="E12" i="3"/>
  <c r="AK45" i="2"/>
  <c r="AH45" i="2"/>
  <c r="U45" i="2"/>
  <c r="AI45" i="2" s="1"/>
  <c r="AK44" i="2"/>
  <c r="AH44" i="2"/>
  <c r="U44" i="2"/>
  <c r="AI44" i="2" s="1"/>
  <c r="AK43" i="2"/>
  <c r="AI43" i="2"/>
  <c r="AH43" i="2"/>
  <c r="U43" i="2"/>
  <c r="AH42" i="2"/>
  <c r="U42" i="2"/>
  <c r="AH41" i="2"/>
  <c r="U41" i="2"/>
  <c r="AH40" i="2"/>
  <c r="U40" i="2"/>
  <c r="AH39" i="2"/>
  <c r="U39" i="2"/>
  <c r="AH38" i="2"/>
  <c r="U38" i="2"/>
  <c r="AH37" i="2"/>
  <c r="U37" i="2"/>
  <c r="AH36" i="2"/>
  <c r="U36" i="2"/>
  <c r="AK35" i="2"/>
  <c r="AH35" i="2"/>
  <c r="U35" i="2"/>
  <c r="AI35" i="2" s="1"/>
  <c r="AK34" i="2"/>
  <c r="AH34" i="2"/>
  <c r="U34" i="2"/>
  <c r="AI34" i="2" s="1"/>
  <c r="AK33" i="2"/>
  <c r="AH33" i="2"/>
  <c r="U33" i="2"/>
  <c r="AI33" i="2" s="1"/>
  <c r="AK32" i="2"/>
  <c r="AH32" i="2"/>
  <c r="U32" i="2"/>
  <c r="AI32" i="2" s="1"/>
  <c r="AK31" i="2"/>
  <c r="AH31" i="2"/>
  <c r="U31" i="2"/>
  <c r="AI31" i="2" s="1"/>
  <c r="AK30" i="2"/>
  <c r="AH30" i="2"/>
  <c r="U30" i="2"/>
  <c r="AI30" i="2" s="1"/>
  <c r="AK29" i="2"/>
  <c r="AH29" i="2"/>
  <c r="U29" i="2"/>
  <c r="AI29" i="2" s="1"/>
  <c r="AK28" i="2"/>
  <c r="AH28" i="2"/>
  <c r="U28" i="2"/>
  <c r="AI28" i="2" s="1"/>
  <c r="AK27" i="2"/>
  <c r="AH27" i="2"/>
  <c r="U27" i="2"/>
  <c r="AI27" i="2" s="1"/>
  <c r="AK26" i="2"/>
  <c r="AH26" i="2"/>
  <c r="U26" i="2"/>
  <c r="AI26" i="2" s="1"/>
  <c r="AK25" i="2"/>
  <c r="AH25" i="2"/>
  <c r="U25" i="2"/>
  <c r="AI25" i="2" s="1"/>
  <c r="AK24" i="2"/>
  <c r="AH24" i="2"/>
  <c r="U24" i="2"/>
  <c r="AI24" i="2" s="1"/>
  <c r="AK23" i="2"/>
  <c r="AH23" i="2"/>
  <c r="U23" i="2"/>
  <c r="AI23" i="2" s="1"/>
  <c r="AK22" i="2"/>
  <c r="AH22" i="2"/>
  <c r="U22" i="2"/>
  <c r="AI22" i="2" s="1"/>
  <c r="AH21" i="2"/>
  <c r="U21" i="2"/>
  <c r="AH20" i="2"/>
  <c r="U20" i="2"/>
  <c r="AH19" i="2"/>
  <c r="U19" i="2"/>
  <c r="AK18" i="2"/>
  <c r="AH18" i="2"/>
  <c r="U18" i="2"/>
  <c r="AI18" i="2" s="1"/>
  <c r="AK17" i="2"/>
  <c r="AH17" i="2"/>
  <c r="U17" i="2"/>
  <c r="AI17" i="2" s="1"/>
  <c r="AK16" i="2"/>
  <c r="AH16" i="2"/>
  <c r="U16" i="2"/>
  <c r="AI16" i="2" s="1"/>
  <c r="AK15" i="2"/>
  <c r="AH15" i="2"/>
  <c r="U15" i="2"/>
  <c r="AI15" i="2" s="1"/>
  <c r="AK14" i="2"/>
  <c r="AH14" i="2"/>
  <c r="U14" i="2"/>
  <c r="AI14" i="2" s="1"/>
  <c r="AK13" i="2"/>
  <c r="AH13" i="2"/>
  <c r="U13" i="2"/>
  <c r="AI13" i="2" s="1"/>
  <c r="AK12" i="2"/>
  <c r="AH12" i="2"/>
  <c r="U12" i="2"/>
  <c r="AI12" i="2" s="1"/>
  <c r="AK11" i="2"/>
  <c r="AH11" i="2"/>
  <c r="U11" i="2"/>
  <c r="AI11" i="2" s="1"/>
  <c r="AK10" i="2"/>
  <c r="AH10" i="2"/>
  <c r="U10" i="2"/>
  <c r="AI10" i="2" s="1"/>
  <c r="AK9" i="2"/>
  <c r="AH9" i="2"/>
  <c r="U9" i="2"/>
  <c r="AI9" i="2" s="1"/>
  <c r="AK8" i="2"/>
  <c r="AH8" i="2"/>
  <c r="U8" i="2"/>
  <c r="AI8" i="2" s="1"/>
  <c r="AK7" i="2"/>
  <c r="AI7" i="2" s="1"/>
  <c r="AH7" i="2"/>
  <c r="U7" i="2"/>
  <c r="AK6" i="2"/>
  <c r="AI6" i="2" s="1"/>
  <c r="AH6" i="2"/>
  <c r="U6" i="2"/>
  <c r="F34" i="1"/>
  <c r="E34" i="1"/>
  <c r="D34" i="1"/>
  <c r="H34" i="1" s="1"/>
  <c r="C34" i="1"/>
  <c r="F33" i="1"/>
  <c r="E33" i="1"/>
  <c r="D33" i="1"/>
  <c r="C33" i="1"/>
  <c r="F32" i="1"/>
  <c r="E32" i="1"/>
  <c r="D32" i="1"/>
  <c r="H32" i="1" s="1"/>
  <c r="C32" i="1"/>
  <c r="F31" i="1"/>
  <c r="E31" i="1"/>
  <c r="D31" i="1"/>
  <c r="H31" i="1" s="1"/>
  <c r="C31" i="1"/>
  <c r="N30" i="1"/>
  <c r="P30" i="1" s="1"/>
  <c r="M30" i="1"/>
  <c r="O30" i="1" s="1"/>
  <c r="F30" i="1"/>
  <c r="E30" i="1"/>
  <c r="D30" i="1"/>
  <c r="H30" i="1" s="1"/>
  <c r="C30" i="1"/>
  <c r="N29" i="1"/>
  <c r="P29" i="1" s="1"/>
  <c r="M29" i="1"/>
  <c r="O29" i="1" s="1"/>
  <c r="F29" i="1"/>
  <c r="E29" i="1"/>
  <c r="D29" i="1"/>
  <c r="H29" i="1" s="1"/>
  <c r="C29" i="1"/>
  <c r="N28" i="1"/>
  <c r="P28" i="1" s="1"/>
  <c r="M28" i="1"/>
  <c r="O28" i="1" s="1"/>
  <c r="F28" i="1"/>
  <c r="E28" i="1"/>
  <c r="D28" i="1"/>
  <c r="H28" i="1" s="1"/>
  <c r="C28" i="1"/>
  <c r="N27" i="1"/>
  <c r="M27" i="1"/>
  <c r="O27" i="1" s="1"/>
  <c r="F27" i="1"/>
  <c r="E27" i="1"/>
  <c r="D27" i="1"/>
  <c r="H27" i="1" s="1"/>
  <c r="C27" i="1"/>
  <c r="N26" i="1"/>
  <c r="M26" i="1"/>
  <c r="O26" i="1" s="1"/>
  <c r="F26" i="1"/>
  <c r="E26" i="1"/>
  <c r="D26" i="1"/>
  <c r="H26" i="1" s="1"/>
  <c r="I26" i="1" s="1"/>
  <c r="C26" i="1"/>
  <c r="G26" i="1" s="1"/>
  <c r="M25" i="1"/>
  <c r="F25" i="1"/>
  <c r="E25" i="1"/>
  <c r="D25" i="1"/>
  <c r="C25" i="1"/>
  <c r="G25" i="1" s="1"/>
  <c r="M24" i="1"/>
  <c r="F24" i="1"/>
  <c r="E24" i="1"/>
  <c r="D24" i="1"/>
  <c r="H24" i="1" s="1"/>
  <c r="I24" i="1" s="1"/>
  <c r="C24" i="1"/>
  <c r="G24" i="1" s="1"/>
  <c r="M23" i="1"/>
  <c r="F23" i="1"/>
  <c r="E23" i="1"/>
  <c r="D23" i="1"/>
  <c r="C23" i="1"/>
  <c r="G23" i="1" s="1"/>
  <c r="B8" i="1"/>
  <c r="B7" i="1"/>
  <c r="B6" i="1"/>
  <c r="D5" i="1"/>
  <c r="B5" i="1"/>
  <c r="B4" i="1"/>
  <c r="P26" i="1" l="1"/>
  <c r="H23" i="1"/>
  <c r="I23" i="1" s="1"/>
  <c r="J23" i="1" s="1"/>
  <c r="J24" i="1" s="1"/>
  <c r="J25" i="1" s="1"/>
  <c r="J26" i="1" s="1"/>
  <c r="H33" i="1"/>
  <c r="P27" i="1"/>
  <c r="H25" i="1"/>
  <c r="I25" i="1" s="1"/>
  <c r="AK21" i="2"/>
  <c r="AK19" i="2"/>
  <c r="AK36" i="2"/>
  <c r="AI36" i="2" s="1"/>
  <c r="AK37" i="2"/>
  <c r="AI37" i="2" s="1"/>
  <c r="AK42" i="2"/>
  <c r="AI42" i="2" s="1"/>
  <c r="AK41" i="2"/>
  <c r="AI41" i="2" s="1"/>
  <c r="AK40" i="2"/>
  <c r="AI40" i="2" s="1"/>
  <c r="AK39" i="2"/>
  <c r="AI39" i="2" s="1"/>
  <c r="AK20" i="2"/>
  <c r="AK38" i="2"/>
  <c r="AI38" i="2" s="1"/>
  <c r="AJ45" i="2"/>
  <c r="AM45" i="2"/>
  <c r="AJ44" i="2"/>
  <c r="AM44" i="2"/>
  <c r="AM43" i="2"/>
  <c r="AJ43" i="2"/>
  <c r="AJ35" i="2"/>
  <c r="AM35" i="2"/>
  <c r="AJ34" i="2"/>
  <c r="AM34" i="2"/>
  <c r="AJ33" i="2"/>
  <c r="AM33" i="2"/>
  <c r="AJ32" i="2"/>
  <c r="AM32" i="2"/>
  <c r="AJ31" i="2"/>
  <c r="AM31" i="2"/>
  <c r="AJ30" i="2"/>
  <c r="AM30" i="2"/>
  <c r="AJ29" i="2"/>
  <c r="AM29" i="2"/>
  <c r="AJ28" i="2"/>
  <c r="AM28" i="2"/>
  <c r="AJ27" i="2"/>
  <c r="AM27" i="2"/>
  <c r="AJ26" i="2"/>
  <c r="AM26" i="2"/>
  <c r="AJ25" i="2"/>
  <c r="AM25" i="2"/>
  <c r="AJ24" i="2"/>
  <c r="AM24" i="2"/>
  <c r="AJ23" i="2"/>
  <c r="AM23" i="2"/>
  <c r="AJ22" i="2"/>
  <c r="AM22" i="2"/>
  <c r="AJ18" i="2"/>
  <c r="AM18" i="2"/>
  <c r="AJ17" i="2"/>
  <c r="AM17" i="2"/>
  <c r="AJ16" i="2"/>
  <c r="AM16" i="2"/>
  <c r="AJ15" i="2"/>
  <c r="AM15" i="2"/>
  <c r="AJ14" i="2"/>
  <c r="AM14" i="2"/>
  <c r="AJ13" i="2"/>
  <c r="AM13" i="2"/>
  <c r="AJ12" i="2"/>
  <c r="AM12" i="2"/>
  <c r="AJ11" i="2"/>
  <c r="AM11" i="2"/>
  <c r="AJ10" i="2"/>
  <c r="AM10" i="2"/>
  <c r="AJ9" i="2"/>
  <c r="AM9" i="2"/>
  <c r="AJ8" i="2"/>
  <c r="AM8" i="2"/>
  <c r="AM7" i="2"/>
  <c r="AJ7" i="2"/>
  <c r="AJ6" i="2"/>
  <c r="AM6" i="2"/>
  <c r="G34" i="1"/>
  <c r="I34" i="1"/>
  <c r="G33" i="1"/>
  <c r="I33" i="1"/>
  <c r="I32" i="1"/>
  <c r="G32" i="1"/>
  <c r="G31" i="1"/>
  <c r="I31" i="1"/>
  <c r="I30" i="1"/>
  <c r="G30" i="1"/>
  <c r="I29" i="1"/>
  <c r="G29" i="1"/>
  <c r="I28" i="1"/>
  <c r="G28" i="1"/>
  <c r="G27" i="1"/>
  <c r="I27" i="1"/>
  <c r="J27" i="1" s="1"/>
  <c r="J28" i="1" s="1"/>
  <c r="J29" i="1" s="1"/>
  <c r="J30" i="1" s="1"/>
  <c r="J31" i="1" s="1"/>
  <c r="J32" i="1" s="1"/>
  <c r="J33" i="1" s="1"/>
  <c r="J34" i="1" s="1"/>
  <c r="J5" i="1" s="1"/>
  <c r="AI21" i="2" l="1"/>
  <c r="N25" i="1"/>
  <c r="AI19" i="2"/>
  <c r="F5" i="1"/>
  <c r="N24" i="1"/>
  <c r="AI20" i="2"/>
  <c r="N23" i="1"/>
  <c r="AJ36" i="2"/>
  <c r="AM36" i="2"/>
  <c r="AJ37" i="2"/>
  <c r="AM37" i="2"/>
  <c r="AJ42" i="2"/>
  <c r="AM42" i="2"/>
  <c r="AJ41" i="2"/>
  <c r="AM41" i="2"/>
  <c r="AJ40" i="2"/>
  <c r="AM40" i="2"/>
  <c r="AJ39" i="2"/>
  <c r="AM39" i="2"/>
  <c r="AJ38" i="2"/>
  <c r="AM38" i="2"/>
  <c r="AM21" i="2" l="1"/>
  <c r="AJ21" i="2"/>
  <c r="O25" i="1"/>
  <c r="P25" i="1"/>
  <c r="AM19" i="2"/>
  <c r="AJ19" i="2"/>
  <c r="H5" i="1"/>
  <c r="L5" i="1" s="1"/>
  <c r="N5" i="1"/>
  <c r="O24" i="1"/>
  <c r="P24" i="1"/>
  <c r="AM20" i="2"/>
  <c r="AJ20" i="2"/>
  <c r="O23" i="1"/>
  <c r="P23" i="1"/>
  <c r="E43" i="1" l="1"/>
  <c r="F43" i="1"/>
  <c r="E40" i="1"/>
  <c r="G43" i="1"/>
  <c r="B43" i="1"/>
  <c r="D43" i="1"/>
  <c r="G42" i="1"/>
  <c r="F42" i="1"/>
  <c r="E42" i="1"/>
  <c r="D42" i="1"/>
  <c r="G41" i="1"/>
  <c r="E39" i="1"/>
  <c r="C42" i="1"/>
  <c r="B42" i="1"/>
  <c r="F41" i="1"/>
  <c r="E41" i="1"/>
  <c r="C41" i="1"/>
  <c r="B41" i="1"/>
  <c r="F40" i="1"/>
  <c r="C40" i="1"/>
  <c r="F39" i="1"/>
  <c r="C39" i="1"/>
  <c r="B39" i="1"/>
  <c r="B40" i="1"/>
  <c r="C43" i="1"/>
  <c r="D41" i="1"/>
  <c r="G40" i="1"/>
  <c r="D40" i="1"/>
  <c r="G39" i="1"/>
  <c r="D39" i="1"/>
</calcChain>
</file>

<file path=xl/sharedStrings.xml><?xml version="1.0" encoding="utf-8"?>
<sst xmlns="http://schemas.openxmlformats.org/spreadsheetml/2006/main" count="407" uniqueCount="203">
  <si>
    <t>Budgetplanung Unternehmen – Dashboard</t>
  </si>
  <si>
    <t>Übersicht über Jahresbudget, Ist-Werte, Forecast, Liquidität und größte Abweichungen.</t>
  </si>
  <si>
    <t>Unternehmen</t>
  </si>
  <si>
    <t>Umsatz Forecast</t>
  </si>
  <si>
    <t>Ausgaben Forecast</t>
  </si>
  <si>
    <t>Ergebnis Forecast</t>
  </si>
  <si>
    <t>Liquidität Ende</t>
  </si>
  <si>
    <t>Budgetabweichung Ergebnis</t>
  </si>
  <si>
    <t>Budgetauslastung</t>
  </si>
  <si>
    <t>Geschäftsjahr</t>
  </si>
  <si>
    <t>Szenario</t>
  </si>
  <si>
    <t>Ist-Monate</t>
  </si>
  <si>
    <t>Anfangsliquidität</t>
  </si>
  <si>
    <t>Monat Nr.</t>
  </si>
  <si>
    <t>Monat</t>
  </si>
  <si>
    <t>Umsatz Plan</t>
  </si>
  <si>
    <t>Umsatz Ist</t>
  </si>
  <si>
    <t>Ausgaben Plan</t>
  </si>
  <si>
    <t>Ausgaben Ist</t>
  </si>
  <si>
    <t>Ergebnis Plan</t>
  </si>
  <si>
    <t>Ergebnis Ist</t>
  </si>
  <si>
    <t>Liquidität Forecast</t>
  </si>
  <si>
    <t>Kostenstelle</t>
  </si>
  <si>
    <t>Budget Ausgaben</t>
  </si>
  <si>
    <t>Forecast Ausgaben</t>
  </si>
  <si>
    <t>Abweichung €</t>
  </si>
  <si>
    <t>Auslastung</t>
  </si>
  <si>
    <t>Jan</t>
  </si>
  <si>
    <t>Vertrieb</t>
  </si>
  <si>
    <t>Feb</t>
  </si>
  <si>
    <t>Marketing</t>
  </si>
  <si>
    <t>Mär</t>
  </si>
  <si>
    <t>Operations</t>
  </si>
  <si>
    <t>Apr</t>
  </si>
  <si>
    <t>Produkt</t>
  </si>
  <si>
    <t>Mai</t>
  </si>
  <si>
    <t>Verwaltung</t>
  </si>
  <si>
    <t>Jun</t>
  </si>
  <si>
    <t>IT</t>
  </si>
  <si>
    <t>Jul</t>
  </si>
  <si>
    <t>Geschäftsführung</t>
  </si>
  <si>
    <t>Aug</t>
  </si>
  <si>
    <t>Kundenservice</t>
  </si>
  <si>
    <t>Sep</t>
  </si>
  <si>
    <t>Okt</t>
  </si>
  <si>
    <t>Nov</t>
  </si>
  <si>
    <t>Dez</t>
  </si>
  <si>
    <t>Rang</t>
  </si>
  <si>
    <t>Budgetposten</t>
  </si>
  <si>
    <t>Typ</t>
  </si>
  <si>
    <t>Jahresbudget</t>
  </si>
  <si>
    <t>Forecast</t>
  </si>
  <si>
    <t>Abweichung %</t>
  </si>
  <si>
    <t>Interpretation</t>
  </si>
  <si>
    <t>Positive Abweichung</t>
  </si>
  <si>
    <t>besser als Budget.</t>
  </si>
  <si>
    <t>Negative Abweichung</t>
  </si>
  <si>
    <t>schlechter als Budget; zuerst prüfen.</t>
  </si>
  <si>
    <t>Ist-Monate + Restjahr-Plan mit Szenariofaktoren.</t>
  </si>
  <si>
    <t>Forecast-Ausgaben im Verhältnis zum Jahresbudget.</t>
  </si>
  <si>
    <t>Makros</t>
  </si>
  <si>
    <t>keine Makros; alle Berechnungen laufen über Formeln.</t>
  </si>
  <si>
    <t>Budgetplanung Unternehmen – Jahresbudget, Ist-Vergleich und Forecast</t>
  </si>
  <si>
    <t>Alle Werte sind Beispieldaten. Ersetze die blauen Eingabezellen durch deine eigenen Unternehmenswerte; Formeln und Dashboard aktualisieren sich automatisch.</t>
  </si>
  <si>
    <t>ID</t>
  </si>
  <si>
    <t>Bereich</t>
  </si>
  <si>
    <t>Kostenart</t>
  </si>
  <si>
    <t>Verantwortlich</t>
  </si>
  <si>
    <t>Status</t>
  </si>
  <si>
    <t>Plan Jan</t>
  </si>
  <si>
    <t>Plan Feb</t>
  </si>
  <si>
    <t>Plan Mär</t>
  </si>
  <si>
    <t>Plan Apr</t>
  </si>
  <si>
    <t>Plan Mai</t>
  </si>
  <si>
    <t>Plan Jun</t>
  </si>
  <si>
    <t>Plan Jul</t>
  </si>
  <si>
    <t>Plan Aug</t>
  </si>
  <si>
    <t>Plan Sep</t>
  </si>
  <si>
    <t>Plan Okt</t>
  </si>
  <si>
    <t>Plan Nov</t>
  </si>
  <si>
    <t>Plan Dez</t>
  </si>
  <si>
    <t>Ist Jan</t>
  </si>
  <si>
    <t>Ist Feb</t>
  </si>
  <si>
    <t>Ist Mär</t>
  </si>
  <si>
    <t>Ist Apr</t>
  </si>
  <si>
    <t>Ist Mai</t>
  </si>
  <si>
    <t>Ist Jun</t>
  </si>
  <si>
    <t>Ist Jul</t>
  </si>
  <si>
    <t>Ist Aug</t>
  </si>
  <si>
    <t>Ist Sep</t>
  </si>
  <si>
    <t>Ist Okt</t>
  </si>
  <si>
    <t>Ist Nov</t>
  </si>
  <si>
    <t>Ist Dez</t>
  </si>
  <si>
    <t>Jahres-Ist</t>
  </si>
  <si>
    <t>Abweichung Forecast €</t>
  </si>
  <si>
    <t>Abweichung Forecast %</t>
  </si>
  <si>
    <t>Forecast Jahr</t>
  </si>
  <si>
    <t>Bemerkung</t>
  </si>
  <si>
    <t>Abw. absolut</t>
  </si>
  <si>
    <t>E01</t>
  </si>
  <si>
    <t>Umsatz</t>
  </si>
  <si>
    <t>Produktumsatz Standard</t>
  </si>
  <si>
    <t>Einnahme</t>
  </si>
  <si>
    <t>Variabel</t>
  </si>
  <si>
    <t>Lea Bauer</t>
  </si>
  <si>
    <t>Freigegeben</t>
  </si>
  <si>
    <t>E02</t>
  </si>
  <si>
    <t>Produktumsatz Premium</t>
  </si>
  <si>
    <t>E03</t>
  </si>
  <si>
    <t>Serviceverträge</t>
  </si>
  <si>
    <t>Fix</t>
  </si>
  <si>
    <t>Nora Fuchs</t>
  </si>
  <si>
    <t>E04</t>
  </si>
  <si>
    <t>Projektgeschäft Mittelstand</t>
  </si>
  <si>
    <t>Jonas Weber</t>
  </si>
  <si>
    <t>In Prüfung</t>
  </si>
  <si>
    <t>E05</t>
  </si>
  <si>
    <t>Schulungen und Workshops</t>
  </si>
  <si>
    <t>Sara Klein</t>
  </si>
  <si>
    <t>Geplant</t>
  </si>
  <si>
    <t>E06</t>
  </si>
  <si>
    <t>Sonstige betriebliche Erlöse</t>
  </si>
  <si>
    <t>Mika Hoffmann</t>
  </si>
  <si>
    <t>A01</t>
  </si>
  <si>
    <t>Personal</t>
  </si>
  <si>
    <t>Gehälter Vertrieb</t>
  </si>
  <si>
    <t>Ausgabe</t>
  </si>
  <si>
    <t>A02</t>
  </si>
  <si>
    <t>Gehälter Operations</t>
  </si>
  <si>
    <t>Timo Schulte</t>
  </si>
  <si>
    <t>A03</t>
  </si>
  <si>
    <t>Gehälter Verwaltung</t>
  </si>
  <si>
    <t>A04</t>
  </si>
  <si>
    <t>Freelancer Produktentwicklung</t>
  </si>
  <si>
    <t>A05</t>
  </si>
  <si>
    <t>Betrieb</t>
  </si>
  <si>
    <t>Büromiete und Nebenkosten</t>
  </si>
  <si>
    <t>A06</t>
  </si>
  <si>
    <t>Software und Cloud-Tools</t>
  </si>
  <si>
    <t>Teamleitung</t>
  </si>
  <si>
    <t>A07</t>
  </si>
  <si>
    <t>Performance-Kampagnen</t>
  </si>
  <si>
    <t>A08</t>
  </si>
  <si>
    <t>Messen und Events</t>
  </si>
  <si>
    <t>A09</t>
  </si>
  <si>
    <t>Reisekosten Vertrieb</t>
  </si>
  <si>
    <t>A10</t>
  </si>
  <si>
    <t>Wareneinsatz</t>
  </si>
  <si>
    <t>Material und Handelsware</t>
  </si>
  <si>
    <t>A11</t>
  </si>
  <si>
    <t>Logistik</t>
  </si>
  <si>
    <t>Versand und Lager</t>
  </si>
  <si>
    <t>A12</t>
  </si>
  <si>
    <t>Versicherungen</t>
  </si>
  <si>
    <t>A13</t>
  </si>
  <si>
    <t>Steuerberatung und Buchhaltung</t>
  </si>
  <si>
    <t>A14</t>
  </si>
  <si>
    <t>Hardware-Erneuerung</t>
  </si>
  <si>
    <t>Investition</t>
  </si>
  <si>
    <t>A15</t>
  </si>
  <si>
    <t>Forschung und Entwicklung</t>
  </si>
  <si>
    <t>A16</t>
  </si>
  <si>
    <t>Support-Tools</t>
  </si>
  <si>
    <t>A17</t>
  </si>
  <si>
    <t>Leasing Fahrzeuge</t>
  </si>
  <si>
    <t>A18</t>
  </si>
  <si>
    <t>Weiterbildung Team</t>
  </si>
  <si>
    <t>A19</t>
  </si>
  <si>
    <t>Rechtsberatung</t>
  </si>
  <si>
    <t>A20</t>
  </si>
  <si>
    <t>Energie und Instandhaltung</t>
  </si>
  <si>
    <t>A21</t>
  </si>
  <si>
    <t>Content-Produktion</t>
  </si>
  <si>
    <t>A22</t>
  </si>
  <si>
    <t>Provisionen</t>
  </si>
  <si>
    <t>A23</t>
  </si>
  <si>
    <t>Strategische Reserve</t>
  </si>
  <si>
    <t>A24</t>
  </si>
  <si>
    <t>ERP-Einführung</t>
  </si>
  <si>
    <t>Annahmen und Steuerung</t>
  </si>
  <si>
    <t>NovaWerk GmbH</t>
  </si>
  <si>
    <t>Worst Case</t>
  </si>
  <si>
    <t>Basis</t>
  </si>
  <si>
    <t>Best Case</t>
  </si>
  <si>
    <t>Ist-Monate erfasst</t>
  </si>
  <si>
    <t>Gestoppt</t>
  </si>
  <si>
    <t>Ausgewähltes Szenario</t>
  </si>
  <si>
    <t>Hinweis</t>
  </si>
  <si>
    <t>Blaue Zellen sind Eingaben. Schwarze Zellen enthalten Formeln.</t>
  </si>
  <si>
    <t>Parameter</t>
  </si>
  <si>
    <t>Aktiver Wert</t>
  </si>
  <si>
    <t>Umsatzfaktor für Restjahr</t>
  </si>
  <si>
    <t>Kostenfaktor für Restjahr</t>
  </si>
  <si>
    <t>Investitionsfaktor für Restjahr</t>
  </si>
  <si>
    <t>Kurzanleitung</t>
  </si>
  <si>
    <t>1</t>
  </si>
  <si>
    <t>Budgetplanung ausfüllen: blaue Plan- und Ist-Zellen anpassen.</t>
  </si>
  <si>
    <t>2</t>
  </si>
  <si>
    <t>Ist-Monate in B6 aktualisieren. Forecast nutzt Ist-Werte bis zu diesem Monat und Planwerte danach.</t>
  </si>
  <si>
    <t>3</t>
  </si>
  <si>
    <t>Szenario in B7 wählen. Umsatz-, Kosten- und Investitionsfaktoren ändern die Restjahres-Projektion.</t>
  </si>
  <si>
    <t>4</t>
  </si>
  <si>
    <t>Dashboard prüfen: Ergebnis, Liquidität, Kostenstellen und größte Abweichungen.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</si>
</sst>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&quot;€&quot;;[Red]\(#,##0\ &quot;€&quot;\);\-"/>
    <numFmt numFmtId="165" formatCode="0.0%;[Red]\(0.0%\);\-"/>
  </numFmts>
  <fonts count="14" x14ac:knownFonts="1">
    <font>
      <sz val="11"/>
      <name val="Carlito"/>
    </font>
    <font>
      <b/>
      <sz val="18"/>
      <color rgb="FFFFFFFF"/>
      <name val="Aptos"/>
    </font>
    <font>
      <sz val="11"/>
      <name val="Aptos"/>
    </font>
    <font>
      <i/>
      <sz val="11"/>
      <color rgb="FF374151"/>
      <name val="Aptos"/>
    </font>
    <font>
      <b/>
      <sz val="11"/>
      <name val="Aptos"/>
    </font>
    <font>
      <b/>
      <sz val="11"/>
      <color rgb="FF008000"/>
      <name val="Aptos"/>
    </font>
    <font>
      <b/>
      <sz val="11"/>
      <color rgb="FFFFFFFF"/>
      <name val="Aptos"/>
    </font>
    <font>
      <b/>
      <sz val="14"/>
      <color rgb="FF000000"/>
      <name val="Aptos"/>
    </font>
    <font>
      <sz val="11"/>
      <color rgb="FF000000"/>
      <name val="Aptos"/>
    </font>
    <font>
      <b/>
      <sz val="16"/>
      <color rgb="FFFFFFFF"/>
      <name val="Aptos"/>
    </font>
    <font>
      <sz val="11"/>
      <color rgb="FF0000FF"/>
      <name val="Aptos"/>
    </font>
    <font>
      <b/>
      <sz val="11"/>
      <color rgb="FF000000"/>
      <name val="Aptos"/>
    </font>
    <font>
      <b/>
      <sz val="11"/>
      <color rgb="FF374151"/>
      <name val="Aptos"/>
    </font>
    <font>
      <sz val="11"/>
      <name val="Carlito"/>
    </font>
  </fonts>
  <fills count="13">
    <fill>
      <patternFill patternType="none"/>
    </fill>
    <fill>
      <patternFill patternType="gray125"/>
    </fill>
    <fill>
      <patternFill patternType="solid">
        <fgColor rgb="FF17365D"/>
      </patternFill>
    </fill>
    <fill>
      <patternFill patternType="solid">
        <fgColor rgb="FFF3F4F6"/>
      </patternFill>
    </fill>
    <fill>
      <patternFill patternType="solid">
        <fgColor rgb="FFFFF2CC"/>
      </patternFill>
    </fill>
    <fill>
      <patternFill patternType="solid">
        <fgColor rgb="FF1F4E79"/>
      </patternFill>
    </fill>
    <fill>
      <patternFill patternType="solid">
        <fgColor rgb="FFE2F0D9"/>
      </patternFill>
    </fill>
    <fill>
      <patternFill patternType="solid">
        <fgColor rgb="FFFAFAFA"/>
      </patternFill>
    </fill>
    <fill>
      <patternFill patternType="solid">
        <fgColor rgb="FF0F766E"/>
      </patternFill>
    </fill>
    <fill>
      <patternFill patternType="solid">
        <fgColor rgb="FFD9EAF7"/>
      </patternFill>
    </fill>
    <fill>
      <patternFill patternType="solid">
        <fgColor rgb="FFE5E7EB"/>
      </patternFill>
    </fill>
    <fill>
      <patternFill patternType="solid">
        <fgColor rgb="FFEFF6FF"/>
      </patternFill>
    </fill>
    <fill>
      <patternFill patternType="solid">
        <fgColor rgb="FFF3F4F6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3" fillId="0" borderId="0"/>
  </cellStyleXfs>
  <cellXfs count="40">
    <xf numFmtId="0" fontId="0" fillId="0" borderId="0" xfId="0"/>
    <xf numFmtId="0" fontId="2" fillId="0" borderId="0" xfId="1" applyFont="1"/>
    <xf numFmtId="0" fontId="2" fillId="0" borderId="0" xfId="1" applyFont="1" applyAlignment="1">
      <alignment vertical="center"/>
    </xf>
    <xf numFmtId="0" fontId="4" fillId="3" borderId="0" xfId="1" applyFont="1" applyFill="1" applyAlignment="1">
      <alignment vertical="center"/>
    </xf>
    <xf numFmtId="0" fontId="5" fillId="6" borderId="0" xfId="1" applyFont="1" applyFill="1" applyAlignment="1">
      <alignment vertical="center"/>
    </xf>
    <xf numFmtId="0" fontId="6" fillId="5" borderId="0" xfId="1" applyFont="1" applyFill="1" applyAlignment="1">
      <alignment horizontal="center" vertical="center"/>
    </xf>
    <xf numFmtId="164" fontId="5" fillId="6" borderId="0" xfId="1" applyNumberFormat="1" applyFont="1" applyFill="1" applyAlignment="1">
      <alignment vertical="center"/>
    </xf>
    <xf numFmtId="0" fontId="6" fillId="5" borderId="0" xfId="1" applyFont="1" applyFill="1" applyAlignment="1">
      <alignment horizontal="center" vertical="center" wrapText="1"/>
    </xf>
    <xf numFmtId="0" fontId="2" fillId="7" borderId="0" xfId="1" applyFont="1" applyFill="1" applyAlignment="1">
      <alignment vertical="center"/>
    </xf>
    <xf numFmtId="164" fontId="8" fillId="0" borderId="0" xfId="1" applyNumberFormat="1" applyFont="1" applyAlignment="1">
      <alignment vertical="center"/>
    </xf>
    <xf numFmtId="0" fontId="4" fillId="7" borderId="0" xfId="1" applyFont="1" applyFill="1" applyAlignment="1">
      <alignment vertical="center"/>
    </xf>
    <xf numFmtId="164" fontId="2" fillId="0" borderId="0" xfId="1" applyNumberFormat="1" applyFont="1" applyAlignment="1">
      <alignment vertical="center"/>
    </xf>
    <xf numFmtId="165" fontId="2" fillId="0" borderId="0" xfId="1" applyNumberFormat="1" applyFont="1" applyAlignment="1">
      <alignment vertical="center"/>
    </xf>
    <xf numFmtId="0" fontId="4" fillId="0" borderId="0" xfId="1" applyFont="1" applyAlignment="1">
      <alignment horizontal="center" vertical="center"/>
    </xf>
    <xf numFmtId="0" fontId="2" fillId="0" borderId="0" xfId="1" applyFont="1" applyAlignment="1">
      <alignment vertical="center" wrapText="1"/>
    </xf>
    <xf numFmtId="0" fontId="2" fillId="7" borderId="0" xfId="1" applyFont="1" applyFill="1" applyAlignment="1">
      <alignment vertical="center" wrapText="1"/>
    </xf>
    <xf numFmtId="0" fontId="10" fillId="9" borderId="0" xfId="1" applyFont="1" applyFill="1" applyAlignment="1">
      <alignment vertical="center"/>
    </xf>
    <xf numFmtId="0" fontId="11" fillId="6" borderId="0" xfId="1" applyFont="1" applyFill="1" applyAlignment="1">
      <alignment vertical="center"/>
    </xf>
    <xf numFmtId="0" fontId="10" fillId="4" borderId="0" xfId="1" applyFont="1" applyFill="1" applyAlignment="1">
      <alignment vertical="center"/>
    </xf>
    <xf numFmtId="0" fontId="8" fillId="6" borderId="0" xfId="1" applyFont="1" applyFill="1" applyAlignment="1">
      <alignment vertical="center"/>
    </xf>
    <xf numFmtId="0" fontId="8" fillId="10" borderId="0" xfId="1" applyFont="1" applyFill="1" applyAlignment="1">
      <alignment vertical="center"/>
    </xf>
    <xf numFmtId="0" fontId="12" fillId="3" borderId="0" xfId="1" applyFont="1" applyFill="1" applyAlignment="1">
      <alignment vertical="center"/>
    </xf>
    <xf numFmtId="164" fontId="10" fillId="4" borderId="0" xfId="1" applyNumberFormat="1" applyFont="1" applyFill="1" applyAlignment="1">
      <alignment vertical="center"/>
    </xf>
    <xf numFmtId="1" fontId="10" fillId="4" borderId="0" xfId="1" applyNumberFormat="1" applyFont="1" applyFill="1" applyAlignment="1">
      <alignment vertical="center"/>
    </xf>
    <xf numFmtId="0" fontId="3" fillId="0" borderId="0" xfId="1" applyFont="1" applyAlignment="1">
      <alignment vertical="center" wrapText="1"/>
    </xf>
    <xf numFmtId="165" fontId="10" fillId="0" borderId="0" xfId="1" applyNumberFormat="1" applyFont="1" applyAlignment="1">
      <alignment vertical="center"/>
    </xf>
    <xf numFmtId="165" fontId="11" fillId="6" borderId="0" xfId="1" applyNumberFormat="1" applyFont="1" applyFill="1" applyAlignment="1">
      <alignment vertical="center"/>
    </xf>
    <xf numFmtId="0" fontId="4" fillId="12" borderId="0" xfId="1" applyFont="1" applyFill="1" applyAlignment="1">
      <alignment vertical="center"/>
    </xf>
    <xf numFmtId="0" fontId="1" fillId="2" borderId="0" xfId="1" applyFont="1" applyFill="1" applyAlignment="1">
      <alignment horizontal="left" vertical="center"/>
    </xf>
    <xf numFmtId="0" fontId="3" fillId="0" borderId="0" xfId="1" applyFont="1" applyAlignment="1">
      <alignment vertical="center"/>
    </xf>
    <xf numFmtId="0" fontId="6" fillId="5" borderId="0" xfId="1" applyFont="1" applyFill="1" applyAlignment="1">
      <alignment horizontal="center" vertical="center"/>
    </xf>
    <xf numFmtId="164" fontId="7" fillId="11" borderId="0" xfId="1" applyNumberFormat="1" applyFont="1" applyFill="1" applyAlignment="1">
      <alignment horizontal="center" vertical="center"/>
    </xf>
    <xf numFmtId="165" fontId="7" fillId="11" borderId="0" xfId="1" applyNumberFormat="1" applyFont="1" applyFill="1" applyAlignment="1">
      <alignment horizontal="center" vertical="center"/>
    </xf>
    <xf numFmtId="0" fontId="6" fillId="8" borderId="0" xfId="1" applyFont="1" applyFill="1" applyAlignment="1">
      <alignment vertical="center"/>
    </xf>
    <xf numFmtId="0" fontId="2" fillId="0" borderId="0" xfId="1" applyFont="1" applyAlignment="1">
      <alignment vertical="center" wrapText="1"/>
    </xf>
    <xf numFmtId="0" fontId="9" fillId="2" borderId="0" xfId="1" applyFont="1" applyFill="1" applyAlignment="1">
      <alignment horizontal="left"/>
    </xf>
    <xf numFmtId="164" fontId="9" fillId="2" borderId="0" xfId="1" applyNumberFormat="1" applyFont="1" applyFill="1" applyAlignment="1">
      <alignment horizontal="left"/>
    </xf>
    <xf numFmtId="165" fontId="9" fillId="2" borderId="0" xfId="1" applyNumberFormat="1" applyFont="1" applyFill="1" applyAlignment="1">
      <alignment horizontal="left"/>
    </xf>
    <xf numFmtId="0" fontId="3" fillId="0" borderId="0" xfId="1" applyFont="1" applyAlignment="1">
      <alignment wrapText="1"/>
    </xf>
    <xf numFmtId="0" fontId="9" fillId="2" borderId="0" xfId="1" applyFont="1" applyFill="1" applyAlignment="1">
      <alignment horizontal="left" vertical="center"/>
    </xf>
  </cellXfs>
  <cellStyles count="2">
    <cellStyle name="Normal" xfId="1" xr:uid="{00000000-0005-0000-0000-000000000000}"/>
    <cellStyle name="Standard" xfId="0" builtinId="0"/>
  </cellStyles>
  <dxfs count="5">
    <dxf>
      <font>
        <color rgb="FF166534"/>
      </font>
      <fill>
        <patternFill>
          <bgColor rgb="FFE2F0D9"/>
        </patternFill>
      </fill>
    </dxf>
    <dxf>
      <font>
        <color rgb="FFB91C1C"/>
      </font>
      <fill>
        <patternFill>
          <bgColor rgb="FFFCE4D6"/>
        </patternFill>
      </fill>
    </dxf>
    <dxf>
      <font>
        <color rgb="FFB91C1C"/>
      </font>
      <fill>
        <patternFill>
          <bgColor rgb="FFFCE4D6"/>
        </patternFill>
      </fill>
    </dxf>
    <dxf>
      <font>
        <color rgb="FF166534"/>
      </font>
      <fill>
        <patternFill>
          <bgColor rgb="FFE2F0D9"/>
        </patternFill>
      </fill>
    </dxf>
    <dxf>
      <font>
        <color rgb="FFB91C1C"/>
      </font>
      <fill>
        <patternFill>
          <bgColor rgb="FFFCE4D6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c:style val="2"/>
  <c:chart>
    <c:title>
      <c:tx>
        <c:rich>
          <a:bodyPr/>
          <a:lstStyle/>
          <a:p>
            <a:r>
              <a:rPr lang="de-DE"/>
              <a:t>Monatliche Entwicklung</a:t>
            </a:r>
          </a:p>
        </c:rich>
      </c:tx>
      <c:overlay val="0"/>
    </c:title>
    <c:autoTitleDeleted val="0"/>
    <c:plotArea>
      <c:layout/>
      <c:lineChart>
        <c:grouping val="standard"/>
        <c:varyColors val="1"/>
        <c:ser>
          <c:idx val="0"/>
          <c:order val="0"/>
          <c:tx>
            <c:v>Umsatz Plan</c:v>
          </c:tx>
          <c:cat>
            <c:strRef>
              <c:f>Dashboard!$B$23:$B$34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Mär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Dashboard!$C$23:$C$34</c:f>
              <c:numCache>
                <c:formatCode>General</c:formatCode>
                <c:ptCount val="12"/>
                <c:pt idx="0">
                  <c:v>109500</c:v>
                </c:pt>
                <c:pt idx="1">
                  <c:v>117500</c:v>
                </c:pt>
                <c:pt idx="2">
                  <c:v>129000</c:v>
                </c:pt>
                <c:pt idx="3">
                  <c:v>142000</c:v>
                </c:pt>
                <c:pt idx="4">
                  <c:v>136000</c:v>
                </c:pt>
                <c:pt idx="5">
                  <c:v>149500</c:v>
                </c:pt>
                <c:pt idx="6">
                  <c:v>156500</c:v>
                </c:pt>
                <c:pt idx="7">
                  <c:v>144500</c:v>
                </c:pt>
                <c:pt idx="8">
                  <c:v>164000</c:v>
                </c:pt>
                <c:pt idx="9">
                  <c:v>177000</c:v>
                </c:pt>
                <c:pt idx="10">
                  <c:v>175500</c:v>
                </c:pt>
                <c:pt idx="11">
                  <c:v>191000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68-40BE-A8ED-FFC158ADC4A3}"/>
            </c:ext>
          </c:extLst>
        </c:ser>
        <c:ser>
          <c:idx val="1"/>
          <c:order val="1"/>
          <c:tx>
            <c:v>Umsatz Ist</c:v>
          </c:tx>
          <c:cat>
            <c:strRef>
              <c:f>Dashboard!$B$23:$B$34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Mär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Dashboard!$D$23:$D$34</c:f>
              <c:numCache>
                <c:formatCode>General</c:formatCode>
                <c:ptCount val="12"/>
                <c:pt idx="0">
                  <c:v>105900</c:v>
                </c:pt>
                <c:pt idx="1">
                  <c:v>122300</c:v>
                </c:pt>
                <c:pt idx="2">
                  <c:v>127600</c:v>
                </c:pt>
                <c:pt idx="3">
                  <c:v>147400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68-40BE-A8ED-FFC158ADC4A3}"/>
            </c:ext>
          </c:extLst>
        </c:ser>
        <c:ser>
          <c:idx val="2"/>
          <c:order val="2"/>
          <c:tx>
            <c:v>Ausgaben Plan</c:v>
          </c:tx>
          <c:cat>
            <c:strRef>
              <c:f>Dashboard!$B$23:$B$34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Mär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Dashboard!$E$23:$E$34</c:f>
              <c:numCache>
                <c:formatCode>General</c:formatCode>
                <c:ptCount val="12"/>
                <c:pt idx="0">
                  <c:v>150300</c:v>
                </c:pt>
                <c:pt idx="1">
                  <c:v>157000</c:v>
                </c:pt>
                <c:pt idx="2">
                  <c:v>173400</c:v>
                </c:pt>
                <c:pt idx="3">
                  <c:v>187600</c:v>
                </c:pt>
                <c:pt idx="4">
                  <c:v>185800</c:v>
                </c:pt>
                <c:pt idx="5">
                  <c:v>196900</c:v>
                </c:pt>
                <c:pt idx="6">
                  <c:v>200300</c:v>
                </c:pt>
                <c:pt idx="7">
                  <c:v>180200</c:v>
                </c:pt>
                <c:pt idx="8">
                  <c:v>205500</c:v>
                </c:pt>
                <c:pt idx="9">
                  <c:v>199400</c:v>
                </c:pt>
                <c:pt idx="10">
                  <c:v>210100</c:v>
                </c:pt>
                <c:pt idx="11">
                  <c:v>217400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E68-40BE-A8ED-FFC158ADC4A3}"/>
            </c:ext>
          </c:extLst>
        </c:ser>
        <c:ser>
          <c:idx val="3"/>
          <c:order val="3"/>
          <c:tx>
            <c:v>Ausgaben Ist</c:v>
          </c:tx>
          <c:cat>
            <c:strRef>
              <c:f>Dashboard!$B$23:$B$34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Mär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Dashboard!$F$23:$F$34</c:f>
              <c:numCache>
                <c:formatCode>General</c:formatCode>
                <c:ptCount val="12"/>
                <c:pt idx="0">
                  <c:v>145830</c:v>
                </c:pt>
                <c:pt idx="1">
                  <c:v>157770</c:v>
                </c:pt>
                <c:pt idx="2">
                  <c:v>176270</c:v>
                </c:pt>
                <c:pt idx="3">
                  <c:v>191010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E68-40BE-A8ED-FFC158ADC4A3}"/>
            </c:ext>
          </c:extLst>
        </c:ser>
        <c:ser>
          <c:idx val="4"/>
          <c:order val="4"/>
          <c:tx>
            <c:v>Ergebnis Plan</c:v>
          </c:tx>
          <c:cat>
            <c:strRef>
              <c:f>Dashboard!$B$23:$B$34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Mär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Dashboard!$G$23:$G$34</c:f>
              <c:numCache>
                <c:formatCode>General</c:formatCode>
                <c:ptCount val="12"/>
                <c:pt idx="0">
                  <c:v>-40800</c:v>
                </c:pt>
                <c:pt idx="1">
                  <c:v>-39500</c:v>
                </c:pt>
                <c:pt idx="2">
                  <c:v>-44400</c:v>
                </c:pt>
                <c:pt idx="3">
                  <c:v>-45600</c:v>
                </c:pt>
                <c:pt idx="4">
                  <c:v>-49800</c:v>
                </c:pt>
                <c:pt idx="5">
                  <c:v>-47400</c:v>
                </c:pt>
                <c:pt idx="6">
                  <c:v>-43800</c:v>
                </c:pt>
                <c:pt idx="7">
                  <c:v>-35700</c:v>
                </c:pt>
                <c:pt idx="8">
                  <c:v>-41500</c:v>
                </c:pt>
                <c:pt idx="9">
                  <c:v>-22400</c:v>
                </c:pt>
                <c:pt idx="10">
                  <c:v>-34600</c:v>
                </c:pt>
                <c:pt idx="11">
                  <c:v>-26400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E68-40BE-A8ED-FFC158ADC4A3}"/>
            </c:ext>
          </c:extLst>
        </c:ser>
        <c:ser>
          <c:idx val="5"/>
          <c:order val="5"/>
          <c:tx>
            <c:v>Ergebnis Ist</c:v>
          </c:tx>
          <c:cat>
            <c:strRef>
              <c:f>Dashboard!$B$23:$B$34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Mär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Dashboard!$H$23:$H$34</c:f>
              <c:numCache>
                <c:formatCode>General</c:formatCode>
                <c:ptCount val="12"/>
                <c:pt idx="0">
                  <c:v>-39930</c:v>
                </c:pt>
                <c:pt idx="1">
                  <c:v>-35470</c:v>
                </c:pt>
                <c:pt idx="2">
                  <c:v>-48670</c:v>
                </c:pt>
                <c:pt idx="3">
                  <c:v>-43610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E68-40BE-A8ED-FFC158ADC4A3}"/>
            </c:ext>
          </c:extLst>
        </c:ser>
        <c:ser>
          <c:idx val="6"/>
          <c:order val="6"/>
          <c:tx>
            <c:v>Ergebnis Forecast</c:v>
          </c:tx>
          <c:cat>
            <c:strRef>
              <c:f>Dashboard!$B$23:$B$34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Mär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Dashboard!$I$23:$I$34</c:f>
              <c:numCache>
                <c:formatCode>General</c:formatCode>
                <c:ptCount val="12"/>
                <c:pt idx="0">
                  <c:v>-39930</c:v>
                </c:pt>
                <c:pt idx="1">
                  <c:v>-35470</c:v>
                </c:pt>
                <c:pt idx="2">
                  <c:v>-48670</c:v>
                </c:pt>
                <c:pt idx="3">
                  <c:v>-43610</c:v>
                </c:pt>
                <c:pt idx="4">
                  <c:v>-49800</c:v>
                </c:pt>
                <c:pt idx="5">
                  <c:v>-47400</c:v>
                </c:pt>
                <c:pt idx="6">
                  <c:v>-43800</c:v>
                </c:pt>
                <c:pt idx="7">
                  <c:v>-35700</c:v>
                </c:pt>
                <c:pt idx="8">
                  <c:v>-41500</c:v>
                </c:pt>
                <c:pt idx="9">
                  <c:v>-22400</c:v>
                </c:pt>
                <c:pt idx="10">
                  <c:v>-34600</c:v>
                </c:pt>
                <c:pt idx="11">
                  <c:v>-26400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AE68-40BE-A8ED-FFC158ADC4A3}"/>
            </c:ext>
          </c:extLst>
        </c:ser>
        <c:ser>
          <c:idx val="7"/>
          <c:order val="7"/>
          <c:tx>
            <c:v>Liquidität Forecast</c:v>
          </c:tx>
          <c:cat>
            <c:strRef>
              <c:f>Dashboard!$B$23:$B$34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Mär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Dashboard!$J$23:$J$34</c:f>
              <c:numCache>
                <c:formatCode>General</c:formatCode>
                <c:ptCount val="12"/>
                <c:pt idx="0">
                  <c:v>10070</c:v>
                </c:pt>
                <c:pt idx="1">
                  <c:v>-25400</c:v>
                </c:pt>
                <c:pt idx="2">
                  <c:v>-74070</c:v>
                </c:pt>
                <c:pt idx="3">
                  <c:v>-117680</c:v>
                </c:pt>
                <c:pt idx="4">
                  <c:v>-167480</c:v>
                </c:pt>
                <c:pt idx="5">
                  <c:v>-214880</c:v>
                </c:pt>
                <c:pt idx="6">
                  <c:v>-258680</c:v>
                </c:pt>
                <c:pt idx="7">
                  <c:v>-294380</c:v>
                </c:pt>
                <c:pt idx="8">
                  <c:v>-335880</c:v>
                </c:pt>
                <c:pt idx="9">
                  <c:v>-358280</c:v>
                </c:pt>
                <c:pt idx="10">
                  <c:v>-392880</c:v>
                </c:pt>
                <c:pt idx="11">
                  <c:v>-419280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AE68-40BE-A8ED-FFC158ADC4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650112"/>
        <c:axId val="48672768"/>
      </c:lineChart>
      <c:catAx>
        <c:axId val="48650112"/>
        <c:scaling>
          <c:orientation val="minMax"/>
        </c:scaling>
        <c:delete val="0"/>
        <c:axPos val="b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General" sourceLinked="1"/>
        <c:majorTickMark val="none"/>
        <c:minorTickMark val="none"/>
        <c:tickLblPos val="nextTo"/>
        <c:crossAx val="48672768"/>
        <c:crosses val="autoZero"/>
        <c:auto val="1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General" sourceLinked="1"/>
        <c:majorTickMark val="none"/>
        <c:minorTickMark val="none"/>
        <c:tickLblPos val="nextTo"/>
        <c:crossAx val="48650112"/>
        <c:crosses val="autoZero"/>
        <c:crossBetween val="between"/>
      </c:valAx>
    </c:plotArea>
    <c:legend>
      <c:legendPos val="b"/>
      <c:overlay val="0"/>
    </c:legend>
    <c:plotVisOnly val="1"/>
    <c:dispBlanksAs val="zero"/>
    <c:showDLblsOverMax val="1"/>
  </c:chart>
  <c:spPr>
    <a:solidFill>
      <a:srgbClr val="FFFFCC"/>
    </a:solidFill>
    <a:ln w="9525">
      <a:solidFill>
        <a:srgbClr val="D9D9D9"/>
      </a:solidFill>
      <a:prstDash val="solid"/>
    </a:ln>
  </c:sp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c:style val="2"/>
  <c:chart>
    <c:title>
      <c:tx>
        <c:rich>
          <a:bodyPr/>
          <a:lstStyle/>
          <a:p>
            <a:r>
              <a:rPr lang="de-DE"/>
              <a:t>Budget vs. Forecast nach Kostenstelle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Budget Ausgaben</c:v>
          </c:tx>
          <c:invertIfNegative val="1"/>
          <c:cat>
            <c:strRef>
              <c:f>Dashboard!$L$23:$L$30</c:f>
              <c:strCache>
                <c:ptCount val="8"/>
                <c:pt idx="0">
                  <c:v>Vertrieb</c:v>
                </c:pt>
                <c:pt idx="1">
                  <c:v>Marketing</c:v>
                </c:pt>
                <c:pt idx="2">
                  <c:v>Operations</c:v>
                </c:pt>
                <c:pt idx="3">
                  <c:v>Produkt</c:v>
                </c:pt>
                <c:pt idx="4">
                  <c:v>Verwaltung</c:v>
                </c:pt>
                <c:pt idx="5">
                  <c:v>IT</c:v>
                </c:pt>
                <c:pt idx="6">
                  <c:v>Geschäftsführung</c:v>
                </c:pt>
                <c:pt idx="7">
                  <c:v>Kundenservice</c:v>
                </c:pt>
              </c:strCache>
            </c:strRef>
          </c:cat>
          <c:val>
            <c:numRef>
              <c:f>Dashboard!$M$23:$M$30</c:f>
              <c:numCache>
                <c:formatCode>General</c:formatCode>
                <c:ptCount val="8"/>
                <c:pt idx="0">
                  <c:v>373000</c:v>
                </c:pt>
                <c:pt idx="1">
                  <c:v>294000</c:v>
                </c:pt>
                <c:pt idx="2">
                  <c:v>825300</c:v>
                </c:pt>
                <c:pt idx="3">
                  <c:v>225500</c:v>
                </c:pt>
                <c:pt idx="4">
                  <c:v>314800</c:v>
                </c:pt>
                <c:pt idx="5">
                  <c:v>132000</c:v>
                </c:pt>
                <c:pt idx="6">
                  <c:v>77800</c:v>
                </c:pt>
                <c:pt idx="7">
                  <c:v>21500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28-43C9-9DDD-C459F5E763C2}"/>
            </c:ext>
          </c:extLst>
        </c:ser>
        <c:ser>
          <c:idx val="1"/>
          <c:order val="1"/>
          <c:tx>
            <c:v>Forecast Ausgaben</c:v>
          </c:tx>
          <c:invertIfNegative val="1"/>
          <c:cat>
            <c:strRef>
              <c:f>Dashboard!$L$23:$L$30</c:f>
              <c:strCache>
                <c:ptCount val="8"/>
                <c:pt idx="0">
                  <c:v>Vertrieb</c:v>
                </c:pt>
                <c:pt idx="1">
                  <c:v>Marketing</c:v>
                </c:pt>
                <c:pt idx="2">
                  <c:v>Operations</c:v>
                </c:pt>
                <c:pt idx="3">
                  <c:v>Produkt</c:v>
                </c:pt>
                <c:pt idx="4">
                  <c:v>Verwaltung</c:v>
                </c:pt>
                <c:pt idx="5">
                  <c:v>IT</c:v>
                </c:pt>
                <c:pt idx="6">
                  <c:v>Geschäftsführung</c:v>
                </c:pt>
                <c:pt idx="7">
                  <c:v>Kundenservice</c:v>
                </c:pt>
              </c:strCache>
            </c:strRef>
          </c:cat>
          <c:val>
            <c:numRef>
              <c:f>Dashboard!$N$23:$N$30</c:f>
              <c:numCache>
                <c:formatCode>General</c:formatCode>
                <c:ptCount val="8"/>
                <c:pt idx="0">
                  <c:v>374950</c:v>
                </c:pt>
                <c:pt idx="1">
                  <c:v>296600</c:v>
                </c:pt>
                <c:pt idx="2">
                  <c:v>830150</c:v>
                </c:pt>
                <c:pt idx="3">
                  <c:v>227700</c:v>
                </c:pt>
                <c:pt idx="4">
                  <c:v>315300</c:v>
                </c:pt>
                <c:pt idx="5">
                  <c:v>132130</c:v>
                </c:pt>
                <c:pt idx="6">
                  <c:v>68100</c:v>
                </c:pt>
                <c:pt idx="7">
                  <c:v>21550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728-43C9-9DDD-C459F5E763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650112"/>
        <c:axId val="48672768"/>
      </c:barChart>
      <c:catAx>
        <c:axId val="48650112"/>
        <c:scaling>
          <c:orientation val="minMax"/>
        </c:scaling>
        <c:delete val="0"/>
        <c:axPos val="b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General" sourceLinked="1"/>
        <c:majorTickMark val="none"/>
        <c:minorTickMark val="none"/>
        <c:tickLblPos val="nextTo"/>
        <c:crossAx val="48672768"/>
        <c:crosses val="autoZero"/>
        <c:auto val="1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General" sourceLinked="1"/>
        <c:majorTickMark val="none"/>
        <c:minorTickMark val="none"/>
        <c:tickLblPos val="nextTo"/>
        <c:crossAx val="48650112"/>
        <c:crosses val="autoZero"/>
        <c:crossBetween val="between"/>
      </c:valAx>
    </c:plotArea>
    <c:legend>
      <c:legendPos val="b"/>
      <c:overlay val="0"/>
    </c:legend>
    <c:plotVisOnly val="1"/>
    <c:dispBlanksAs val="zero"/>
    <c:showDLblsOverMax val="1"/>
  </c:chart>
  <c:spPr>
    <a:solidFill>
      <a:srgbClr val="FFFFCC"/>
    </a:solidFill>
    <a:ln w="9525">
      <a:solidFill>
        <a:srgbClr val="D9D9D9"/>
      </a:solidFill>
      <a:prstDash val="solid"/>
    </a:ln>
  </c:spPr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66675</xdr:colOff>
      <xdr:row>6</xdr:row>
      <xdr:rowOff>19050</xdr:rowOff>
    </xdr:from>
    <xdr:to>
      <xdr:col>7</xdr:col>
      <xdr:colOff>219075</xdr:colOff>
      <xdr:row>20</xdr:row>
      <xdr:rowOff>133350</xdr:rowOff>
    </xdr:to>
    <xdr:graphicFrame macro="">
      <xdr:nvGraphicFramePr>
        <xdr:cNvPr id="2" name="Chart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352424</xdr:colOff>
      <xdr:row>6</xdr:row>
      <xdr:rowOff>28575</xdr:rowOff>
    </xdr:from>
    <xdr:to>
      <xdr:col>14</xdr:col>
      <xdr:colOff>285749</xdr:colOff>
      <xdr:row>20</xdr:row>
      <xdr:rowOff>123825</xdr:rowOff>
    </xdr:to>
    <xdr:graphicFrame macro="">
      <xdr:nvGraphicFramePr>
        <xdr:cNvPr id="3" name="Chart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Monatsübersicht" displayName="Monatsübersicht" ref="A22:J34">
  <tableColumns count="10">
    <tableColumn id="1" xr3:uid="{00000000-0010-0000-0000-000001000000}" name="Monat Nr."/>
    <tableColumn id="2" xr3:uid="{00000000-0010-0000-0000-000002000000}" name="Monat"/>
    <tableColumn id="3" xr3:uid="{00000000-0010-0000-0000-000003000000}" name="Umsatz Plan"/>
    <tableColumn id="4" xr3:uid="{00000000-0010-0000-0000-000004000000}" name="Umsatz Ist"/>
    <tableColumn id="5" xr3:uid="{00000000-0010-0000-0000-000005000000}" name="Ausgaben Plan"/>
    <tableColumn id="6" xr3:uid="{00000000-0010-0000-0000-000006000000}" name="Ausgaben Ist"/>
    <tableColumn id="7" xr3:uid="{00000000-0010-0000-0000-000007000000}" name="Ergebnis Plan"/>
    <tableColumn id="8" xr3:uid="{00000000-0010-0000-0000-000008000000}" name="Ergebnis Ist"/>
    <tableColumn id="9" xr3:uid="{00000000-0010-0000-0000-000009000000}" name="Ergebnis Forecast"/>
    <tableColumn id="10" xr3:uid="{00000000-0010-0000-0000-00000A000000}" name="Liquidität Forecast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Kostenstellenübersicht" displayName="Kostenstellenübersicht" ref="L22:P30">
  <tableColumns count="5">
    <tableColumn id="1" xr3:uid="{00000000-0010-0000-0100-000001000000}" name="Kostenstelle"/>
    <tableColumn id="2" xr3:uid="{00000000-0010-0000-0100-000002000000}" name="Budget Ausgaben"/>
    <tableColumn id="3" xr3:uid="{00000000-0010-0000-0100-000003000000}" name="Forecast Ausgaben"/>
    <tableColumn id="4" xr3:uid="{00000000-0010-0000-0100-000004000000}" name="Abweichung €"/>
    <tableColumn id="5" xr3:uid="{00000000-0010-0000-0100-000005000000}" name="Auslastung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2000000}" name="BudgetTabelle" displayName="BudgetTabelle" ref="A5:AM45">
  <tableColumns count="39">
    <tableColumn id="1" xr3:uid="{00000000-0010-0000-0200-000001000000}" name="ID"/>
    <tableColumn id="2" xr3:uid="{00000000-0010-0000-0200-000002000000}" name="Bereich"/>
    <tableColumn id="3" xr3:uid="{00000000-0010-0000-0200-000003000000}" name="Budgetposten"/>
    <tableColumn id="4" xr3:uid="{00000000-0010-0000-0200-000004000000}" name="Typ"/>
    <tableColumn id="5" xr3:uid="{00000000-0010-0000-0200-000005000000}" name="Kostenart"/>
    <tableColumn id="6" xr3:uid="{00000000-0010-0000-0200-000006000000}" name="Kostenstelle"/>
    <tableColumn id="7" xr3:uid="{00000000-0010-0000-0200-000007000000}" name="Verantwortlich"/>
    <tableColumn id="8" xr3:uid="{00000000-0010-0000-0200-000008000000}" name="Status"/>
    <tableColumn id="9" xr3:uid="{00000000-0010-0000-0200-000009000000}" name="Plan Jan"/>
    <tableColumn id="10" xr3:uid="{00000000-0010-0000-0200-00000A000000}" name="Plan Feb"/>
    <tableColumn id="11" xr3:uid="{00000000-0010-0000-0200-00000B000000}" name="Plan Mär"/>
    <tableColumn id="12" xr3:uid="{00000000-0010-0000-0200-00000C000000}" name="Plan Apr"/>
    <tableColumn id="13" xr3:uid="{00000000-0010-0000-0200-00000D000000}" name="Plan Mai"/>
    <tableColumn id="14" xr3:uid="{00000000-0010-0000-0200-00000E000000}" name="Plan Jun"/>
    <tableColumn id="15" xr3:uid="{00000000-0010-0000-0200-00000F000000}" name="Plan Jul"/>
    <tableColumn id="16" xr3:uid="{00000000-0010-0000-0200-000010000000}" name="Plan Aug"/>
    <tableColumn id="17" xr3:uid="{00000000-0010-0000-0200-000011000000}" name="Plan Sep"/>
    <tableColumn id="18" xr3:uid="{00000000-0010-0000-0200-000012000000}" name="Plan Okt"/>
    <tableColumn id="19" xr3:uid="{00000000-0010-0000-0200-000013000000}" name="Plan Nov"/>
    <tableColumn id="20" xr3:uid="{00000000-0010-0000-0200-000014000000}" name="Plan Dez"/>
    <tableColumn id="21" xr3:uid="{00000000-0010-0000-0200-000015000000}" name="Jahresbudget"/>
    <tableColumn id="22" xr3:uid="{00000000-0010-0000-0200-000016000000}" name="Ist Jan"/>
    <tableColumn id="23" xr3:uid="{00000000-0010-0000-0200-000017000000}" name="Ist Feb"/>
    <tableColumn id="24" xr3:uid="{00000000-0010-0000-0200-000018000000}" name="Ist Mär"/>
    <tableColumn id="25" xr3:uid="{00000000-0010-0000-0200-000019000000}" name="Ist Apr"/>
    <tableColumn id="26" xr3:uid="{00000000-0010-0000-0200-00001A000000}" name="Ist Mai"/>
    <tableColumn id="27" xr3:uid="{00000000-0010-0000-0200-00001B000000}" name="Ist Jun"/>
    <tableColumn id="28" xr3:uid="{00000000-0010-0000-0200-00001C000000}" name="Ist Jul"/>
    <tableColumn id="29" xr3:uid="{00000000-0010-0000-0200-00001D000000}" name="Ist Aug"/>
    <tableColumn id="30" xr3:uid="{00000000-0010-0000-0200-00001E000000}" name="Ist Sep"/>
    <tableColumn id="31" xr3:uid="{00000000-0010-0000-0200-00001F000000}" name="Ist Okt"/>
    <tableColumn id="32" xr3:uid="{00000000-0010-0000-0200-000020000000}" name="Ist Nov"/>
    <tableColumn id="33" xr3:uid="{00000000-0010-0000-0200-000021000000}" name="Ist Dez"/>
    <tableColumn id="34" xr3:uid="{00000000-0010-0000-0200-000022000000}" name="Jahres-Ist"/>
    <tableColumn id="35" xr3:uid="{00000000-0010-0000-0200-000023000000}" name="Abweichung Forecast €"/>
    <tableColumn id="36" xr3:uid="{00000000-0010-0000-0200-000024000000}" name="Abweichung Forecast %"/>
    <tableColumn id="37" xr3:uid="{00000000-0010-0000-0200-000025000000}" name="Forecast Jahr"/>
    <tableColumn id="38" xr3:uid="{00000000-0010-0000-0200-000026000000}" name="Bemerkung"/>
    <tableColumn id="39" xr3:uid="{00000000-0010-0000-0200-000027000000}" name="Abw. absolut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66"/>
  <sheetViews>
    <sheetView tabSelected="1" topLeftCell="A3" workbookViewId="0">
      <selection activeCell="A15" sqref="A10:XFD15"/>
    </sheetView>
  </sheetViews>
  <sheetFormatPr baseColWidth="10" defaultColWidth="9" defaultRowHeight="15" x14ac:dyDescent="0.25"/>
  <cols>
    <col min="1" max="1" width="15" customWidth="1"/>
    <col min="2" max="2" width="22" customWidth="1"/>
    <col min="3" max="3" width="18" customWidth="1"/>
    <col min="4" max="8" width="16" customWidth="1"/>
    <col min="9" max="10" width="18" customWidth="1"/>
    <col min="11" max="11" width="3" customWidth="1"/>
    <col min="12" max="12" width="18" customWidth="1"/>
    <col min="13" max="15" width="16" customWidth="1"/>
    <col min="16" max="16" width="14" customWidth="1"/>
  </cols>
  <sheetData>
    <row r="1" spans="1:39" ht="24" x14ac:dyDescent="0.25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</row>
    <row r="2" spans="1:39" x14ac:dyDescent="0.25">
      <c r="A2" s="29" t="s">
        <v>1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</row>
    <row r="3" spans="1:39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</row>
    <row r="4" spans="1:39" x14ac:dyDescent="0.25">
      <c r="A4" s="3" t="s">
        <v>2</v>
      </c>
      <c r="B4" s="4" t="str">
        <f>Annahmen!B3</f>
        <v>NovaWerk GmbH</v>
      </c>
      <c r="C4" s="2"/>
      <c r="D4" s="30" t="s">
        <v>3</v>
      </c>
      <c r="E4" s="30"/>
      <c r="F4" s="30" t="s">
        <v>4</v>
      </c>
      <c r="G4" s="30"/>
      <c r="H4" s="30" t="s">
        <v>5</v>
      </c>
      <c r="I4" s="30"/>
      <c r="J4" s="30" t="s">
        <v>6</v>
      </c>
      <c r="K4" s="30"/>
      <c r="L4" s="30" t="s">
        <v>7</v>
      </c>
      <c r="M4" s="30"/>
      <c r="N4" s="30" t="s">
        <v>8</v>
      </c>
      <c r="O4" s="30"/>
      <c r="P4" s="2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</row>
    <row r="5" spans="1:39" x14ac:dyDescent="0.25">
      <c r="A5" s="3" t="s">
        <v>9</v>
      </c>
      <c r="B5" s="4">
        <f>Annahmen!B4</f>
        <v>2026</v>
      </c>
      <c r="C5" s="2"/>
      <c r="D5" s="31">
        <f>SUMIFS(Budgetplanung!$AK$6:$AK$45,Budgetplanung!$D$6:$D$45,"Einnahme")</f>
        <v>1797200</v>
      </c>
      <c r="E5" s="31"/>
      <c r="F5" s="31">
        <f>SUMIFS(Budgetplanung!$AK$6:$AK$45,Budgetplanung!$D$6:$D$45,"Ausgabe")</f>
        <v>2266480</v>
      </c>
      <c r="G5" s="31"/>
      <c r="H5" s="31">
        <f>D5-F5</f>
        <v>-469280</v>
      </c>
      <c r="I5" s="31"/>
      <c r="J5" s="31">
        <f>J34</f>
        <v>-419280</v>
      </c>
      <c r="K5" s="31"/>
      <c r="L5" s="31">
        <f>H5-(SUMIFS(Budgetplanung!$U$6:$U$45,Budgetplanung!$D$6:$D$45,"Einnahme")-SUMIFS(Budgetplanung!$U$6:$U$45,Budgetplanung!$D$6:$D$45,"Ausgabe"))</f>
        <v>2620</v>
      </c>
      <c r="M5" s="31"/>
      <c r="N5" s="32">
        <f>IFERROR(F5/SUMIFS(Budgetplanung!$U$6:$U$45,Budgetplanung!$D$6:$D$45,"Ausgabe"),"")</f>
        <v>1.0011396263085826</v>
      </c>
      <c r="O5" s="32"/>
      <c r="P5" s="2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</row>
    <row r="6" spans="1:39" x14ac:dyDescent="0.25">
      <c r="A6" s="3" t="s">
        <v>10</v>
      </c>
      <c r="B6" s="4" t="str">
        <f>Annahmen!B7</f>
        <v>Basis</v>
      </c>
      <c r="C6" s="2"/>
      <c r="D6" s="31"/>
      <c r="E6" s="31"/>
      <c r="F6" s="31"/>
      <c r="G6" s="31"/>
      <c r="H6" s="31"/>
      <c r="I6" s="31"/>
      <c r="J6" s="31"/>
      <c r="K6" s="31"/>
      <c r="L6" s="31"/>
      <c r="M6" s="31"/>
      <c r="N6" s="32"/>
      <c r="O6" s="32"/>
      <c r="P6" s="2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</row>
    <row r="7" spans="1:39" x14ac:dyDescent="0.25">
      <c r="A7" s="3" t="s">
        <v>11</v>
      </c>
      <c r="B7" s="4">
        <f>Annahmen!B6</f>
        <v>4</v>
      </c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</row>
    <row r="8" spans="1:39" x14ac:dyDescent="0.25">
      <c r="A8" s="3" t="s">
        <v>12</v>
      </c>
      <c r="B8" s="6">
        <f>Annahmen!B5</f>
        <v>50000</v>
      </c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</row>
    <row r="9" spans="1:39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</row>
    <row r="10" spans="1:39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</row>
    <row r="11" spans="1:39" x14ac:dyDescent="0.2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</row>
    <row r="12" spans="1:39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</row>
    <row r="13" spans="1:39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</row>
    <row r="14" spans="1:39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</row>
    <row r="15" spans="1:39" x14ac:dyDescent="0.2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</row>
    <row r="16" spans="1:39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</row>
    <row r="17" spans="1:39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</row>
    <row r="18" spans="1:39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</row>
    <row r="19" spans="1:39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</row>
    <row r="20" spans="1:39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</row>
    <row r="21" spans="1:39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</row>
    <row r="22" spans="1:39" ht="30" x14ac:dyDescent="0.25">
      <c r="A22" s="7" t="s">
        <v>13</v>
      </c>
      <c r="B22" s="7" t="s">
        <v>14</v>
      </c>
      <c r="C22" s="7" t="s">
        <v>15</v>
      </c>
      <c r="D22" s="7" t="s">
        <v>16</v>
      </c>
      <c r="E22" s="7" t="s">
        <v>17</v>
      </c>
      <c r="F22" s="7" t="s">
        <v>18</v>
      </c>
      <c r="G22" s="7" t="s">
        <v>19</v>
      </c>
      <c r="H22" s="7" t="s">
        <v>20</v>
      </c>
      <c r="I22" s="7" t="s">
        <v>5</v>
      </c>
      <c r="J22" s="7" t="s">
        <v>21</v>
      </c>
      <c r="K22" s="2"/>
      <c r="L22" s="7" t="s">
        <v>22</v>
      </c>
      <c r="M22" s="7" t="s">
        <v>23</v>
      </c>
      <c r="N22" s="7" t="s">
        <v>24</v>
      </c>
      <c r="O22" s="7" t="s">
        <v>25</v>
      </c>
      <c r="P22" s="7" t="s">
        <v>26</v>
      </c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</row>
    <row r="23" spans="1:39" x14ac:dyDescent="0.25">
      <c r="A23" s="8">
        <v>1</v>
      </c>
      <c r="B23" s="8" t="s">
        <v>27</v>
      </c>
      <c r="C23" s="9">
        <f>SUMIFS(Budgetplanung!$I$6:$I$45,Budgetplanung!$D$6:$D$45,"Einnahme")</f>
        <v>109500</v>
      </c>
      <c r="D23" s="9">
        <f>SUMIFS(Budgetplanung!$V$6:$V$45,Budgetplanung!$D$6:$D$45,"Einnahme")</f>
        <v>105900</v>
      </c>
      <c r="E23" s="9">
        <f>SUMIFS(Budgetplanung!$I$6:$I$45,Budgetplanung!$D$6:$D$45,"Ausgabe")</f>
        <v>150300</v>
      </c>
      <c r="F23" s="9">
        <f>SUMIFS(Budgetplanung!$V$6:$V$45,Budgetplanung!$D$6:$D$45,"Ausgabe")</f>
        <v>145830</v>
      </c>
      <c r="G23" s="9">
        <f t="shared" ref="G23:G34" si="0">C23-E23</f>
        <v>-40800</v>
      </c>
      <c r="H23" s="9">
        <f t="shared" ref="H23:H34" si="1">D23-F23</f>
        <v>-39930</v>
      </c>
      <c r="I23" s="9">
        <f>IF(A23&lt;=Annahmen!$B$6,H23,(C23*Annahmen!$E$12)-(SUMIFS(Budgetplanung!$I$6:$I$45,Budgetplanung!$D$6:$D$45,"Ausgabe",Budgetplanung!$E$6:$E$45,"&lt;&gt;Investition")*Annahmen!$E$13+SUMIFS(Budgetplanung!$I$6:$I$45,Budgetplanung!$D$6:$D$45,"Ausgabe",Budgetplanung!$E$6:$E$45,"Investition")*Annahmen!$E$14))</f>
        <v>-39930</v>
      </c>
      <c r="J23" s="9">
        <f>Annahmen!$B$5+I23</f>
        <v>10070</v>
      </c>
      <c r="K23" s="2"/>
      <c r="L23" s="10" t="s">
        <v>28</v>
      </c>
      <c r="M23" s="11">
        <f>SUMIFS(Budgetplanung!$U$6:$U$45,Budgetplanung!$D$6:$D$45,"Ausgabe",Budgetplanung!$F$6:$F$45,L23)</f>
        <v>373000</v>
      </c>
      <c r="N23" s="11">
        <f>SUMIFS(Budgetplanung!$AK$6:$AK$45,Budgetplanung!$D$6:$D$45,"Ausgabe",Budgetplanung!$F$6:$F$45,L23)</f>
        <v>374950</v>
      </c>
      <c r="O23" s="11">
        <f t="shared" ref="O23:O30" si="2">M23-N23</f>
        <v>-1950</v>
      </c>
      <c r="P23" s="12">
        <f t="shared" ref="P23:P30" si="3">IFERROR(N23/M23,"")</f>
        <v>1.0052278820375335</v>
      </c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</row>
    <row r="24" spans="1:39" x14ac:dyDescent="0.25">
      <c r="A24" s="8">
        <v>2</v>
      </c>
      <c r="B24" s="8" t="s">
        <v>29</v>
      </c>
      <c r="C24" s="9">
        <f>SUMIFS(Budgetplanung!$J$6:$J$45,Budgetplanung!$D$6:$D$45,"Einnahme")</f>
        <v>117500</v>
      </c>
      <c r="D24" s="9">
        <f>SUMIFS(Budgetplanung!$W$6:$W$45,Budgetplanung!$D$6:$D$45,"Einnahme")</f>
        <v>122300</v>
      </c>
      <c r="E24" s="9">
        <f>SUMIFS(Budgetplanung!$J$6:$J$45,Budgetplanung!$D$6:$D$45,"Ausgabe")</f>
        <v>157000</v>
      </c>
      <c r="F24" s="9">
        <f>SUMIFS(Budgetplanung!$W$6:$W$45,Budgetplanung!$D$6:$D$45,"Ausgabe")</f>
        <v>157770</v>
      </c>
      <c r="G24" s="9">
        <f t="shared" si="0"/>
        <v>-39500</v>
      </c>
      <c r="H24" s="9">
        <f t="shared" si="1"/>
        <v>-35470</v>
      </c>
      <c r="I24" s="9">
        <f>IF(A24&lt;=Annahmen!$B$6,H24,(C24*Annahmen!$E$12)-(SUMIFS(Budgetplanung!$J$6:$J$45,Budgetplanung!$D$6:$D$45,"Ausgabe",Budgetplanung!$E$6:$E$45,"&lt;&gt;Investition")*Annahmen!$E$13+SUMIFS(Budgetplanung!$J$6:$J$45,Budgetplanung!$D$6:$D$45,"Ausgabe",Budgetplanung!$E$6:$E$45,"Investition")*Annahmen!$E$14))</f>
        <v>-35470</v>
      </c>
      <c r="J24" s="9">
        <f t="shared" ref="J24:J34" si="4">J23+I24</f>
        <v>-25400</v>
      </c>
      <c r="K24" s="2"/>
      <c r="L24" s="10" t="s">
        <v>30</v>
      </c>
      <c r="M24" s="11">
        <f>SUMIFS(Budgetplanung!$U$6:$U$45,Budgetplanung!$D$6:$D$45,"Ausgabe",Budgetplanung!$F$6:$F$45,L24)</f>
        <v>294000</v>
      </c>
      <c r="N24" s="11">
        <f>SUMIFS(Budgetplanung!$AK$6:$AK$45,Budgetplanung!$D$6:$D$45,"Ausgabe",Budgetplanung!$F$6:$F$45,L24)</f>
        <v>296600</v>
      </c>
      <c r="O24" s="11">
        <f t="shared" si="2"/>
        <v>-2600</v>
      </c>
      <c r="P24" s="12">
        <f t="shared" si="3"/>
        <v>1.008843537414966</v>
      </c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</row>
    <row r="25" spans="1:39" x14ac:dyDescent="0.25">
      <c r="A25" s="8">
        <v>3</v>
      </c>
      <c r="B25" s="8" t="s">
        <v>31</v>
      </c>
      <c r="C25" s="9">
        <f>SUMIFS(Budgetplanung!$K$6:$K$45,Budgetplanung!$D$6:$D$45,"Einnahme")</f>
        <v>129000</v>
      </c>
      <c r="D25" s="9">
        <f>SUMIFS(Budgetplanung!$X$6:$X$45,Budgetplanung!$D$6:$D$45,"Einnahme")</f>
        <v>127600</v>
      </c>
      <c r="E25" s="9">
        <f>SUMIFS(Budgetplanung!$K$6:$K$45,Budgetplanung!$D$6:$D$45,"Ausgabe")</f>
        <v>173400</v>
      </c>
      <c r="F25" s="9">
        <f>SUMIFS(Budgetplanung!$X$6:$X$45,Budgetplanung!$D$6:$D$45,"Ausgabe")</f>
        <v>176270</v>
      </c>
      <c r="G25" s="9">
        <f t="shared" si="0"/>
        <v>-44400</v>
      </c>
      <c r="H25" s="9">
        <f t="shared" si="1"/>
        <v>-48670</v>
      </c>
      <c r="I25" s="9">
        <f>IF(A25&lt;=Annahmen!$B$6,H25,(C25*Annahmen!$E$12)-(SUMIFS(Budgetplanung!$K$6:$K$45,Budgetplanung!$D$6:$D$45,"Ausgabe",Budgetplanung!$E$6:$E$45,"&lt;&gt;Investition")*Annahmen!$E$13+SUMIFS(Budgetplanung!$K$6:$K$45,Budgetplanung!$D$6:$D$45,"Ausgabe",Budgetplanung!$E$6:$E$45,"Investition")*Annahmen!$E$14))</f>
        <v>-48670</v>
      </c>
      <c r="J25" s="9">
        <f t="shared" si="4"/>
        <v>-74070</v>
      </c>
      <c r="K25" s="2"/>
      <c r="L25" s="10" t="s">
        <v>32</v>
      </c>
      <c r="M25" s="11">
        <f>SUMIFS(Budgetplanung!$U$6:$U$45,Budgetplanung!$D$6:$D$45,"Ausgabe",Budgetplanung!$F$6:$F$45,L25)</f>
        <v>825300</v>
      </c>
      <c r="N25" s="11">
        <f>SUMIFS(Budgetplanung!$AK$6:$AK$45,Budgetplanung!$D$6:$D$45,"Ausgabe",Budgetplanung!$F$6:$F$45,L25)</f>
        <v>830150</v>
      </c>
      <c r="O25" s="11">
        <f t="shared" si="2"/>
        <v>-4850</v>
      </c>
      <c r="P25" s="12">
        <f t="shared" si="3"/>
        <v>1.0058766509148189</v>
      </c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</row>
    <row r="26" spans="1:39" x14ac:dyDescent="0.25">
      <c r="A26" s="8">
        <v>4</v>
      </c>
      <c r="B26" s="8" t="s">
        <v>33</v>
      </c>
      <c r="C26" s="9">
        <f>SUMIFS(Budgetplanung!$L$6:$L$45,Budgetplanung!$D$6:$D$45,"Einnahme")</f>
        <v>142000</v>
      </c>
      <c r="D26" s="9">
        <f>SUMIFS(Budgetplanung!$Y$6:$Y$45,Budgetplanung!$D$6:$D$45,"Einnahme")</f>
        <v>147400</v>
      </c>
      <c r="E26" s="9">
        <f>SUMIFS(Budgetplanung!$L$6:$L$45,Budgetplanung!$D$6:$D$45,"Ausgabe")</f>
        <v>187600</v>
      </c>
      <c r="F26" s="9">
        <f>SUMIFS(Budgetplanung!$Y$6:$Y$45,Budgetplanung!$D$6:$D$45,"Ausgabe")</f>
        <v>191010</v>
      </c>
      <c r="G26" s="9">
        <f t="shared" si="0"/>
        <v>-45600</v>
      </c>
      <c r="H26" s="9">
        <f t="shared" si="1"/>
        <v>-43610</v>
      </c>
      <c r="I26" s="9">
        <f>IF(A26&lt;=Annahmen!$B$6,H26,(C26*Annahmen!$E$12)-(SUMIFS(Budgetplanung!$L$6:$L$45,Budgetplanung!$D$6:$D$45,"Ausgabe",Budgetplanung!$E$6:$E$45,"&lt;&gt;Investition")*Annahmen!$E$13+SUMIFS(Budgetplanung!$L$6:$L$45,Budgetplanung!$D$6:$D$45,"Ausgabe",Budgetplanung!$E$6:$E$45,"Investition")*Annahmen!$E$14))</f>
        <v>-43610</v>
      </c>
      <c r="J26" s="9">
        <f t="shared" si="4"/>
        <v>-117680</v>
      </c>
      <c r="K26" s="2"/>
      <c r="L26" s="10" t="s">
        <v>34</v>
      </c>
      <c r="M26" s="11">
        <f>SUMIFS(Budgetplanung!$U$6:$U$45,Budgetplanung!$D$6:$D$45,"Ausgabe",Budgetplanung!$F$6:$F$45,L26)</f>
        <v>225500</v>
      </c>
      <c r="N26" s="11">
        <f>SUMIFS(Budgetplanung!$AK$6:$AK$45,Budgetplanung!$D$6:$D$45,"Ausgabe",Budgetplanung!$F$6:$F$45,L26)</f>
        <v>227700</v>
      </c>
      <c r="O26" s="11">
        <f t="shared" si="2"/>
        <v>-2200</v>
      </c>
      <c r="P26" s="12">
        <f t="shared" si="3"/>
        <v>1.0097560975609756</v>
      </c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</row>
    <row r="27" spans="1:39" x14ac:dyDescent="0.25">
      <c r="A27" s="8">
        <v>5</v>
      </c>
      <c r="B27" s="8" t="s">
        <v>35</v>
      </c>
      <c r="C27" s="9">
        <f>SUMIFS(Budgetplanung!$M$6:$M$45,Budgetplanung!$D$6:$D$45,"Einnahme")</f>
        <v>136000</v>
      </c>
      <c r="D27" s="9">
        <f>SUMIFS(Budgetplanung!$Z$6:$Z$45,Budgetplanung!$D$6:$D$45,"Einnahme")</f>
        <v>0</v>
      </c>
      <c r="E27" s="9">
        <f>SUMIFS(Budgetplanung!$M$6:$M$45,Budgetplanung!$D$6:$D$45,"Ausgabe")</f>
        <v>185800</v>
      </c>
      <c r="F27" s="9">
        <f>SUMIFS(Budgetplanung!$Z$6:$Z$45,Budgetplanung!$D$6:$D$45,"Ausgabe")</f>
        <v>0</v>
      </c>
      <c r="G27" s="9">
        <f t="shared" si="0"/>
        <v>-49800</v>
      </c>
      <c r="H27" s="9">
        <f t="shared" si="1"/>
        <v>0</v>
      </c>
      <c r="I27" s="9">
        <f>IF(A27&lt;=Annahmen!$B$6,H27,(C27*Annahmen!$E$12)-(SUMIFS(Budgetplanung!$M$6:$M$45,Budgetplanung!$D$6:$D$45,"Ausgabe",Budgetplanung!$E$6:$E$45,"&lt;&gt;Investition")*Annahmen!$E$13+SUMIFS(Budgetplanung!$M$6:$M$45,Budgetplanung!$D$6:$D$45,"Ausgabe",Budgetplanung!$E$6:$E$45,"Investition")*Annahmen!$E$14))</f>
        <v>-49800</v>
      </c>
      <c r="J27" s="9">
        <f t="shared" si="4"/>
        <v>-167480</v>
      </c>
      <c r="K27" s="2"/>
      <c r="L27" s="10" t="s">
        <v>36</v>
      </c>
      <c r="M27" s="11">
        <f>SUMIFS(Budgetplanung!$U$6:$U$45,Budgetplanung!$D$6:$D$45,"Ausgabe",Budgetplanung!$F$6:$F$45,L27)</f>
        <v>314800</v>
      </c>
      <c r="N27" s="11">
        <f>SUMIFS(Budgetplanung!$AK$6:$AK$45,Budgetplanung!$D$6:$D$45,"Ausgabe",Budgetplanung!$F$6:$F$45,L27)</f>
        <v>315300</v>
      </c>
      <c r="O27" s="11">
        <f t="shared" si="2"/>
        <v>-500</v>
      </c>
      <c r="P27" s="12">
        <f t="shared" si="3"/>
        <v>1.0015883100381195</v>
      </c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</row>
    <row r="28" spans="1:39" x14ac:dyDescent="0.25">
      <c r="A28" s="8">
        <v>6</v>
      </c>
      <c r="B28" s="8" t="s">
        <v>37</v>
      </c>
      <c r="C28" s="9">
        <f>SUMIFS(Budgetplanung!$N$6:$N$45,Budgetplanung!$D$6:$D$45,"Einnahme")</f>
        <v>149500</v>
      </c>
      <c r="D28" s="9">
        <f>SUMIFS(Budgetplanung!$AA$6:$AA$45,Budgetplanung!$D$6:$D$45,"Einnahme")</f>
        <v>0</v>
      </c>
      <c r="E28" s="9">
        <f>SUMIFS(Budgetplanung!$N$6:$N$45,Budgetplanung!$D$6:$D$45,"Ausgabe")</f>
        <v>196900</v>
      </c>
      <c r="F28" s="9">
        <f>SUMIFS(Budgetplanung!$AA$6:$AA$45,Budgetplanung!$D$6:$D$45,"Ausgabe")</f>
        <v>0</v>
      </c>
      <c r="G28" s="9">
        <f t="shared" si="0"/>
        <v>-47400</v>
      </c>
      <c r="H28" s="9">
        <f t="shared" si="1"/>
        <v>0</v>
      </c>
      <c r="I28" s="9">
        <f>IF(A28&lt;=Annahmen!$B$6,H28,(C28*Annahmen!$E$12)-(SUMIFS(Budgetplanung!$N$6:$N$45,Budgetplanung!$D$6:$D$45,"Ausgabe",Budgetplanung!$E$6:$E$45,"&lt;&gt;Investition")*Annahmen!$E$13+SUMIFS(Budgetplanung!$N$6:$N$45,Budgetplanung!$D$6:$D$45,"Ausgabe",Budgetplanung!$E$6:$E$45,"Investition")*Annahmen!$E$14))</f>
        <v>-47400</v>
      </c>
      <c r="J28" s="9">
        <f t="shared" si="4"/>
        <v>-214880</v>
      </c>
      <c r="K28" s="2"/>
      <c r="L28" s="10" t="s">
        <v>38</v>
      </c>
      <c r="M28" s="11">
        <f>SUMIFS(Budgetplanung!$U$6:$U$45,Budgetplanung!$D$6:$D$45,"Ausgabe",Budgetplanung!$F$6:$F$45,L28)</f>
        <v>132000</v>
      </c>
      <c r="N28" s="11">
        <f>SUMIFS(Budgetplanung!$AK$6:$AK$45,Budgetplanung!$D$6:$D$45,"Ausgabe",Budgetplanung!$F$6:$F$45,L28)</f>
        <v>132130</v>
      </c>
      <c r="O28" s="11">
        <f t="shared" si="2"/>
        <v>-130</v>
      </c>
      <c r="P28" s="12">
        <f t="shared" si="3"/>
        <v>1.0009848484848485</v>
      </c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</row>
    <row r="29" spans="1:39" x14ac:dyDescent="0.25">
      <c r="A29" s="8">
        <v>7</v>
      </c>
      <c r="B29" s="8" t="s">
        <v>39</v>
      </c>
      <c r="C29" s="9">
        <f>SUMIFS(Budgetplanung!$O$6:$O$45,Budgetplanung!$D$6:$D$45,"Einnahme")</f>
        <v>156500</v>
      </c>
      <c r="D29" s="9">
        <f>SUMIFS(Budgetplanung!$AB$6:$AB$45,Budgetplanung!$D$6:$D$45,"Einnahme")</f>
        <v>0</v>
      </c>
      <c r="E29" s="9">
        <f>SUMIFS(Budgetplanung!$O$6:$O$45,Budgetplanung!$D$6:$D$45,"Ausgabe")</f>
        <v>200300</v>
      </c>
      <c r="F29" s="9">
        <f>SUMIFS(Budgetplanung!$AB$6:$AB$45,Budgetplanung!$D$6:$D$45,"Ausgabe")</f>
        <v>0</v>
      </c>
      <c r="G29" s="9">
        <f t="shared" si="0"/>
        <v>-43800</v>
      </c>
      <c r="H29" s="9">
        <f t="shared" si="1"/>
        <v>0</v>
      </c>
      <c r="I29" s="9">
        <f>IF(A29&lt;=Annahmen!$B$6,H29,(C29*Annahmen!$E$12)-(SUMIFS(Budgetplanung!$O$6:$O$45,Budgetplanung!$D$6:$D$45,"Ausgabe",Budgetplanung!$E$6:$E$45,"&lt;&gt;Investition")*Annahmen!$E$13+SUMIFS(Budgetplanung!$O$6:$O$45,Budgetplanung!$D$6:$D$45,"Ausgabe",Budgetplanung!$E$6:$E$45,"Investition")*Annahmen!$E$14))</f>
        <v>-43800</v>
      </c>
      <c r="J29" s="9">
        <f t="shared" si="4"/>
        <v>-258680</v>
      </c>
      <c r="K29" s="2"/>
      <c r="L29" s="10" t="s">
        <v>40</v>
      </c>
      <c r="M29" s="11">
        <f>SUMIFS(Budgetplanung!$U$6:$U$45,Budgetplanung!$D$6:$D$45,"Ausgabe",Budgetplanung!$F$6:$F$45,L29)</f>
        <v>77800</v>
      </c>
      <c r="N29" s="11">
        <f>SUMIFS(Budgetplanung!$AK$6:$AK$45,Budgetplanung!$D$6:$D$45,"Ausgabe",Budgetplanung!$F$6:$F$45,L29)</f>
        <v>68100</v>
      </c>
      <c r="O29" s="11">
        <f t="shared" si="2"/>
        <v>9700</v>
      </c>
      <c r="P29" s="12">
        <f t="shared" si="3"/>
        <v>0.87532133676092549</v>
      </c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</row>
    <row r="30" spans="1:39" x14ac:dyDescent="0.25">
      <c r="A30" s="8">
        <v>8</v>
      </c>
      <c r="B30" s="8" t="s">
        <v>41</v>
      </c>
      <c r="C30" s="9">
        <f>SUMIFS(Budgetplanung!$P$6:$P$45,Budgetplanung!$D$6:$D$45,"Einnahme")</f>
        <v>144500</v>
      </c>
      <c r="D30" s="9">
        <f>SUMIFS(Budgetplanung!$AC$6:$AC$45,Budgetplanung!$D$6:$D$45,"Einnahme")</f>
        <v>0</v>
      </c>
      <c r="E30" s="9">
        <f>SUMIFS(Budgetplanung!$P$6:$P$45,Budgetplanung!$D$6:$D$45,"Ausgabe")</f>
        <v>180200</v>
      </c>
      <c r="F30" s="9">
        <f>SUMIFS(Budgetplanung!$AC$6:$AC$45,Budgetplanung!$D$6:$D$45,"Ausgabe")</f>
        <v>0</v>
      </c>
      <c r="G30" s="9">
        <f t="shared" si="0"/>
        <v>-35700</v>
      </c>
      <c r="H30" s="9">
        <f t="shared" si="1"/>
        <v>0</v>
      </c>
      <c r="I30" s="9">
        <f>IF(A30&lt;=Annahmen!$B$6,H30,(C30*Annahmen!$E$12)-(SUMIFS(Budgetplanung!$P$6:$P$45,Budgetplanung!$D$6:$D$45,"Ausgabe",Budgetplanung!$E$6:$E$45,"&lt;&gt;Investition")*Annahmen!$E$13+SUMIFS(Budgetplanung!$P$6:$P$45,Budgetplanung!$D$6:$D$45,"Ausgabe",Budgetplanung!$E$6:$E$45,"Investition")*Annahmen!$E$14))</f>
        <v>-35700</v>
      </c>
      <c r="J30" s="9">
        <f t="shared" si="4"/>
        <v>-294380</v>
      </c>
      <c r="K30" s="2"/>
      <c r="L30" s="10" t="s">
        <v>42</v>
      </c>
      <c r="M30" s="11">
        <f>SUMIFS(Budgetplanung!$U$6:$U$45,Budgetplanung!$D$6:$D$45,"Ausgabe",Budgetplanung!$F$6:$F$45,L30)</f>
        <v>21500</v>
      </c>
      <c r="N30" s="11">
        <f>SUMIFS(Budgetplanung!$AK$6:$AK$45,Budgetplanung!$D$6:$D$45,"Ausgabe",Budgetplanung!$F$6:$F$45,L30)</f>
        <v>21550</v>
      </c>
      <c r="O30" s="11">
        <f t="shared" si="2"/>
        <v>-50</v>
      </c>
      <c r="P30" s="12">
        <f t="shared" si="3"/>
        <v>1.0023255813953489</v>
      </c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</row>
    <row r="31" spans="1:39" x14ac:dyDescent="0.25">
      <c r="A31" s="8">
        <v>9</v>
      </c>
      <c r="B31" s="8" t="s">
        <v>43</v>
      </c>
      <c r="C31" s="9">
        <f>SUMIFS(Budgetplanung!$Q$6:$Q$45,Budgetplanung!$D$6:$D$45,"Einnahme")</f>
        <v>164000</v>
      </c>
      <c r="D31" s="9">
        <f>SUMIFS(Budgetplanung!$AD$6:$AD$45,Budgetplanung!$D$6:$D$45,"Einnahme")</f>
        <v>0</v>
      </c>
      <c r="E31" s="9">
        <f>SUMIFS(Budgetplanung!$Q$6:$Q$45,Budgetplanung!$D$6:$D$45,"Ausgabe")</f>
        <v>205500</v>
      </c>
      <c r="F31" s="9">
        <f>SUMIFS(Budgetplanung!$AD$6:$AD$45,Budgetplanung!$D$6:$D$45,"Ausgabe")</f>
        <v>0</v>
      </c>
      <c r="G31" s="9">
        <f t="shared" si="0"/>
        <v>-41500</v>
      </c>
      <c r="H31" s="9">
        <f t="shared" si="1"/>
        <v>0</v>
      </c>
      <c r="I31" s="9">
        <f>IF(A31&lt;=Annahmen!$B$6,H31,(C31*Annahmen!$E$12)-(SUMIFS(Budgetplanung!$Q$6:$Q$45,Budgetplanung!$D$6:$D$45,"Ausgabe",Budgetplanung!$E$6:$E$45,"&lt;&gt;Investition")*Annahmen!$E$13+SUMIFS(Budgetplanung!$Q$6:$Q$45,Budgetplanung!$D$6:$D$45,"Ausgabe",Budgetplanung!$E$6:$E$45,"Investition")*Annahmen!$E$14))</f>
        <v>-41500</v>
      </c>
      <c r="J31" s="9">
        <f t="shared" si="4"/>
        <v>-335880</v>
      </c>
      <c r="K31" s="2"/>
      <c r="L31" s="2"/>
      <c r="M31" s="2"/>
      <c r="N31" s="2"/>
      <c r="O31" s="2"/>
      <c r="P31" s="2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</row>
    <row r="32" spans="1:39" x14ac:dyDescent="0.25">
      <c r="A32" s="8">
        <v>10</v>
      </c>
      <c r="B32" s="8" t="s">
        <v>44</v>
      </c>
      <c r="C32" s="9">
        <f>SUMIFS(Budgetplanung!$R$6:$R$45,Budgetplanung!$D$6:$D$45,"Einnahme")</f>
        <v>177000</v>
      </c>
      <c r="D32" s="9">
        <f>SUMIFS(Budgetplanung!$AE$6:$AE$45,Budgetplanung!$D$6:$D$45,"Einnahme")</f>
        <v>0</v>
      </c>
      <c r="E32" s="9">
        <f>SUMIFS(Budgetplanung!$R$6:$R$45,Budgetplanung!$D$6:$D$45,"Ausgabe")</f>
        <v>199400</v>
      </c>
      <c r="F32" s="9">
        <f>SUMIFS(Budgetplanung!$AE$6:$AE$45,Budgetplanung!$D$6:$D$45,"Ausgabe")</f>
        <v>0</v>
      </c>
      <c r="G32" s="9">
        <f t="shared" si="0"/>
        <v>-22400</v>
      </c>
      <c r="H32" s="9">
        <f t="shared" si="1"/>
        <v>0</v>
      </c>
      <c r="I32" s="9">
        <f>IF(A32&lt;=Annahmen!$B$6,H32,(C32*Annahmen!$E$12)-(SUMIFS(Budgetplanung!$R$6:$R$45,Budgetplanung!$D$6:$D$45,"Ausgabe",Budgetplanung!$E$6:$E$45,"&lt;&gt;Investition")*Annahmen!$E$13+SUMIFS(Budgetplanung!$R$6:$R$45,Budgetplanung!$D$6:$D$45,"Ausgabe",Budgetplanung!$E$6:$E$45,"Investition")*Annahmen!$E$14))</f>
        <v>-22400</v>
      </c>
      <c r="J32" s="9">
        <f t="shared" si="4"/>
        <v>-358280</v>
      </c>
      <c r="K32" s="2"/>
      <c r="L32" s="2"/>
      <c r="M32" s="2"/>
      <c r="N32" s="2"/>
      <c r="O32" s="2"/>
      <c r="P32" s="2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</row>
    <row r="33" spans="1:39" x14ac:dyDescent="0.25">
      <c r="A33" s="8">
        <v>11</v>
      </c>
      <c r="B33" s="8" t="s">
        <v>45</v>
      </c>
      <c r="C33" s="9">
        <f>SUMIFS(Budgetplanung!$S$6:$S$45,Budgetplanung!$D$6:$D$45,"Einnahme")</f>
        <v>175500</v>
      </c>
      <c r="D33" s="9">
        <f>SUMIFS(Budgetplanung!$AF$6:$AF$45,Budgetplanung!$D$6:$D$45,"Einnahme")</f>
        <v>0</v>
      </c>
      <c r="E33" s="9">
        <f>SUMIFS(Budgetplanung!$S$6:$S$45,Budgetplanung!$D$6:$D$45,"Ausgabe")</f>
        <v>210100</v>
      </c>
      <c r="F33" s="9">
        <f>SUMIFS(Budgetplanung!$AF$6:$AF$45,Budgetplanung!$D$6:$D$45,"Ausgabe")</f>
        <v>0</v>
      </c>
      <c r="G33" s="9">
        <f t="shared" si="0"/>
        <v>-34600</v>
      </c>
      <c r="H33" s="9">
        <f t="shared" si="1"/>
        <v>0</v>
      </c>
      <c r="I33" s="9">
        <f>IF(A33&lt;=Annahmen!$B$6,H33,(C33*Annahmen!$E$12)-(SUMIFS(Budgetplanung!$S$6:$S$45,Budgetplanung!$D$6:$D$45,"Ausgabe",Budgetplanung!$E$6:$E$45,"&lt;&gt;Investition")*Annahmen!$E$13+SUMIFS(Budgetplanung!$S$6:$S$45,Budgetplanung!$D$6:$D$45,"Ausgabe",Budgetplanung!$E$6:$E$45,"Investition")*Annahmen!$E$14))</f>
        <v>-34600</v>
      </c>
      <c r="J33" s="9">
        <f t="shared" si="4"/>
        <v>-392880</v>
      </c>
      <c r="K33" s="2"/>
      <c r="L33" s="2"/>
      <c r="M33" s="2"/>
      <c r="N33" s="2"/>
      <c r="O33" s="2"/>
      <c r="P33" s="2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</row>
    <row r="34" spans="1:39" x14ac:dyDescent="0.25">
      <c r="A34" s="8">
        <v>12</v>
      </c>
      <c r="B34" s="8" t="s">
        <v>46</v>
      </c>
      <c r="C34" s="9">
        <f>SUMIFS(Budgetplanung!$T$6:$T$45,Budgetplanung!$D$6:$D$45,"Einnahme")</f>
        <v>191000</v>
      </c>
      <c r="D34" s="9">
        <f>SUMIFS(Budgetplanung!$AG$6:$AG$45,Budgetplanung!$D$6:$D$45,"Einnahme")</f>
        <v>0</v>
      </c>
      <c r="E34" s="9">
        <f>SUMIFS(Budgetplanung!$T$6:$T$45,Budgetplanung!$D$6:$D$45,"Ausgabe")</f>
        <v>217400</v>
      </c>
      <c r="F34" s="9">
        <f>SUMIFS(Budgetplanung!$AG$6:$AG$45,Budgetplanung!$D$6:$D$45,"Ausgabe")</f>
        <v>0</v>
      </c>
      <c r="G34" s="9">
        <f t="shared" si="0"/>
        <v>-26400</v>
      </c>
      <c r="H34" s="9">
        <f t="shared" si="1"/>
        <v>0</v>
      </c>
      <c r="I34" s="9">
        <f>IF(A34&lt;=Annahmen!$B$6,H34,(C34*Annahmen!$E$12)-(SUMIFS(Budgetplanung!$T$6:$T$45,Budgetplanung!$D$6:$D$45,"Ausgabe",Budgetplanung!$E$6:$E$45,"&lt;&gt;Investition")*Annahmen!$E$13+SUMIFS(Budgetplanung!$T$6:$T$45,Budgetplanung!$D$6:$D$45,"Ausgabe",Budgetplanung!$E$6:$E$45,"Investition")*Annahmen!$E$14))</f>
        <v>-26400</v>
      </c>
      <c r="J34" s="9">
        <f t="shared" si="4"/>
        <v>-419280</v>
      </c>
      <c r="K34" s="2"/>
      <c r="L34" s="2"/>
      <c r="M34" s="2"/>
      <c r="N34" s="2"/>
      <c r="O34" s="2"/>
      <c r="P34" s="2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</row>
    <row r="35" spans="1:39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</row>
    <row r="36" spans="1:39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</row>
    <row r="37" spans="1:39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</row>
    <row r="38" spans="1:39" x14ac:dyDescent="0.25">
      <c r="A38" s="7" t="s">
        <v>47</v>
      </c>
      <c r="B38" s="7" t="s">
        <v>48</v>
      </c>
      <c r="C38" s="7" t="s">
        <v>49</v>
      </c>
      <c r="D38" s="7" t="s">
        <v>50</v>
      </c>
      <c r="E38" s="7" t="s">
        <v>51</v>
      </c>
      <c r="F38" s="7" t="s">
        <v>25</v>
      </c>
      <c r="G38" s="7" t="s">
        <v>52</v>
      </c>
      <c r="H38" s="2"/>
      <c r="I38" s="33" t="s">
        <v>53</v>
      </c>
      <c r="J38" s="33"/>
      <c r="K38" s="33"/>
      <c r="L38" s="33"/>
      <c r="M38" s="33"/>
      <c r="N38" s="33"/>
      <c r="O38" s="33"/>
      <c r="P38" s="33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</row>
    <row r="39" spans="1:39" x14ac:dyDescent="0.25">
      <c r="A39" s="13">
        <v>1</v>
      </c>
      <c r="B39" s="2" t="str">
        <f>IFERROR(INDEX(Budgetplanung!$C$6:$C$45,MATCH(LARGE(Budgetplanung!$AM$6:$AM$45,A39),Budgetplanung!$AM$6:$AM$45,0)),"")</f>
        <v>Strategische Reserve</v>
      </c>
      <c r="C39" s="2" t="str">
        <f>IFERROR(INDEX(Budgetplanung!$D$6:$D$45,MATCH(LARGE(Budgetplanung!$AM$6:$AM$45,A39),Budgetplanung!$AM$6:$AM$45,0)),"")</f>
        <v>Ausgabe</v>
      </c>
      <c r="D39" s="11">
        <f>IFERROR(INDEX(Budgetplanung!$U$6:$U$45,MATCH(LARGE(Budgetplanung!$AM$6:$AM$45,A39),Budgetplanung!$AM$6:$AM$45,0)),"")</f>
        <v>30000</v>
      </c>
      <c r="E39" s="11">
        <f>IFERROR(INDEX(Budgetplanung!$AK$6:$AK$45,MATCH(LARGE(Budgetplanung!$AM$6:$AM$45,A39),Budgetplanung!$AM$6:$AM$45,0)),"")</f>
        <v>20000</v>
      </c>
      <c r="F39" s="11">
        <f>IFERROR(INDEX(Budgetplanung!$AI$6:$AI$45,MATCH(LARGE(Budgetplanung!$AM$6:$AM$45,A39),Budgetplanung!$AM$6:$AM$45,0)),"")</f>
        <v>10000</v>
      </c>
      <c r="G39" s="12">
        <f>IFERROR(INDEX(Budgetplanung!$AJ$6:$AJ$45,MATCH(LARGE(Budgetplanung!$AM$6:$AM$45,A39),Budgetplanung!$AM$6:$AM$45,0)),"")</f>
        <v>0.33333333333333331</v>
      </c>
      <c r="H39" s="2"/>
      <c r="I39" s="27" t="s">
        <v>54</v>
      </c>
      <c r="J39" s="34" t="s">
        <v>55</v>
      </c>
      <c r="K39" s="34"/>
      <c r="L39" s="34"/>
      <c r="M39" s="34"/>
      <c r="N39" s="34"/>
      <c r="O39" s="34"/>
      <c r="P39" s="34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</row>
    <row r="40" spans="1:39" x14ac:dyDescent="0.25">
      <c r="A40" s="13">
        <v>2</v>
      </c>
      <c r="B40" s="2" t="str">
        <f>IFERROR(INDEX(Budgetplanung!$C$6:$C$45,MATCH(LARGE(Budgetplanung!$AM$6:$AM$45,A40),Budgetplanung!$AM$6:$AM$45,0)),"")</f>
        <v>Material und Handelsware</v>
      </c>
      <c r="C40" s="2" t="str">
        <f>IFERROR(INDEX(Budgetplanung!$D$6:$D$45,MATCH(LARGE(Budgetplanung!$AM$6:$AM$45,A40),Budgetplanung!$AM$6:$AM$45,0)),"")</f>
        <v>Ausgabe</v>
      </c>
      <c r="D40" s="11">
        <f>IFERROR(INDEX(Budgetplanung!$U$6:$U$45,MATCH(LARGE(Budgetplanung!$AM$6:$AM$45,A40),Budgetplanung!$AM$6:$AM$45,0)),"")</f>
        <v>297000</v>
      </c>
      <c r="E40" s="11">
        <f>IFERROR(INDEX(Budgetplanung!$AK$6:$AK$45,MATCH(LARGE(Budgetplanung!$AM$6:$AM$45,A40),Budgetplanung!$AM$6:$AM$45,0)),"")</f>
        <v>299900</v>
      </c>
      <c r="F40" s="11">
        <f>IFERROR(INDEX(Budgetplanung!$AI$6:$AI$45,MATCH(LARGE(Budgetplanung!$AM$6:$AM$45,A40),Budgetplanung!$AM$6:$AM$45,0)),"")</f>
        <v>-2900</v>
      </c>
      <c r="G40" s="12">
        <f>IFERROR(INDEX(Budgetplanung!$AJ$6:$AJ$45,MATCH(LARGE(Budgetplanung!$AM$6:$AM$45,A40),Budgetplanung!$AM$6:$AM$45,0)),"")</f>
        <v>-9.7643097643097636E-3</v>
      </c>
      <c r="H40" s="2"/>
      <c r="I40" s="27" t="s">
        <v>56</v>
      </c>
      <c r="J40" s="34" t="s">
        <v>57</v>
      </c>
      <c r="K40" s="34"/>
      <c r="L40" s="34"/>
      <c r="M40" s="34"/>
      <c r="N40" s="34"/>
      <c r="O40" s="34"/>
      <c r="P40" s="34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</row>
    <row r="41" spans="1:39" x14ac:dyDescent="0.25">
      <c r="A41" s="13">
        <v>3</v>
      </c>
      <c r="B41" s="2" t="str">
        <f>IFERROR(INDEX(Budgetplanung!$C$6:$C$45,MATCH(LARGE(Budgetplanung!$AM$6:$AM$45,A41),Budgetplanung!$AM$6:$AM$45,0)),"")</f>
        <v>Produktumsatz Standard</v>
      </c>
      <c r="C41" s="2" t="str">
        <f>IFERROR(INDEX(Budgetplanung!$D$6:$D$45,MATCH(LARGE(Budgetplanung!$AM$6:$AM$45,A41),Budgetplanung!$AM$6:$AM$45,0)),"")</f>
        <v>Einnahme</v>
      </c>
      <c r="D41" s="11">
        <f>IFERROR(INDEX(Budgetplanung!$U$6:$U$45,MATCH(LARGE(Budgetplanung!$AM$6:$AM$45,A41),Budgetplanung!$AM$6:$AM$45,0)),"")</f>
        <v>715000</v>
      </c>
      <c r="E41" s="11">
        <f>IFERROR(INDEX(Budgetplanung!$AK$6:$AK$45,MATCH(LARGE(Budgetplanung!$AM$6:$AM$45,A41),Budgetplanung!$AM$6:$AM$45,0)),"")</f>
        <v>716800</v>
      </c>
      <c r="F41" s="11">
        <f>IFERROR(INDEX(Budgetplanung!$AI$6:$AI$45,MATCH(LARGE(Budgetplanung!$AM$6:$AM$45,A41),Budgetplanung!$AM$6:$AM$45,0)),"")</f>
        <v>1800</v>
      </c>
      <c r="G41" s="12">
        <f>IFERROR(INDEX(Budgetplanung!$AJ$6:$AJ$45,MATCH(LARGE(Budgetplanung!$AM$6:$AM$45,A41),Budgetplanung!$AM$6:$AM$45,0)),"")</f>
        <v>2.5174825174825175E-3</v>
      </c>
      <c r="H41" s="2"/>
      <c r="I41" s="27" t="s">
        <v>51</v>
      </c>
      <c r="J41" s="34" t="s">
        <v>58</v>
      </c>
      <c r="K41" s="34"/>
      <c r="L41" s="34"/>
      <c r="M41" s="34"/>
      <c r="N41" s="34"/>
      <c r="O41" s="34"/>
      <c r="P41" s="34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</row>
    <row r="42" spans="1:39" x14ac:dyDescent="0.25">
      <c r="A42" s="13">
        <v>4</v>
      </c>
      <c r="B42" s="2" t="str">
        <f>IFERROR(INDEX(Budgetplanung!$C$6:$C$45,MATCH(LARGE(Budgetplanung!$AM$6:$AM$45,A42),Budgetplanung!$AM$6:$AM$45,0)),"")</f>
        <v>Produktumsatz Premium</v>
      </c>
      <c r="C42" s="2" t="str">
        <f>IFERROR(INDEX(Budgetplanung!$D$6:$D$45,MATCH(LARGE(Budgetplanung!$AM$6:$AM$45,A42),Budgetplanung!$AM$6:$AM$45,0)),"")</f>
        <v>Einnahme</v>
      </c>
      <c r="D42" s="11">
        <f>IFERROR(INDEX(Budgetplanung!$U$6:$U$45,MATCH(LARGE(Budgetplanung!$AM$6:$AM$45,A42),Budgetplanung!$AM$6:$AM$45,0)),"")</f>
        <v>328000</v>
      </c>
      <c r="E42" s="11">
        <f>IFERROR(INDEX(Budgetplanung!$AK$6:$AK$45,MATCH(LARGE(Budgetplanung!$AM$6:$AM$45,A42),Budgetplanung!$AM$6:$AM$45,0)),"")</f>
        <v>329600</v>
      </c>
      <c r="F42" s="11">
        <f>IFERROR(INDEX(Budgetplanung!$AI$6:$AI$45,MATCH(LARGE(Budgetplanung!$AM$6:$AM$45,A42),Budgetplanung!$AM$6:$AM$45,0)),"")</f>
        <v>1600</v>
      </c>
      <c r="G42" s="12">
        <f>IFERROR(INDEX(Budgetplanung!$AJ$6:$AJ$45,MATCH(LARGE(Budgetplanung!$AM$6:$AM$45,A42),Budgetplanung!$AM$6:$AM$45,0)),"")</f>
        <v>4.8780487804878049E-3</v>
      </c>
      <c r="H42" s="2"/>
      <c r="I42" s="27" t="s">
        <v>8</v>
      </c>
      <c r="J42" s="34" t="s">
        <v>59</v>
      </c>
      <c r="K42" s="34"/>
      <c r="L42" s="34"/>
      <c r="M42" s="34"/>
      <c r="N42" s="34"/>
      <c r="O42" s="34"/>
      <c r="P42" s="34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</row>
    <row r="43" spans="1:39" x14ac:dyDescent="0.25">
      <c r="A43" s="13">
        <v>5</v>
      </c>
      <c r="B43" s="2" t="str">
        <f>IFERROR(INDEX(Budgetplanung!$C$6:$C$45,MATCH(LARGE(Budgetplanung!$AM$6:$AM$45,A43),Budgetplanung!$AM$6:$AM$45,0)),"")</f>
        <v>Performance-Kampagnen</v>
      </c>
      <c r="C43" s="2" t="str">
        <f>IFERROR(INDEX(Budgetplanung!$D$6:$D$45,MATCH(LARGE(Budgetplanung!$AM$6:$AM$45,A43),Budgetplanung!$AM$6:$AM$45,0)),"")</f>
        <v>Ausgabe</v>
      </c>
      <c r="D43" s="11">
        <f>IFERROR(INDEX(Budgetplanung!$U$6:$U$45,MATCH(LARGE(Budgetplanung!$AM$6:$AM$45,A43),Budgetplanung!$AM$6:$AM$45,0)),"")</f>
        <v>171500</v>
      </c>
      <c r="E43" s="11">
        <f>IFERROR(INDEX(Budgetplanung!$AK$6:$AK$45,MATCH(LARGE(Budgetplanung!$AM$6:$AM$45,A43),Budgetplanung!$AM$6:$AM$45,0)),"")</f>
        <v>172800</v>
      </c>
      <c r="F43" s="11">
        <f>IFERROR(INDEX(Budgetplanung!$AI$6:$AI$45,MATCH(LARGE(Budgetplanung!$AM$6:$AM$45,A43),Budgetplanung!$AM$6:$AM$45,0)),"")</f>
        <v>-1300</v>
      </c>
      <c r="G43" s="12">
        <f>IFERROR(INDEX(Budgetplanung!$AJ$6:$AJ$45,MATCH(LARGE(Budgetplanung!$AM$6:$AM$45,A43),Budgetplanung!$AM$6:$AM$45,0)),"")</f>
        <v>-7.5801749271137029E-3</v>
      </c>
      <c r="H43" s="2"/>
      <c r="I43" s="27" t="s">
        <v>60</v>
      </c>
      <c r="J43" s="34" t="s">
        <v>61</v>
      </c>
      <c r="K43" s="34"/>
      <c r="L43" s="34"/>
      <c r="M43" s="34"/>
      <c r="N43" s="34"/>
      <c r="O43" s="34"/>
      <c r="P43" s="34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</row>
    <row r="44" spans="1:39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</row>
    <row r="45" spans="1:39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</row>
    <row r="46" spans="1:39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</row>
    <row r="47" spans="1:39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</row>
    <row r="48" spans="1:39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</row>
    <row r="49" spans="1:39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</row>
    <row r="50" spans="1:39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</row>
    <row r="51" spans="1:39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</row>
    <row r="52" spans="1:39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</row>
    <row r="53" spans="1:39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</row>
    <row r="54" spans="1:39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</row>
    <row r="55" spans="1:39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</row>
    <row r="56" spans="1:39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</row>
    <row r="57" spans="1:39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</row>
    <row r="58" spans="1:39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</row>
    <row r="59" spans="1:39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</row>
    <row r="60" spans="1:39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</row>
    <row r="61" spans="1:39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</row>
    <row r="62" spans="1:39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</row>
    <row r="63" spans="1:39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</row>
    <row r="64" spans="1:39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</row>
    <row r="65" spans="1:39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</row>
    <row r="66" spans="1:39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</row>
  </sheetData>
  <mergeCells count="20">
    <mergeCell ref="J43:P43"/>
    <mergeCell ref="I38:P38"/>
    <mergeCell ref="J39:P39"/>
    <mergeCell ref="J40:P40"/>
    <mergeCell ref="J41:P41"/>
    <mergeCell ref="J42:P42"/>
    <mergeCell ref="A1:P1"/>
    <mergeCell ref="A2:P2"/>
    <mergeCell ref="D4:E4"/>
    <mergeCell ref="D5:E6"/>
    <mergeCell ref="F4:G4"/>
    <mergeCell ref="F5:G6"/>
    <mergeCell ref="H4:I4"/>
    <mergeCell ref="H5:I6"/>
    <mergeCell ref="J4:K4"/>
    <mergeCell ref="J5:K6"/>
    <mergeCell ref="L4:M4"/>
    <mergeCell ref="L5:M6"/>
    <mergeCell ref="N4:O4"/>
    <mergeCell ref="N5:O6"/>
  </mergeCells>
  <conditionalFormatting sqref="F39:G43">
    <cfRule type="cellIs" dxfId="4" priority="3" operator="lessThan">
      <formula>0</formula>
    </cfRule>
    <cfRule type="cellIs" dxfId="3" priority="4" operator="greaterThan">
      <formula>0</formula>
    </cfRule>
  </conditionalFormatting>
  <conditionalFormatting sqref="J23:J34">
    <cfRule type="cellIs" dxfId="2" priority="1" operator="lessThan">
      <formula>0</formula>
    </cfRule>
  </conditionalFormatting>
  <conditionalFormatting sqref="P23:P30">
    <cfRule type="dataBar" priority="2">
      <dataBar>
        <cfvo type="min"/>
        <cfvo type="max"/>
        <color rgb="FF60A5FA"/>
      </dataBar>
    </cfRule>
    <cfRule type="dataBar" priority="5">
      <dataBar>
        <cfvo type="min"/>
        <cfvo type="max"/>
        <color rgb="FF60A5FA"/>
      </dataBar>
      <extLst>
        <ext xmlns:x14="http://schemas.microsoft.com/office/spreadsheetml/2009/9/main" uri="{B025F937-C7B1-47D3-B67F-A62EFF666E3E}">
          <x14:id>{169BE573-5479-287D-BE93-74B15E11EBFA}</x14:id>
        </ext>
      </extLst>
    </cfRule>
  </conditionalFormatting>
  <pageMargins left="0.7" right="0.7" top="0.75" bottom="0.75" header="0.3" footer="0.3"/>
  <drawing r:id="rId1"/>
  <tableParts count="2">
    <tablePart r:id="rId2"/>
    <tablePart r:id="rId3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169BE573-5479-287D-BE93-74B15E11EBFA}">
            <x14:dataBar>
              <x14:cfvo type="min"/>
              <x14:cfvo type="max"/>
              <x14:negativeFillColor auto="1"/>
              <x14:axisColor auto="1"/>
            </x14:dataBar>
          </x14:cfRule>
          <xm:sqref>P23:P30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60"/>
  <sheetViews>
    <sheetView workbookViewId="0"/>
  </sheetViews>
  <sheetFormatPr baseColWidth="10" defaultColWidth="9" defaultRowHeight="15" x14ac:dyDescent="0.25"/>
  <cols>
    <col min="1" max="1" width="10" customWidth="1"/>
    <col min="2" max="2" width="16" customWidth="1"/>
    <col min="3" max="3" width="30" customWidth="1"/>
    <col min="4" max="4" width="12" customWidth="1"/>
    <col min="5" max="5" width="13" customWidth="1"/>
    <col min="6" max="7" width="18" customWidth="1"/>
    <col min="8" max="8" width="14" customWidth="1"/>
    <col min="9" max="20" width="12" customWidth="1"/>
    <col min="21" max="21" width="14" customWidth="1"/>
    <col min="22" max="33" width="12" customWidth="1"/>
    <col min="34" max="34" width="14" customWidth="1"/>
    <col min="35" max="35" width="18" customWidth="1"/>
    <col min="36" max="37" width="16" customWidth="1"/>
    <col min="38" max="38" width="28" customWidth="1"/>
    <col min="39" max="39" width="14" customWidth="1"/>
  </cols>
  <sheetData>
    <row r="1" spans="1:39" ht="21" x14ac:dyDescent="0.35">
      <c r="A1" s="35" t="s">
        <v>62</v>
      </c>
      <c r="B1" s="35"/>
      <c r="C1" s="35"/>
      <c r="D1" s="35"/>
      <c r="E1" s="35"/>
      <c r="F1" s="35"/>
      <c r="G1" s="35"/>
      <c r="H1" s="35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  <c r="AJ1" s="37"/>
      <c r="AK1" s="36"/>
      <c r="AL1" s="36"/>
      <c r="AM1" s="36"/>
    </row>
    <row r="2" spans="1:39" x14ac:dyDescent="0.25">
      <c r="A2" s="38" t="s">
        <v>63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  <c r="AH2" s="38"/>
      <c r="AI2" s="38"/>
      <c r="AJ2" s="38"/>
      <c r="AK2" s="38"/>
      <c r="AL2" s="38"/>
      <c r="AM2" s="38"/>
    </row>
    <row r="3" spans="1:39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</row>
    <row r="4" spans="1:39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</row>
    <row r="5" spans="1:39" ht="24" customHeight="1" x14ac:dyDescent="0.25">
      <c r="A5" s="7" t="s">
        <v>64</v>
      </c>
      <c r="B5" s="7" t="s">
        <v>65</v>
      </c>
      <c r="C5" s="7" t="s">
        <v>48</v>
      </c>
      <c r="D5" s="7" t="s">
        <v>49</v>
      </c>
      <c r="E5" s="7" t="s">
        <v>66</v>
      </c>
      <c r="F5" s="7" t="s">
        <v>22</v>
      </c>
      <c r="G5" s="7" t="s">
        <v>67</v>
      </c>
      <c r="H5" s="7" t="s">
        <v>68</v>
      </c>
      <c r="I5" s="7" t="s">
        <v>69</v>
      </c>
      <c r="J5" s="7" t="s">
        <v>70</v>
      </c>
      <c r="K5" s="7" t="s">
        <v>71</v>
      </c>
      <c r="L5" s="7" t="s">
        <v>72</v>
      </c>
      <c r="M5" s="7" t="s">
        <v>73</v>
      </c>
      <c r="N5" s="7" t="s">
        <v>74</v>
      </c>
      <c r="O5" s="7" t="s">
        <v>75</v>
      </c>
      <c r="P5" s="7" t="s">
        <v>76</v>
      </c>
      <c r="Q5" s="7" t="s">
        <v>77</v>
      </c>
      <c r="R5" s="7" t="s">
        <v>78</v>
      </c>
      <c r="S5" s="7" t="s">
        <v>79</v>
      </c>
      <c r="T5" s="7" t="s">
        <v>80</v>
      </c>
      <c r="U5" s="7" t="s">
        <v>50</v>
      </c>
      <c r="V5" s="7" t="s">
        <v>81</v>
      </c>
      <c r="W5" s="7" t="s">
        <v>82</v>
      </c>
      <c r="X5" s="7" t="s">
        <v>83</v>
      </c>
      <c r="Y5" s="7" t="s">
        <v>84</v>
      </c>
      <c r="Z5" s="7" t="s">
        <v>85</v>
      </c>
      <c r="AA5" s="7" t="s">
        <v>86</v>
      </c>
      <c r="AB5" s="7" t="s">
        <v>87</v>
      </c>
      <c r="AC5" s="7" t="s">
        <v>88</v>
      </c>
      <c r="AD5" s="7" t="s">
        <v>89</v>
      </c>
      <c r="AE5" s="7" t="s">
        <v>90</v>
      </c>
      <c r="AF5" s="7" t="s">
        <v>91</v>
      </c>
      <c r="AG5" s="7" t="s">
        <v>92</v>
      </c>
      <c r="AH5" s="7" t="s">
        <v>93</v>
      </c>
      <c r="AI5" s="7" t="s">
        <v>94</v>
      </c>
      <c r="AJ5" s="7" t="s">
        <v>95</v>
      </c>
      <c r="AK5" s="7" t="s">
        <v>96</v>
      </c>
      <c r="AL5" s="7" t="s">
        <v>97</v>
      </c>
      <c r="AM5" s="7" t="s">
        <v>98</v>
      </c>
    </row>
    <row r="6" spans="1:39" ht="24" customHeight="1" x14ac:dyDescent="0.25">
      <c r="A6" s="15" t="s">
        <v>99</v>
      </c>
      <c r="B6" s="15" t="s">
        <v>100</v>
      </c>
      <c r="C6" s="15" t="s">
        <v>101</v>
      </c>
      <c r="D6" s="15" t="s">
        <v>102</v>
      </c>
      <c r="E6" s="15" t="s">
        <v>103</v>
      </c>
      <c r="F6" s="15" t="s">
        <v>28</v>
      </c>
      <c r="G6" s="15" t="s">
        <v>104</v>
      </c>
      <c r="H6" s="15" t="s">
        <v>105</v>
      </c>
      <c r="I6" s="16">
        <v>45000</v>
      </c>
      <c r="J6" s="16">
        <v>47000</v>
      </c>
      <c r="K6" s="16">
        <v>52000</v>
      </c>
      <c r="L6" s="16">
        <v>55000</v>
      </c>
      <c r="M6" s="16">
        <v>56000</v>
      </c>
      <c r="N6" s="16">
        <v>59000</v>
      </c>
      <c r="O6" s="16">
        <v>62000</v>
      </c>
      <c r="P6" s="16">
        <v>61000</v>
      </c>
      <c r="Q6" s="16">
        <v>64000</v>
      </c>
      <c r="R6" s="16">
        <v>68000</v>
      </c>
      <c r="S6" s="16">
        <v>70000</v>
      </c>
      <c r="T6" s="16">
        <v>76000</v>
      </c>
      <c r="U6" s="17">
        <f t="shared" ref="U6:U45" si="0">SUM(I6:T6)</f>
        <v>715000</v>
      </c>
      <c r="V6" s="18">
        <v>43800</v>
      </c>
      <c r="W6" s="18">
        <v>48500</v>
      </c>
      <c r="X6" s="18">
        <v>51000</v>
      </c>
      <c r="Y6" s="18">
        <v>57500</v>
      </c>
      <c r="Z6" s="18"/>
      <c r="AA6" s="18"/>
      <c r="AB6" s="18"/>
      <c r="AC6" s="18"/>
      <c r="AD6" s="18"/>
      <c r="AE6" s="18"/>
      <c r="AF6" s="18"/>
      <c r="AG6" s="18"/>
      <c r="AH6" s="19">
        <f t="shared" ref="AH6:AH45" si="1">SUM(V6:AG6)</f>
        <v>200800</v>
      </c>
      <c r="AI6" s="19">
        <f t="shared" ref="AI6:AI45" si="2">IF(D6="Einnahme",AK6-U6,U6-AK6)</f>
        <v>1800</v>
      </c>
      <c r="AJ6" s="19">
        <f t="shared" ref="AJ6:AJ45" si="3">IFERROR(AI6/ABS(U6),"")</f>
        <v>2.5174825174825175E-3</v>
      </c>
      <c r="AK6" s="19">
        <f>CHOOSE(Annahmen!$B$6+1,0,SUM(V6:V6),SUM(V6:W6),SUM(V6:X6),SUM(V6:Y6),SUM(V6:Z6),SUM(V6:AA6),SUM(V6:AB6),SUM(V6:AC6),SUM(V6:AD6),SUM(V6:AE6),SUM(V6:AF6),SUM(V6:AG6))+CHOOSE(Annahmen!$B$6+1,SUM(I6:T6),SUM(J6:T6),SUM(K6:T6),SUM(L6:T6),SUM(M6:T6),SUM(N6:T6),SUM(O6:T6),SUM(P6:T6),SUM(Q6:T6),SUM(R6:T6),SUM(S6:T6),SUM(T6:T6),0)*IF(D6="Einnahme",Annahmen!$E$12,IF(E6="Investition",Annahmen!$E$14,Annahmen!$E$13))</f>
        <v>716800</v>
      </c>
      <c r="AL6" s="2"/>
      <c r="AM6" s="20">
        <f t="shared" ref="AM6:AM45" si="4">ABS(AI6)</f>
        <v>1800</v>
      </c>
    </row>
    <row r="7" spans="1:39" ht="24" customHeight="1" x14ac:dyDescent="0.25">
      <c r="A7" s="15" t="s">
        <v>106</v>
      </c>
      <c r="B7" s="15" t="s">
        <v>100</v>
      </c>
      <c r="C7" s="15" t="s">
        <v>107</v>
      </c>
      <c r="D7" s="15" t="s">
        <v>102</v>
      </c>
      <c r="E7" s="15" t="s">
        <v>103</v>
      </c>
      <c r="F7" s="15" t="s">
        <v>28</v>
      </c>
      <c r="G7" s="15" t="s">
        <v>104</v>
      </c>
      <c r="H7" s="15" t="s">
        <v>105</v>
      </c>
      <c r="I7" s="16">
        <v>18000</v>
      </c>
      <c r="J7" s="16">
        <v>19000</v>
      </c>
      <c r="K7" s="16">
        <v>21000</v>
      </c>
      <c r="L7" s="16">
        <v>24000</v>
      </c>
      <c r="M7" s="16">
        <v>25000</v>
      </c>
      <c r="N7" s="16">
        <v>26000</v>
      </c>
      <c r="O7" s="16">
        <v>28000</v>
      </c>
      <c r="P7" s="16">
        <v>30000</v>
      </c>
      <c r="Q7" s="16">
        <v>31000</v>
      </c>
      <c r="R7" s="16">
        <v>33000</v>
      </c>
      <c r="S7" s="16">
        <v>35000</v>
      </c>
      <c r="T7" s="16">
        <v>38000</v>
      </c>
      <c r="U7" s="17">
        <f t="shared" si="0"/>
        <v>328000</v>
      </c>
      <c r="V7" s="18">
        <v>17200</v>
      </c>
      <c r="W7" s="18">
        <v>20100</v>
      </c>
      <c r="X7" s="18">
        <v>22500</v>
      </c>
      <c r="Y7" s="18">
        <v>23800</v>
      </c>
      <c r="Z7" s="18"/>
      <c r="AA7" s="18"/>
      <c r="AB7" s="18"/>
      <c r="AC7" s="18"/>
      <c r="AD7" s="18"/>
      <c r="AE7" s="18"/>
      <c r="AF7" s="18"/>
      <c r="AG7" s="18"/>
      <c r="AH7" s="19">
        <f t="shared" si="1"/>
        <v>83600</v>
      </c>
      <c r="AI7" s="19">
        <f t="shared" si="2"/>
        <v>1600</v>
      </c>
      <c r="AJ7" s="19">
        <f t="shared" si="3"/>
        <v>4.8780487804878049E-3</v>
      </c>
      <c r="AK7" s="19">
        <f>CHOOSE(Annahmen!$B$6+1,0,SUM(V7:V7),SUM(V7:W7),SUM(V7:X7),SUM(V7:Y7),SUM(V7:Z7),SUM(V7:AA7),SUM(V7:AB7),SUM(V7:AC7),SUM(V7:AD7),SUM(V7:AE7),SUM(V7:AF7),SUM(V7:AG7))+CHOOSE(Annahmen!$B$6+1,SUM(I7:T7),SUM(J7:T7),SUM(K7:T7),SUM(L7:T7),SUM(M7:T7),SUM(N7:T7),SUM(O7:T7),SUM(P7:T7),SUM(Q7:T7),SUM(R7:T7),SUM(S7:T7),SUM(T7:T7),0)*IF(D7="Einnahme",Annahmen!$E$12,IF(E7="Investition",Annahmen!$E$14,Annahmen!$E$13))</f>
        <v>329600</v>
      </c>
      <c r="AL7" s="2"/>
      <c r="AM7" s="20">
        <f t="shared" si="4"/>
        <v>1600</v>
      </c>
    </row>
    <row r="8" spans="1:39" ht="24" customHeight="1" x14ac:dyDescent="0.25">
      <c r="A8" s="15" t="s">
        <v>108</v>
      </c>
      <c r="B8" s="15" t="s">
        <v>100</v>
      </c>
      <c r="C8" s="15" t="s">
        <v>109</v>
      </c>
      <c r="D8" s="15" t="s">
        <v>102</v>
      </c>
      <c r="E8" s="15" t="s">
        <v>110</v>
      </c>
      <c r="F8" s="15" t="s">
        <v>42</v>
      </c>
      <c r="G8" s="15" t="s">
        <v>111</v>
      </c>
      <c r="H8" s="15" t="s">
        <v>105</v>
      </c>
      <c r="I8" s="16">
        <v>26000</v>
      </c>
      <c r="J8" s="16">
        <v>26000</v>
      </c>
      <c r="K8" s="16">
        <v>26000</v>
      </c>
      <c r="L8" s="16">
        <v>26000</v>
      </c>
      <c r="M8" s="16">
        <v>26000</v>
      </c>
      <c r="N8" s="16">
        <v>26000</v>
      </c>
      <c r="O8" s="16">
        <v>26000</v>
      </c>
      <c r="P8" s="16">
        <v>26000</v>
      </c>
      <c r="Q8" s="16">
        <v>26000</v>
      </c>
      <c r="R8" s="16">
        <v>26000</v>
      </c>
      <c r="S8" s="16">
        <v>26000</v>
      </c>
      <c r="T8" s="16">
        <v>26000</v>
      </c>
      <c r="U8" s="17">
        <f t="shared" si="0"/>
        <v>312000</v>
      </c>
      <c r="V8" s="18">
        <v>25800</v>
      </c>
      <c r="W8" s="18">
        <v>26200</v>
      </c>
      <c r="X8" s="18">
        <v>26300</v>
      </c>
      <c r="Y8" s="18">
        <v>26700</v>
      </c>
      <c r="Z8" s="18"/>
      <c r="AA8" s="18"/>
      <c r="AB8" s="18"/>
      <c r="AC8" s="18"/>
      <c r="AD8" s="18"/>
      <c r="AE8" s="18"/>
      <c r="AF8" s="18"/>
      <c r="AG8" s="18"/>
      <c r="AH8" s="19">
        <f t="shared" si="1"/>
        <v>105000</v>
      </c>
      <c r="AI8" s="19">
        <f t="shared" si="2"/>
        <v>1000</v>
      </c>
      <c r="AJ8" s="19">
        <f t="shared" si="3"/>
        <v>3.205128205128205E-3</v>
      </c>
      <c r="AK8" s="19">
        <f>CHOOSE(Annahmen!$B$6+1,0,SUM(V8:V8),SUM(V8:W8),SUM(V8:X8),SUM(V8:Y8),SUM(V8:Z8),SUM(V8:AA8),SUM(V8:AB8),SUM(V8:AC8),SUM(V8:AD8),SUM(V8:AE8),SUM(V8:AF8),SUM(V8:AG8))+CHOOSE(Annahmen!$B$6+1,SUM(I8:T8),SUM(J8:T8),SUM(K8:T8),SUM(L8:T8),SUM(M8:T8),SUM(N8:T8),SUM(O8:T8),SUM(P8:T8),SUM(Q8:T8),SUM(R8:T8),SUM(S8:T8),SUM(T8:T8),0)*IF(D8="Einnahme",Annahmen!$E$12,IF(E8="Investition",Annahmen!$E$14,Annahmen!$E$13))</f>
        <v>313000</v>
      </c>
      <c r="AL8" s="2"/>
      <c r="AM8" s="20">
        <f t="shared" si="4"/>
        <v>1000</v>
      </c>
    </row>
    <row r="9" spans="1:39" ht="24" customHeight="1" x14ac:dyDescent="0.25">
      <c r="A9" s="15" t="s">
        <v>112</v>
      </c>
      <c r="B9" s="15" t="s">
        <v>100</v>
      </c>
      <c r="C9" s="15" t="s">
        <v>113</v>
      </c>
      <c r="D9" s="15" t="s">
        <v>102</v>
      </c>
      <c r="E9" s="15" t="s">
        <v>103</v>
      </c>
      <c r="F9" s="15" t="s">
        <v>34</v>
      </c>
      <c r="G9" s="15" t="s">
        <v>114</v>
      </c>
      <c r="H9" s="15" t="s">
        <v>115</v>
      </c>
      <c r="I9" s="16">
        <v>12000</v>
      </c>
      <c r="J9" s="16">
        <v>15000</v>
      </c>
      <c r="K9" s="16">
        <v>18000</v>
      </c>
      <c r="L9" s="16">
        <v>22000</v>
      </c>
      <c r="M9" s="16">
        <v>16000</v>
      </c>
      <c r="N9" s="16">
        <v>24000</v>
      </c>
      <c r="O9" s="16">
        <v>30000</v>
      </c>
      <c r="P9" s="16">
        <v>18000</v>
      </c>
      <c r="Q9" s="16">
        <v>26000</v>
      </c>
      <c r="R9" s="16">
        <v>32000</v>
      </c>
      <c r="S9" s="16">
        <v>28000</v>
      </c>
      <c r="T9" s="16">
        <v>36000</v>
      </c>
      <c r="U9" s="17">
        <f t="shared" si="0"/>
        <v>277000</v>
      </c>
      <c r="V9" s="18">
        <v>11000</v>
      </c>
      <c r="W9" s="18">
        <v>16800</v>
      </c>
      <c r="X9" s="18">
        <v>15000</v>
      </c>
      <c r="Y9" s="18">
        <v>24500</v>
      </c>
      <c r="Z9" s="18"/>
      <c r="AA9" s="18"/>
      <c r="AB9" s="18"/>
      <c r="AC9" s="18"/>
      <c r="AD9" s="18"/>
      <c r="AE9" s="18"/>
      <c r="AF9" s="18"/>
      <c r="AG9" s="18"/>
      <c r="AH9" s="19">
        <f t="shared" si="1"/>
        <v>67300</v>
      </c>
      <c r="AI9" s="19">
        <f t="shared" si="2"/>
        <v>300</v>
      </c>
      <c r="AJ9" s="19">
        <f t="shared" si="3"/>
        <v>1.0830324909747292E-3</v>
      </c>
      <c r="AK9" s="19">
        <f>CHOOSE(Annahmen!$B$6+1,0,SUM(V9:V9),SUM(V9:W9),SUM(V9:X9),SUM(V9:Y9),SUM(V9:Z9),SUM(V9:AA9),SUM(V9:AB9),SUM(V9:AC9),SUM(V9:AD9),SUM(V9:AE9),SUM(V9:AF9),SUM(V9:AG9))+CHOOSE(Annahmen!$B$6+1,SUM(I9:T9),SUM(J9:T9),SUM(K9:T9),SUM(L9:T9),SUM(M9:T9),SUM(N9:T9),SUM(O9:T9),SUM(P9:T9),SUM(Q9:T9),SUM(R9:T9),SUM(S9:T9),SUM(T9:T9),0)*IF(D9="Einnahme",Annahmen!$E$12,IF(E9="Investition",Annahmen!$E$14,Annahmen!$E$13))</f>
        <v>277300</v>
      </c>
      <c r="AL9" s="2"/>
      <c r="AM9" s="20">
        <f t="shared" si="4"/>
        <v>300</v>
      </c>
    </row>
    <row r="10" spans="1:39" ht="24" customHeight="1" x14ac:dyDescent="0.25">
      <c r="A10" s="15" t="s">
        <v>116</v>
      </c>
      <c r="B10" s="15" t="s">
        <v>100</v>
      </c>
      <c r="C10" s="15" t="s">
        <v>117</v>
      </c>
      <c r="D10" s="15" t="s">
        <v>102</v>
      </c>
      <c r="E10" s="15" t="s">
        <v>103</v>
      </c>
      <c r="F10" s="15" t="s">
        <v>30</v>
      </c>
      <c r="G10" s="15" t="s">
        <v>118</v>
      </c>
      <c r="H10" s="15" t="s">
        <v>119</v>
      </c>
      <c r="I10" s="16">
        <v>6000</v>
      </c>
      <c r="J10" s="16">
        <v>8000</v>
      </c>
      <c r="K10" s="16">
        <v>9000</v>
      </c>
      <c r="L10" s="16">
        <v>12000</v>
      </c>
      <c r="M10" s="16">
        <v>10000</v>
      </c>
      <c r="N10" s="16">
        <v>11000</v>
      </c>
      <c r="O10" s="16">
        <v>7000</v>
      </c>
      <c r="P10" s="16">
        <v>6000</v>
      </c>
      <c r="Q10" s="16">
        <v>13000</v>
      </c>
      <c r="R10" s="16">
        <v>14000</v>
      </c>
      <c r="S10" s="16">
        <v>12000</v>
      </c>
      <c r="T10" s="16">
        <v>10000</v>
      </c>
      <c r="U10" s="17">
        <f t="shared" si="0"/>
        <v>118000</v>
      </c>
      <c r="V10" s="18">
        <v>5500</v>
      </c>
      <c r="W10" s="18">
        <v>8300</v>
      </c>
      <c r="X10" s="18">
        <v>9600</v>
      </c>
      <c r="Y10" s="18">
        <v>11800</v>
      </c>
      <c r="Z10" s="18"/>
      <c r="AA10" s="18"/>
      <c r="AB10" s="18"/>
      <c r="AC10" s="18"/>
      <c r="AD10" s="18"/>
      <c r="AE10" s="18"/>
      <c r="AF10" s="18"/>
      <c r="AG10" s="18"/>
      <c r="AH10" s="19">
        <f t="shared" si="1"/>
        <v>35200</v>
      </c>
      <c r="AI10" s="19">
        <f t="shared" si="2"/>
        <v>200</v>
      </c>
      <c r="AJ10" s="19">
        <f t="shared" si="3"/>
        <v>1.6949152542372881E-3</v>
      </c>
      <c r="AK10" s="19">
        <f>CHOOSE(Annahmen!$B$6+1,0,SUM(V10:V10),SUM(V10:W10),SUM(V10:X10),SUM(V10:Y10),SUM(V10:Z10),SUM(V10:AA10),SUM(V10:AB10),SUM(V10:AC10),SUM(V10:AD10),SUM(V10:AE10),SUM(V10:AF10),SUM(V10:AG10))+CHOOSE(Annahmen!$B$6+1,SUM(I10:T10),SUM(J10:T10),SUM(K10:T10),SUM(L10:T10),SUM(M10:T10),SUM(N10:T10),SUM(O10:T10),SUM(P10:T10),SUM(Q10:T10),SUM(R10:T10),SUM(S10:T10),SUM(T10:T10),0)*IF(D10="Einnahme",Annahmen!$E$12,IF(E10="Investition",Annahmen!$E$14,Annahmen!$E$13))</f>
        <v>118200</v>
      </c>
      <c r="AL10" s="2"/>
      <c r="AM10" s="20">
        <f t="shared" si="4"/>
        <v>200</v>
      </c>
    </row>
    <row r="11" spans="1:39" ht="24" customHeight="1" x14ac:dyDescent="0.25">
      <c r="A11" s="15" t="s">
        <v>120</v>
      </c>
      <c r="B11" s="15" t="s">
        <v>100</v>
      </c>
      <c r="C11" s="15" t="s">
        <v>121</v>
      </c>
      <c r="D11" s="15" t="s">
        <v>102</v>
      </c>
      <c r="E11" s="15" t="s">
        <v>103</v>
      </c>
      <c r="F11" s="15" t="s">
        <v>36</v>
      </c>
      <c r="G11" s="15" t="s">
        <v>122</v>
      </c>
      <c r="H11" s="15" t="s">
        <v>119</v>
      </c>
      <c r="I11" s="16">
        <v>2500</v>
      </c>
      <c r="J11" s="16">
        <v>2500</v>
      </c>
      <c r="K11" s="16">
        <v>3000</v>
      </c>
      <c r="L11" s="16">
        <v>3000</v>
      </c>
      <c r="M11" s="16">
        <v>3000</v>
      </c>
      <c r="N11" s="16">
        <v>3500</v>
      </c>
      <c r="O11" s="16">
        <v>3500</v>
      </c>
      <c r="P11" s="16">
        <v>3500</v>
      </c>
      <c r="Q11" s="16">
        <v>4000</v>
      </c>
      <c r="R11" s="16">
        <v>4000</v>
      </c>
      <c r="S11" s="16">
        <v>4500</v>
      </c>
      <c r="T11" s="16">
        <v>5000</v>
      </c>
      <c r="U11" s="17">
        <f t="shared" si="0"/>
        <v>42000</v>
      </c>
      <c r="V11" s="18">
        <v>2600</v>
      </c>
      <c r="W11" s="18">
        <v>2400</v>
      </c>
      <c r="X11" s="18">
        <v>3200</v>
      </c>
      <c r="Y11" s="18">
        <v>3100</v>
      </c>
      <c r="Z11" s="18"/>
      <c r="AA11" s="18"/>
      <c r="AB11" s="18"/>
      <c r="AC11" s="18"/>
      <c r="AD11" s="18"/>
      <c r="AE11" s="18"/>
      <c r="AF11" s="18"/>
      <c r="AG11" s="18"/>
      <c r="AH11" s="19">
        <f t="shared" si="1"/>
        <v>11300</v>
      </c>
      <c r="AI11" s="19">
        <f t="shared" si="2"/>
        <v>300</v>
      </c>
      <c r="AJ11" s="19">
        <f t="shared" si="3"/>
        <v>7.1428571428571426E-3</v>
      </c>
      <c r="AK11" s="19">
        <f>CHOOSE(Annahmen!$B$6+1,0,SUM(V11:V11),SUM(V11:W11),SUM(V11:X11),SUM(V11:Y11),SUM(V11:Z11),SUM(V11:AA11),SUM(V11:AB11),SUM(V11:AC11),SUM(V11:AD11),SUM(V11:AE11),SUM(V11:AF11),SUM(V11:AG11))+CHOOSE(Annahmen!$B$6+1,SUM(I11:T11),SUM(J11:T11),SUM(K11:T11),SUM(L11:T11),SUM(M11:T11),SUM(N11:T11),SUM(O11:T11),SUM(P11:T11),SUM(Q11:T11),SUM(R11:T11),SUM(S11:T11),SUM(T11:T11),0)*IF(D11="Einnahme",Annahmen!$E$12,IF(E11="Investition",Annahmen!$E$14,Annahmen!$E$13))</f>
        <v>42300</v>
      </c>
      <c r="AL11" s="2"/>
      <c r="AM11" s="20">
        <f t="shared" si="4"/>
        <v>300</v>
      </c>
    </row>
    <row r="12" spans="1:39" ht="24" customHeight="1" x14ac:dyDescent="0.25">
      <c r="A12" s="15" t="s">
        <v>123</v>
      </c>
      <c r="B12" s="15" t="s">
        <v>124</v>
      </c>
      <c r="C12" s="15" t="s">
        <v>125</v>
      </c>
      <c r="D12" s="15" t="s">
        <v>126</v>
      </c>
      <c r="E12" s="15" t="s">
        <v>110</v>
      </c>
      <c r="F12" s="15" t="s">
        <v>28</v>
      </c>
      <c r="G12" s="15" t="s">
        <v>104</v>
      </c>
      <c r="H12" s="15" t="s">
        <v>105</v>
      </c>
      <c r="I12" s="16">
        <v>22000</v>
      </c>
      <c r="J12" s="16">
        <v>22000</v>
      </c>
      <c r="K12" s="16">
        <v>22000</v>
      </c>
      <c r="L12" s="16">
        <v>22000</v>
      </c>
      <c r="M12" s="16">
        <v>22000</v>
      </c>
      <c r="N12" s="16">
        <v>22000</v>
      </c>
      <c r="O12" s="16">
        <v>22000</v>
      </c>
      <c r="P12" s="16">
        <v>22000</v>
      </c>
      <c r="Q12" s="16">
        <v>22000</v>
      </c>
      <c r="R12" s="16">
        <v>22000</v>
      </c>
      <c r="S12" s="16">
        <v>22000</v>
      </c>
      <c r="T12" s="16">
        <v>22000</v>
      </c>
      <c r="U12" s="17">
        <f t="shared" si="0"/>
        <v>264000</v>
      </c>
      <c r="V12" s="18">
        <v>22000</v>
      </c>
      <c r="W12" s="18">
        <v>22000</v>
      </c>
      <c r="X12" s="18">
        <v>22300</v>
      </c>
      <c r="Y12" s="18">
        <v>22300</v>
      </c>
      <c r="Z12" s="18"/>
      <c r="AA12" s="18"/>
      <c r="AB12" s="18"/>
      <c r="AC12" s="18"/>
      <c r="AD12" s="18"/>
      <c r="AE12" s="18"/>
      <c r="AF12" s="18"/>
      <c r="AG12" s="18"/>
      <c r="AH12" s="19">
        <f t="shared" si="1"/>
        <v>88600</v>
      </c>
      <c r="AI12" s="19">
        <f t="shared" si="2"/>
        <v>-600</v>
      </c>
      <c r="AJ12" s="19">
        <f t="shared" si="3"/>
        <v>-2.2727272727272726E-3</v>
      </c>
      <c r="AK12" s="19">
        <f>CHOOSE(Annahmen!$B$6+1,0,SUM(V12:V12),SUM(V12:W12),SUM(V12:X12),SUM(V12:Y12),SUM(V12:Z12),SUM(V12:AA12),SUM(V12:AB12),SUM(V12:AC12),SUM(V12:AD12),SUM(V12:AE12),SUM(V12:AF12),SUM(V12:AG12))+CHOOSE(Annahmen!$B$6+1,SUM(I12:T12),SUM(J12:T12),SUM(K12:T12),SUM(L12:T12),SUM(M12:T12),SUM(N12:T12),SUM(O12:T12),SUM(P12:T12),SUM(Q12:T12),SUM(R12:T12),SUM(S12:T12),SUM(T12:T12),0)*IF(D12="Einnahme",Annahmen!$E$12,IF(E12="Investition",Annahmen!$E$14,Annahmen!$E$13))</f>
        <v>264600</v>
      </c>
      <c r="AL12" s="2"/>
      <c r="AM12" s="20">
        <f t="shared" si="4"/>
        <v>600</v>
      </c>
    </row>
    <row r="13" spans="1:39" ht="24" customHeight="1" x14ac:dyDescent="0.25">
      <c r="A13" s="15" t="s">
        <v>127</v>
      </c>
      <c r="B13" s="15" t="s">
        <v>124</v>
      </c>
      <c r="C13" s="15" t="s">
        <v>128</v>
      </c>
      <c r="D13" s="15" t="s">
        <v>126</v>
      </c>
      <c r="E13" s="15" t="s">
        <v>110</v>
      </c>
      <c r="F13" s="15" t="s">
        <v>32</v>
      </c>
      <c r="G13" s="15" t="s">
        <v>129</v>
      </c>
      <c r="H13" s="15" t="s">
        <v>105</v>
      </c>
      <c r="I13" s="16">
        <v>31000</v>
      </c>
      <c r="J13" s="16">
        <v>31000</v>
      </c>
      <c r="K13" s="16">
        <v>31000</v>
      </c>
      <c r="L13" s="16">
        <v>31000</v>
      </c>
      <c r="M13" s="16">
        <v>31000</v>
      </c>
      <c r="N13" s="16">
        <v>31000</v>
      </c>
      <c r="O13" s="16">
        <v>31000</v>
      </c>
      <c r="P13" s="16">
        <v>31000</v>
      </c>
      <c r="Q13" s="16">
        <v>31000</v>
      </c>
      <c r="R13" s="16">
        <v>31000</v>
      </c>
      <c r="S13" s="16">
        <v>31000</v>
      </c>
      <c r="T13" s="16">
        <v>31000</v>
      </c>
      <c r="U13" s="17">
        <f t="shared" si="0"/>
        <v>372000</v>
      </c>
      <c r="V13" s="18">
        <v>30900</v>
      </c>
      <c r="W13" s="18">
        <v>31000</v>
      </c>
      <c r="X13" s="18">
        <v>31400</v>
      </c>
      <c r="Y13" s="18">
        <v>31400</v>
      </c>
      <c r="Z13" s="18"/>
      <c r="AA13" s="18"/>
      <c r="AB13" s="18"/>
      <c r="AC13" s="18"/>
      <c r="AD13" s="18"/>
      <c r="AE13" s="18"/>
      <c r="AF13" s="18"/>
      <c r="AG13" s="18"/>
      <c r="AH13" s="19">
        <f t="shared" si="1"/>
        <v>124700</v>
      </c>
      <c r="AI13" s="19">
        <f t="shared" si="2"/>
        <v>-700</v>
      </c>
      <c r="AJ13" s="19">
        <f t="shared" si="3"/>
        <v>-1.881720430107527E-3</v>
      </c>
      <c r="AK13" s="19">
        <f>CHOOSE(Annahmen!$B$6+1,0,SUM(V13:V13),SUM(V13:W13),SUM(V13:X13),SUM(V13:Y13),SUM(V13:Z13),SUM(V13:AA13),SUM(V13:AB13),SUM(V13:AC13),SUM(V13:AD13),SUM(V13:AE13),SUM(V13:AF13),SUM(V13:AG13))+CHOOSE(Annahmen!$B$6+1,SUM(I13:T13),SUM(J13:T13),SUM(K13:T13),SUM(L13:T13),SUM(M13:T13),SUM(N13:T13),SUM(O13:T13),SUM(P13:T13),SUM(Q13:T13),SUM(R13:T13),SUM(S13:T13),SUM(T13:T13),0)*IF(D13="Einnahme",Annahmen!$E$12,IF(E13="Investition",Annahmen!$E$14,Annahmen!$E$13))</f>
        <v>372700</v>
      </c>
      <c r="AL13" s="2"/>
      <c r="AM13" s="20">
        <f t="shared" si="4"/>
        <v>700</v>
      </c>
    </row>
    <row r="14" spans="1:39" ht="24" customHeight="1" x14ac:dyDescent="0.25">
      <c r="A14" s="15" t="s">
        <v>130</v>
      </c>
      <c r="B14" s="15" t="s">
        <v>124</v>
      </c>
      <c r="C14" s="15" t="s">
        <v>131</v>
      </c>
      <c r="D14" s="15" t="s">
        <v>126</v>
      </c>
      <c r="E14" s="15" t="s">
        <v>110</v>
      </c>
      <c r="F14" s="15" t="s">
        <v>36</v>
      </c>
      <c r="G14" s="15" t="s">
        <v>122</v>
      </c>
      <c r="H14" s="15" t="s">
        <v>105</v>
      </c>
      <c r="I14" s="16">
        <v>14500</v>
      </c>
      <c r="J14" s="16">
        <v>14500</v>
      </c>
      <c r="K14" s="16">
        <v>14500</v>
      </c>
      <c r="L14" s="16">
        <v>14500</v>
      </c>
      <c r="M14" s="16">
        <v>14500</v>
      </c>
      <c r="N14" s="16">
        <v>14500</v>
      </c>
      <c r="O14" s="16">
        <v>14500</v>
      </c>
      <c r="P14" s="16">
        <v>14500</v>
      </c>
      <c r="Q14" s="16">
        <v>14500</v>
      </c>
      <c r="R14" s="16">
        <v>14500</v>
      </c>
      <c r="S14" s="16">
        <v>14500</v>
      </c>
      <c r="T14" s="16">
        <v>14500</v>
      </c>
      <c r="U14" s="17">
        <f t="shared" si="0"/>
        <v>174000</v>
      </c>
      <c r="V14" s="18">
        <v>14500</v>
      </c>
      <c r="W14" s="18">
        <v>14500</v>
      </c>
      <c r="X14" s="18">
        <v>14600</v>
      </c>
      <c r="Y14" s="18">
        <v>14600</v>
      </c>
      <c r="Z14" s="18"/>
      <c r="AA14" s="18"/>
      <c r="AB14" s="18"/>
      <c r="AC14" s="18"/>
      <c r="AD14" s="18"/>
      <c r="AE14" s="18"/>
      <c r="AF14" s="18"/>
      <c r="AG14" s="18"/>
      <c r="AH14" s="19">
        <f t="shared" si="1"/>
        <v>58200</v>
      </c>
      <c r="AI14" s="19">
        <f t="shared" si="2"/>
        <v>-200</v>
      </c>
      <c r="AJ14" s="19">
        <f t="shared" si="3"/>
        <v>-1.1494252873563218E-3</v>
      </c>
      <c r="AK14" s="19">
        <f>CHOOSE(Annahmen!$B$6+1,0,SUM(V14:V14),SUM(V14:W14),SUM(V14:X14),SUM(V14:Y14),SUM(V14:Z14),SUM(V14:AA14),SUM(V14:AB14),SUM(V14:AC14),SUM(V14:AD14),SUM(V14:AE14),SUM(V14:AF14),SUM(V14:AG14))+CHOOSE(Annahmen!$B$6+1,SUM(I14:T14),SUM(J14:T14),SUM(K14:T14),SUM(L14:T14),SUM(M14:T14),SUM(N14:T14),SUM(O14:T14),SUM(P14:T14),SUM(Q14:T14),SUM(R14:T14),SUM(S14:T14),SUM(T14:T14),0)*IF(D14="Einnahme",Annahmen!$E$12,IF(E14="Investition",Annahmen!$E$14,Annahmen!$E$13))</f>
        <v>174200</v>
      </c>
      <c r="AL14" s="2"/>
      <c r="AM14" s="20">
        <f t="shared" si="4"/>
        <v>200</v>
      </c>
    </row>
    <row r="15" spans="1:39" ht="24" customHeight="1" x14ac:dyDescent="0.25">
      <c r="A15" s="15" t="s">
        <v>132</v>
      </c>
      <c r="B15" s="15" t="s">
        <v>124</v>
      </c>
      <c r="C15" s="15" t="s">
        <v>133</v>
      </c>
      <c r="D15" s="15" t="s">
        <v>126</v>
      </c>
      <c r="E15" s="15" t="s">
        <v>103</v>
      </c>
      <c r="F15" s="15" t="s">
        <v>34</v>
      </c>
      <c r="G15" s="15" t="s">
        <v>114</v>
      </c>
      <c r="H15" s="15" t="s">
        <v>115</v>
      </c>
      <c r="I15" s="16">
        <v>6000</v>
      </c>
      <c r="J15" s="16">
        <v>6000</v>
      </c>
      <c r="K15" s="16">
        <v>7000</v>
      </c>
      <c r="L15" s="16">
        <v>8000</v>
      </c>
      <c r="M15" s="16">
        <v>8000</v>
      </c>
      <c r="N15" s="16">
        <v>9000</v>
      </c>
      <c r="O15" s="16">
        <v>9000</v>
      </c>
      <c r="P15" s="16">
        <v>9000</v>
      </c>
      <c r="Q15" s="16">
        <v>10000</v>
      </c>
      <c r="R15" s="16">
        <v>10000</v>
      </c>
      <c r="S15" s="16">
        <v>11000</v>
      </c>
      <c r="T15" s="16">
        <v>12000</v>
      </c>
      <c r="U15" s="17">
        <f t="shared" si="0"/>
        <v>105000</v>
      </c>
      <c r="V15" s="18">
        <v>5800</v>
      </c>
      <c r="W15" s="18">
        <v>6500</v>
      </c>
      <c r="X15" s="18">
        <v>7200</v>
      </c>
      <c r="Y15" s="18">
        <v>8500</v>
      </c>
      <c r="Z15" s="18"/>
      <c r="AA15" s="18"/>
      <c r="AB15" s="18"/>
      <c r="AC15" s="18"/>
      <c r="AD15" s="18"/>
      <c r="AE15" s="18"/>
      <c r="AF15" s="18"/>
      <c r="AG15" s="18"/>
      <c r="AH15" s="19">
        <f t="shared" si="1"/>
        <v>28000</v>
      </c>
      <c r="AI15" s="19">
        <f t="shared" si="2"/>
        <v>-1000</v>
      </c>
      <c r="AJ15" s="19">
        <f t="shared" si="3"/>
        <v>-9.5238095238095247E-3</v>
      </c>
      <c r="AK15" s="19">
        <f>CHOOSE(Annahmen!$B$6+1,0,SUM(V15:V15),SUM(V15:W15),SUM(V15:X15),SUM(V15:Y15),SUM(V15:Z15),SUM(V15:AA15),SUM(V15:AB15),SUM(V15:AC15),SUM(V15:AD15),SUM(V15:AE15),SUM(V15:AF15),SUM(V15:AG15))+CHOOSE(Annahmen!$B$6+1,SUM(I15:T15),SUM(J15:T15),SUM(K15:T15),SUM(L15:T15),SUM(M15:T15),SUM(N15:T15),SUM(O15:T15),SUM(P15:T15),SUM(Q15:T15),SUM(R15:T15),SUM(S15:T15),SUM(T15:T15),0)*IF(D15="Einnahme",Annahmen!$E$12,IF(E15="Investition",Annahmen!$E$14,Annahmen!$E$13))</f>
        <v>106000</v>
      </c>
      <c r="AL15" s="2"/>
      <c r="AM15" s="20">
        <f t="shared" si="4"/>
        <v>1000</v>
      </c>
    </row>
    <row r="16" spans="1:39" ht="24" customHeight="1" x14ac:dyDescent="0.25">
      <c r="A16" s="15" t="s">
        <v>134</v>
      </c>
      <c r="B16" s="15" t="s">
        <v>135</v>
      </c>
      <c r="C16" s="15" t="s">
        <v>136</v>
      </c>
      <c r="D16" s="15" t="s">
        <v>126</v>
      </c>
      <c r="E16" s="15" t="s">
        <v>110</v>
      </c>
      <c r="F16" s="15" t="s">
        <v>36</v>
      </c>
      <c r="G16" s="15" t="s">
        <v>122</v>
      </c>
      <c r="H16" s="15" t="s">
        <v>105</v>
      </c>
      <c r="I16" s="16">
        <v>7200</v>
      </c>
      <c r="J16" s="16">
        <v>7200</v>
      </c>
      <c r="K16" s="16">
        <v>7200</v>
      </c>
      <c r="L16" s="16">
        <v>7200</v>
      </c>
      <c r="M16" s="16">
        <v>7200</v>
      </c>
      <c r="N16" s="16">
        <v>7200</v>
      </c>
      <c r="O16" s="16">
        <v>7200</v>
      </c>
      <c r="P16" s="16">
        <v>7200</v>
      </c>
      <c r="Q16" s="16">
        <v>7200</v>
      </c>
      <c r="R16" s="16">
        <v>7200</v>
      </c>
      <c r="S16" s="16">
        <v>7200</v>
      </c>
      <c r="T16" s="16">
        <v>7200</v>
      </c>
      <c r="U16" s="17">
        <f t="shared" si="0"/>
        <v>86400</v>
      </c>
      <c r="V16" s="18">
        <v>7200</v>
      </c>
      <c r="W16" s="18">
        <v>7200</v>
      </c>
      <c r="X16" s="18">
        <v>7200</v>
      </c>
      <c r="Y16" s="18">
        <v>7350</v>
      </c>
      <c r="Z16" s="18"/>
      <c r="AA16" s="18"/>
      <c r="AB16" s="18"/>
      <c r="AC16" s="18"/>
      <c r="AD16" s="18"/>
      <c r="AE16" s="18"/>
      <c r="AF16" s="18"/>
      <c r="AG16" s="18"/>
      <c r="AH16" s="19">
        <f t="shared" si="1"/>
        <v>28950</v>
      </c>
      <c r="AI16" s="19">
        <f t="shared" si="2"/>
        <v>-150</v>
      </c>
      <c r="AJ16" s="19">
        <f t="shared" si="3"/>
        <v>-1.736111111111111E-3</v>
      </c>
      <c r="AK16" s="19">
        <f>CHOOSE(Annahmen!$B$6+1,0,SUM(V16:V16),SUM(V16:W16),SUM(V16:X16),SUM(V16:Y16),SUM(V16:Z16),SUM(V16:AA16),SUM(V16:AB16),SUM(V16:AC16),SUM(V16:AD16),SUM(V16:AE16),SUM(V16:AF16),SUM(V16:AG16))+CHOOSE(Annahmen!$B$6+1,SUM(I16:T16),SUM(J16:T16),SUM(K16:T16),SUM(L16:T16),SUM(M16:T16),SUM(N16:T16),SUM(O16:T16),SUM(P16:T16),SUM(Q16:T16),SUM(R16:T16),SUM(S16:T16),SUM(T16:T16),0)*IF(D16="Einnahme",Annahmen!$E$12,IF(E16="Investition",Annahmen!$E$14,Annahmen!$E$13))</f>
        <v>86550</v>
      </c>
      <c r="AL16" s="2"/>
      <c r="AM16" s="20">
        <f t="shared" si="4"/>
        <v>150</v>
      </c>
    </row>
    <row r="17" spans="1:39" ht="24" customHeight="1" x14ac:dyDescent="0.25">
      <c r="A17" s="15" t="s">
        <v>137</v>
      </c>
      <c r="B17" s="15" t="s">
        <v>135</v>
      </c>
      <c r="C17" s="15" t="s">
        <v>138</v>
      </c>
      <c r="D17" s="15" t="s">
        <v>126</v>
      </c>
      <c r="E17" s="15" t="s">
        <v>110</v>
      </c>
      <c r="F17" s="15" t="s">
        <v>38</v>
      </c>
      <c r="G17" s="15" t="s">
        <v>139</v>
      </c>
      <c r="H17" s="15" t="s">
        <v>105</v>
      </c>
      <c r="I17" s="16">
        <v>4200</v>
      </c>
      <c r="J17" s="16">
        <v>4200</v>
      </c>
      <c r="K17" s="16">
        <v>4300</v>
      </c>
      <c r="L17" s="16">
        <v>4300</v>
      </c>
      <c r="M17" s="16">
        <v>4500</v>
      </c>
      <c r="N17" s="16">
        <v>4500</v>
      </c>
      <c r="O17" s="16">
        <v>4700</v>
      </c>
      <c r="P17" s="16">
        <v>4700</v>
      </c>
      <c r="Q17" s="16">
        <v>4800</v>
      </c>
      <c r="R17" s="16">
        <v>4800</v>
      </c>
      <c r="S17" s="16">
        <v>5000</v>
      </c>
      <c r="T17" s="16">
        <v>5000</v>
      </c>
      <c r="U17" s="17">
        <f t="shared" si="0"/>
        <v>55000</v>
      </c>
      <c r="V17" s="18">
        <v>4180</v>
      </c>
      <c r="W17" s="18">
        <v>4250</v>
      </c>
      <c r="X17" s="18">
        <v>4380</v>
      </c>
      <c r="Y17" s="18">
        <v>4620</v>
      </c>
      <c r="Z17" s="18"/>
      <c r="AA17" s="18"/>
      <c r="AB17" s="18"/>
      <c r="AC17" s="18"/>
      <c r="AD17" s="18"/>
      <c r="AE17" s="18"/>
      <c r="AF17" s="18"/>
      <c r="AG17" s="18"/>
      <c r="AH17" s="19">
        <f t="shared" si="1"/>
        <v>17430</v>
      </c>
      <c r="AI17" s="19">
        <f t="shared" si="2"/>
        <v>-430</v>
      </c>
      <c r="AJ17" s="19">
        <f t="shared" si="3"/>
        <v>-7.8181818181818179E-3</v>
      </c>
      <c r="AK17" s="19">
        <f>CHOOSE(Annahmen!$B$6+1,0,SUM(V17:V17),SUM(V17:W17),SUM(V17:X17),SUM(V17:Y17),SUM(V17:Z17),SUM(V17:AA17),SUM(V17:AB17),SUM(V17:AC17),SUM(V17:AD17),SUM(V17:AE17),SUM(V17:AF17),SUM(V17:AG17))+CHOOSE(Annahmen!$B$6+1,SUM(I17:T17),SUM(J17:T17),SUM(K17:T17),SUM(L17:T17),SUM(M17:T17),SUM(N17:T17),SUM(O17:T17),SUM(P17:T17),SUM(Q17:T17),SUM(R17:T17),SUM(S17:T17),SUM(T17:T17),0)*IF(D17="Einnahme",Annahmen!$E$12,IF(E17="Investition",Annahmen!$E$14,Annahmen!$E$13))</f>
        <v>55430</v>
      </c>
      <c r="AL17" s="2"/>
      <c r="AM17" s="20">
        <f t="shared" si="4"/>
        <v>430</v>
      </c>
    </row>
    <row r="18" spans="1:39" ht="24" customHeight="1" x14ac:dyDescent="0.25">
      <c r="A18" s="15" t="s">
        <v>140</v>
      </c>
      <c r="B18" s="15" t="s">
        <v>30</v>
      </c>
      <c r="C18" s="15" t="s">
        <v>141</v>
      </c>
      <c r="D18" s="15" t="s">
        <v>126</v>
      </c>
      <c r="E18" s="15" t="s">
        <v>103</v>
      </c>
      <c r="F18" s="15" t="s">
        <v>30</v>
      </c>
      <c r="G18" s="15" t="s">
        <v>118</v>
      </c>
      <c r="H18" s="15" t="s">
        <v>105</v>
      </c>
      <c r="I18" s="16">
        <v>9000</v>
      </c>
      <c r="J18" s="16">
        <v>9500</v>
      </c>
      <c r="K18" s="16">
        <v>11000</v>
      </c>
      <c r="L18" s="16">
        <v>12000</v>
      </c>
      <c r="M18" s="16">
        <v>13000</v>
      </c>
      <c r="N18" s="16">
        <v>15000</v>
      </c>
      <c r="O18" s="16">
        <v>14000</v>
      </c>
      <c r="P18" s="16">
        <v>12000</v>
      </c>
      <c r="Q18" s="16">
        <v>16000</v>
      </c>
      <c r="R18" s="16">
        <v>18000</v>
      </c>
      <c r="S18" s="16">
        <v>20000</v>
      </c>
      <c r="T18" s="16">
        <v>22000</v>
      </c>
      <c r="U18" s="17">
        <f t="shared" si="0"/>
        <v>171500</v>
      </c>
      <c r="V18" s="18">
        <v>8700</v>
      </c>
      <c r="W18" s="18">
        <v>9800</v>
      </c>
      <c r="X18" s="18">
        <v>12500</v>
      </c>
      <c r="Y18" s="18">
        <v>11800</v>
      </c>
      <c r="Z18" s="18"/>
      <c r="AA18" s="18"/>
      <c r="AB18" s="18"/>
      <c r="AC18" s="18"/>
      <c r="AD18" s="18"/>
      <c r="AE18" s="18"/>
      <c r="AF18" s="18"/>
      <c r="AG18" s="18"/>
      <c r="AH18" s="19">
        <f t="shared" si="1"/>
        <v>42800</v>
      </c>
      <c r="AI18" s="19">
        <f t="shared" si="2"/>
        <v>-1300</v>
      </c>
      <c r="AJ18" s="19">
        <f t="shared" si="3"/>
        <v>-7.5801749271137029E-3</v>
      </c>
      <c r="AK18" s="19">
        <f>CHOOSE(Annahmen!$B$6+1,0,SUM(V18:V18),SUM(V18:W18),SUM(V18:X18),SUM(V18:Y18),SUM(V18:Z18),SUM(V18:AA18),SUM(V18:AB18),SUM(V18:AC18),SUM(V18:AD18),SUM(V18:AE18),SUM(V18:AF18),SUM(V18:AG18))+CHOOSE(Annahmen!$B$6+1,SUM(I18:T18),SUM(J18:T18),SUM(K18:T18),SUM(L18:T18),SUM(M18:T18),SUM(N18:T18),SUM(O18:T18),SUM(P18:T18),SUM(Q18:T18),SUM(R18:T18),SUM(S18:T18),SUM(T18:T18),0)*IF(D18="Einnahme",Annahmen!$E$12,IF(E18="Investition",Annahmen!$E$14,Annahmen!$E$13))</f>
        <v>172800</v>
      </c>
      <c r="AL18" s="2"/>
      <c r="AM18" s="20">
        <f t="shared" si="4"/>
        <v>1300</v>
      </c>
    </row>
    <row r="19" spans="1:39" ht="24" customHeight="1" x14ac:dyDescent="0.25">
      <c r="A19" s="15" t="s">
        <v>142</v>
      </c>
      <c r="B19" s="15" t="s">
        <v>30</v>
      </c>
      <c r="C19" s="15" t="s">
        <v>143</v>
      </c>
      <c r="D19" s="15" t="s">
        <v>126</v>
      </c>
      <c r="E19" s="15" t="s">
        <v>103</v>
      </c>
      <c r="F19" s="15" t="s">
        <v>30</v>
      </c>
      <c r="G19" s="15" t="s">
        <v>118</v>
      </c>
      <c r="H19" s="15" t="s">
        <v>119</v>
      </c>
      <c r="I19" s="16">
        <v>0</v>
      </c>
      <c r="J19" s="16">
        <v>3000</v>
      </c>
      <c r="K19" s="16">
        <v>5000</v>
      </c>
      <c r="L19" s="16">
        <v>12000</v>
      </c>
      <c r="M19" s="16">
        <v>3000</v>
      </c>
      <c r="N19" s="16">
        <v>7000</v>
      </c>
      <c r="O19" s="16">
        <v>0</v>
      </c>
      <c r="P19" s="16">
        <v>0</v>
      </c>
      <c r="Q19" s="16">
        <v>14000</v>
      </c>
      <c r="R19" s="16">
        <v>6000</v>
      </c>
      <c r="S19" s="16">
        <v>4000</v>
      </c>
      <c r="T19" s="16">
        <v>8000</v>
      </c>
      <c r="U19" s="17">
        <f t="shared" si="0"/>
        <v>62000</v>
      </c>
      <c r="V19" s="18">
        <v>0</v>
      </c>
      <c r="W19" s="18">
        <v>3200</v>
      </c>
      <c r="X19" s="18">
        <v>4500</v>
      </c>
      <c r="Y19" s="18">
        <v>12900</v>
      </c>
      <c r="Z19" s="18"/>
      <c r="AA19" s="18"/>
      <c r="AB19" s="18"/>
      <c r="AC19" s="18"/>
      <c r="AD19" s="18"/>
      <c r="AE19" s="18"/>
      <c r="AF19" s="18"/>
      <c r="AG19" s="18"/>
      <c r="AH19" s="19">
        <f t="shared" si="1"/>
        <v>20600</v>
      </c>
      <c r="AI19" s="19">
        <f t="shared" si="2"/>
        <v>-600</v>
      </c>
      <c r="AJ19" s="19">
        <f t="shared" si="3"/>
        <v>-9.6774193548387101E-3</v>
      </c>
      <c r="AK19" s="19">
        <f>CHOOSE(Annahmen!$B$6+1,0,SUM(V19:V19),SUM(V19:W19),SUM(V19:X19),SUM(V19:Y19),SUM(V19:Z19),SUM(V19:AA19),SUM(V19:AB19),SUM(V19:AC19),SUM(V19:AD19),SUM(V19:AE19),SUM(V19:AF19),SUM(V19:AG19))+CHOOSE(Annahmen!$B$6+1,SUM(I19:T19),SUM(J19:T19),SUM(K19:T19),SUM(L19:T19),SUM(M19:T19),SUM(N19:T19),SUM(O19:T19),SUM(P19:T19),SUM(Q19:T19),SUM(R19:T19),SUM(S19:T19),SUM(T19:T19),0)*IF(D19="Einnahme",Annahmen!$E$12,IF(E19="Investition",Annahmen!$E$14,Annahmen!$E$13))</f>
        <v>62600</v>
      </c>
      <c r="AL19" s="2"/>
      <c r="AM19" s="20">
        <f t="shared" si="4"/>
        <v>600</v>
      </c>
    </row>
    <row r="20" spans="1:39" ht="24" customHeight="1" x14ac:dyDescent="0.25">
      <c r="A20" s="15" t="s">
        <v>144</v>
      </c>
      <c r="B20" s="15" t="s">
        <v>28</v>
      </c>
      <c r="C20" s="15" t="s">
        <v>145</v>
      </c>
      <c r="D20" s="15" t="s">
        <v>126</v>
      </c>
      <c r="E20" s="15" t="s">
        <v>103</v>
      </c>
      <c r="F20" s="15" t="s">
        <v>28</v>
      </c>
      <c r="G20" s="15" t="s">
        <v>104</v>
      </c>
      <c r="H20" s="15" t="s">
        <v>115</v>
      </c>
      <c r="I20" s="16">
        <v>2500</v>
      </c>
      <c r="J20" s="16">
        <v>2800</v>
      </c>
      <c r="K20" s="16">
        <v>3200</v>
      </c>
      <c r="L20" s="16">
        <v>3600</v>
      </c>
      <c r="M20" s="16">
        <v>3900</v>
      </c>
      <c r="N20" s="16">
        <v>4200</v>
      </c>
      <c r="O20" s="16">
        <v>3800</v>
      </c>
      <c r="P20" s="16">
        <v>3000</v>
      </c>
      <c r="Q20" s="16">
        <v>4500</v>
      </c>
      <c r="R20" s="16">
        <v>4700</v>
      </c>
      <c r="S20" s="16">
        <v>5000</v>
      </c>
      <c r="T20" s="16">
        <v>5400</v>
      </c>
      <c r="U20" s="17">
        <f t="shared" si="0"/>
        <v>46600</v>
      </c>
      <c r="V20" s="18">
        <v>2300</v>
      </c>
      <c r="W20" s="18">
        <v>3100</v>
      </c>
      <c r="X20" s="18">
        <v>3450</v>
      </c>
      <c r="Y20" s="18">
        <v>4100</v>
      </c>
      <c r="Z20" s="18"/>
      <c r="AA20" s="18"/>
      <c r="AB20" s="18"/>
      <c r="AC20" s="18"/>
      <c r="AD20" s="18"/>
      <c r="AE20" s="18"/>
      <c r="AF20" s="18"/>
      <c r="AG20" s="18"/>
      <c r="AH20" s="19">
        <f t="shared" si="1"/>
        <v>12950</v>
      </c>
      <c r="AI20" s="19">
        <f t="shared" si="2"/>
        <v>-850</v>
      </c>
      <c r="AJ20" s="19">
        <f t="shared" si="3"/>
        <v>-1.8240343347639486E-2</v>
      </c>
      <c r="AK20" s="19">
        <f>CHOOSE(Annahmen!$B$6+1,0,SUM(V20:V20),SUM(V20:W20),SUM(V20:X20),SUM(V20:Y20),SUM(V20:Z20),SUM(V20:AA20),SUM(V20:AB20),SUM(V20:AC20),SUM(V20:AD20),SUM(V20:AE20),SUM(V20:AF20),SUM(V20:AG20))+CHOOSE(Annahmen!$B$6+1,SUM(I20:T20),SUM(J20:T20),SUM(K20:T20),SUM(L20:T20),SUM(M20:T20),SUM(N20:T20),SUM(O20:T20),SUM(P20:T20),SUM(Q20:T20),SUM(R20:T20),SUM(S20:T20),SUM(T20:T20),0)*IF(D20="Einnahme",Annahmen!$E$12,IF(E20="Investition",Annahmen!$E$14,Annahmen!$E$13))</f>
        <v>47450</v>
      </c>
      <c r="AL20" s="2"/>
      <c r="AM20" s="20">
        <f t="shared" si="4"/>
        <v>850</v>
      </c>
    </row>
    <row r="21" spans="1:39" ht="24" customHeight="1" x14ac:dyDescent="0.25">
      <c r="A21" s="15" t="s">
        <v>146</v>
      </c>
      <c r="B21" s="15" t="s">
        <v>147</v>
      </c>
      <c r="C21" s="15" t="s">
        <v>148</v>
      </c>
      <c r="D21" s="15" t="s">
        <v>126</v>
      </c>
      <c r="E21" s="15" t="s">
        <v>103</v>
      </c>
      <c r="F21" s="15" t="s">
        <v>32</v>
      </c>
      <c r="G21" s="15" t="s">
        <v>129</v>
      </c>
      <c r="H21" s="15" t="s">
        <v>105</v>
      </c>
      <c r="I21" s="16">
        <v>18000</v>
      </c>
      <c r="J21" s="16">
        <v>19000</v>
      </c>
      <c r="K21" s="16">
        <v>21000</v>
      </c>
      <c r="L21" s="16">
        <v>22000</v>
      </c>
      <c r="M21" s="16">
        <v>23000</v>
      </c>
      <c r="N21" s="16">
        <v>24000</v>
      </c>
      <c r="O21" s="16">
        <v>26000</v>
      </c>
      <c r="P21" s="16">
        <v>25000</v>
      </c>
      <c r="Q21" s="16">
        <v>27000</v>
      </c>
      <c r="R21" s="16">
        <v>29000</v>
      </c>
      <c r="S21" s="16">
        <v>30000</v>
      </c>
      <c r="T21" s="16">
        <v>33000</v>
      </c>
      <c r="U21" s="17">
        <f t="shared" si="0"/>
        <v>297000</v>
      </c>
      <c r="V21" s="18">
        <v>17500</v>
      </c>
      <c r="W21" s="18">
        <v>19800</v>
      </c>
      <c r="X21" s="18">
        <v>22500</v>
      </c>
      <c r="Y21" s="18">
        <v>23100</v>
      </c>
      <c r="Z21" s="18"/>
      <c r="AA21" s="18"/>
      <c r="AB21" s="18"/>
      <c r="AC21" s="18"/>
      <c r="AD21" s="18"/>
      <c r="AE21" s="18"/>
      <c r="AF21" s="18"/>
      <c r="AG21" s="18"/>
      <c r="AH21" s="19">
        <f t="shared" si="1"/>
        <v>82900</v>
      </c>
      <c r="AI21" s="19">
        <f t="shared" si="2"/>
        <v>-2900</v>
      </c>
      <c r="AJ21" s="19">
        <f t="shared" si="3"/>
        <v>-9.7643097643097636E-3</v>
      </c>
      <c r="AK21" s="19">
        <f>CHOOSE(Annahmen!$B$6+1,0,SUM(V21:V21),SUM(V21:W21),SUM(V21:X21),SUM(V21:Y21),SUM(V21:Z21),SUM(V21:AA21),SUM(V21:AB21),SUM(V21:AC21),SUM(V21:AD21),SUM(V21:AE21),SUM(V21:AF21),SUM(V21:AG21))+CHOOSE(Annahmen!$B$6+1,SUM(I21:T21),SUM(J21:T21),SUM(K21:T21),SUM(L21:T21),SUM(M21:T21),SUM(N21:T21),SUM(O21:T21),SUM(P21:T21),SUM(Q21:T21),SUM(R21:T21),SUM(S21:T21),SUM(T21:T21),0)*IF(D21="Einnahme",Annahmen!$E$12,IF(E21="Investition",Annahmen!$E$14,Annahmen!$E$13))</f>
        <v>299900</v>
      </c>
      <c r="AL21" s="2"/>
      <c r="AM21" s="20">
        <f t="shared" si="4"/>
        <v>2900</v>
      </c>
    </row>
    <row r="22" spans="1:39" ht="24" customHeight="1" x14ac:dyDescent="0.25">
      <c r="A22" s="15" t="s">
        <v>149</v>
      </c>
      <c r="B22" s="15" t="s">
        <v>150</v>
      </c>
      <c r="C22" s="15" t="s">
        <v>151</v>
      </c>
      <c r="D22" s="15" t="s">
        <v>126</v>
      </c>
      <c r="E22" s="15" t="s">
        <v>103</v>
      </c>
      <c r="F22" s="15" t="s">
        <v>32</v>
      </c>
      <c r="G22" s="15" t="s">
        <v>129</v>
      </c>
      <c r="H22" s="15" t="s">
        <v>105</v>
      </c>
      <c r="I22" s="16">
        <v>5200</v>
      </c>
      <c r="J22" s="16">
        <v>5400</v>
      </c>
      <c r="K22" s="16">
        <v>5900</v>
      </c>
      <c r="L22" s="16">
        <v>6100</v>
      </c>
      <c r="M22" s="16">
        <v>6400</v>
      </c>
      <c r="N22" s="16">
        <v>6600</v>
      </c>
      <c r="O22" s="16">
        <v>7000</v>
      </c>
      <c r="P22" s="16">
        <v>6900</v>
      </c>
      <c r="Q22" s="16">
        <v>7200</v>
      </c>
      <c r="R22" s="16">
        <v>7600</v>
      </c>
      <c r="S22" s="16">
        <v>7900</v>
      </c>
      <c r="T22" s="16">
        <v>8400</v>
      </c>
      <c r="U22" s="17">
        <f t="shared" si="0"/>
        <v>80600</v>
      </c>
      <c r="V22" s="18">
        <v>5100</v>
      </c>
      <c r="W22" s="18">
        <v>5600</v>
      </c>
      <c r="X22" s="18">
        <v>6200</v>
      </c>
      <c r="Y22" s="18">
        <v>6550</v>
      </c>
      <c r="Z22" s="18"/>
      <c r="AA22" s="18"/>
      <c r="AB22" s="18"/>
      <c r="AC22" s="18"/>
      <c r="AD22" s="18"/>
      <c r="AE22" s="18"/>
      <c r="AF22" s="18"/>
      <c r="AG22" s="18"/>
      <c r="AH22" s="19">
        <f t="shared" si="1"/>
        <v>23450</v>
      </c>
      <c r="AI22" s="19">
        <f t="shared" si="2"/>
        <v>-850</v>
      </c>
      <c r="AJ22" s="19">
        <f t="shared" si="3"/>
        <v>-1.054590570719603E-2</v>
      </c>
      <c r="AK22" s="19">
        <f>CHOOSE(Annahmen!$B$6+1,0,SUM(V22:V22),SUM(V22:W22),SUM(V22:X22),SUM(V22:Y22),SUM(V22:Z22),SUM(V22:AA22),SUM(V22:AB22),SUM(V22:AC22),SUM(V22:AD22),SUM(V22:AE22),SUM(V22:AF22),SUM(V22:AG22))+CHOOSE(Annahmen!$B$6+1,SUM(I22:T22),SUM(J22:T22),SUM(K22:T22),SUM(L22:T22),SUM(M22:T22),SUM(N22:T22),SUM(O22:T22),SUM(P22:T22),SUM(Q22:T22),SUM(R22:T22),SUM(S22:T22),SUM(T22:T22),0)*IF(D22="Einnahme",Annahmen!$E$12,IF(E22="Investition",Annahmen!$E$14,Annahmen!$E$13))</f>
        <v>81450</v>
      </c>
      <c r="AL22" s="2"/>
      <c r="AM22" s="20">
        <f t="shared" si="4"/>
        <v>850</v>
      </c>
    </row>
    <row r="23" spans="1:39" ht="24" customHeight="1" x14ac:dyDescent="0.25">
      <c r="A23" s="15" t="s">
        <v>152</v>
      </c>
      <c r="B23" s="15" t="s">
        <v>36</v>
      </c>
      <c r="C23" s="15" t="s">
        <v>153</v>
      </c>
      <c r="D23" s="15" t="s">
        <v>126</v>
      </c>
      <c r="E23" s="15" t="s">
        <v>110</v>
      </c>
      <c r="F23" s="15" t="s">
        <v>36</v>
      </c>
      <c r="G23" s="15" t="s">
        <v>122</v>
      </c>
      <c r="H23" s="15" t="s">
        <v>105</v>
      </c>
      <c r="I23" s="16">
        <v>1800</v>
      </c>
      <c r="J23" s="16">
        <v>1800</v>
      </c>
      <c r="K23" s="16">
        <v>1800</v>
      </c>
      <c r="L23" s="16">
        <v>1800</v>
      </c>
      <c r="M23" s="16">
        <v>1800</v>
      </c>
      <c r="N23" s="16">
        <v>1800</v>
      </c>
      <c r="O23" s="16">
        <v>1800</v>
      </c>
      <c r="P23" s="16">
        <v>1800</v>
      </c>
      <c r="Q23" s="16">
        <v>1800</v>
      </c>
      <c r="R23" s="16">
        <v>1800</v>
      </c>
      <c r="S23" s="16">
        <v>1800</v>
      </c>
      <c r="T23" s="16">
        <v>1800</v>
      </c>
      <c r="U23" s="17">
        <f t="shared" si="0"/>
        <v>21600</v>
      </c>
      <c r="V23" s="18">
        <v>1800</v>
      </c>
      <c r="W23" s="18">
        <v>1800</v>
      </c>
      <c r="X23" s="18">
        <v>1800</v>
      </c>
      <c r="Y23" s="18">
        <v>1800</v>
      </c>
      <c r="Z23" s="18"/>
      <c r="AA23" s="18"/>
      <c r="AB23" s="18"/>
      <c r="AC23" s="18"/>
      <c r="AD23" s="18"/>
      <c r="AE23" s="18"/>
      <c r="AF23" s="18"/>
      <c r="AG23" s="18"/>
      <c r="AH23" s="19">
        <f t="shared" si="1"/>
        <v>7200</v>
      </c>
      <c r="AI23" s="19">
        <f t="shared" si="2"/>
        <v>0</v>
      </c>
      <c r="AJ23" s="19">
        <f t="shared" si="3"/>
        <v>0</v>
      </c>
      <c r="AK23" s="19">
        <f>CHOOSE(Annahmen!$B$6+1,0,SUM(V23:V23),SUM(V23:W23),SUM(V23:X23),SUM(V23:Y23),SUM(V23:Z23),SUM(V23:AA23),SUM(V23:AB23),SUM(V23:AC23),SUM(V23:AD23),SUM(V23:AE23),SUM(V23:AF23),SUM(V23:AG23))+CHOOSE(Annahmen!$B$6+1,SUM(I23:T23),SUM(J23:T23),SUM(K23:T23),SUM(L23:T23),SUM(M23:T23),SUM(N23:T23),SUM(O23:T23),SUM(P23:T23),SUM(Q23:T23),SUM(R23:T23),SUM(S23:T23),SUM(T23:T23),0)*IF(D23="Einnahme",Annahmen!$E$12,IF(E23="Investition",Annahmen!$E$14,Annahmen!$E$13))</f>
        <v>21600</v>
      </c>
      <c r="AL23" s="2"/>
      <c r="AM23" s="20">
        <f t="shared" si="4"/>
        <v>0</v>
      </c>
    </row>
    <row r="24" spans="1:39" ht="24" customHeight="1" x14ac:dyDescent="0.25">
      <c r="A24" s="15" t="s">
        <v>154</v>
      </c>
      <c r="B24" s="15" t="s">
        <v>36</v>
      </c>
      <c r="C24" s="15" t="s">
        <v>155</v>
      </c>
      <c r="D24" s="15" t="s">
        <v>126</v>
      </c>
      <c r="E24" s="15" t="s">
        <v>110</v>
      </c>
      <c r="F24" s="15" t="s">
        <v>36</v>
      </c>
      <c r="G24" s="15" t="s">
        <v>122</v>
      </c>
      <c r="H24" s="15" t="s">
        <v>105</v>
      </c>
      <c r="I24" s="16">
        <v>2400</v>
      </c>
      <c r="J24" s="16">
        <v>2400</v>
      </c>
      <c r="K24" s="16">
        <v>2600</v>
      </c>
      <c r="L24" s="16">
        <v>2600</v>
      </c>
      <c r="M24" s="16">
        <v>2600</v>
      </c>
      <c r="N24" s="16">
        <v>2600</v>
      </c>
      <c r="O24" s="16">
        <v>2800</v>
      </c>
      <c r="P24" s="16">
        <v>2800</v>
      </c>
      <c r="Q24" s="16">
        <v>2800</v>
      </c>
      <c r="R24" s="16">
        <v>3000</v>
      </c>
      <c r="S24" s="16">
        <v>3000</v>
      </c>
      <c r="T24" s="16">
        <v>3200</v>
      </c>
      <c r="U24" s="17">
        <f t="shared" si="0"/>
        <v>32800</v>
      </c>
      <c r="V24" s="18">
        <v>2350</v>
      </c>
      <c r="W24" s="18">
        <v>2500</v>
      </c>
      <c r="X24" s="18">
        <v>2700</v>
      </c>
      <c r="Y24" s="18">
        <v>2600</v>
      </c>
      <c r="Z24" s="18"/>
      <c r="AA24" s="18"/>
      <c r="AB24" s="18"/>
      <c r="AC24" s="18"/>
      <c r="AD24" s="18"/>
      <c r="AE24" s="18"/>
      <c r="AF24" s="18"/>
      <c r="AG24" s="18"/>
      <c r="AH24" s="19">
        <f t="shared" si="1"/>
        <v>10150</v>
      </c>
      <c r="AI24" s="19">
        <f t="shared" si="2"/>
        <v>-150</v>
      </c>
      <c r="AJ24" s="19">
        <f t="shared" si="3"/>
        <v>-4.5731707317073168E-3</v>
      </c>
      <c r="AK24" s="19">
        <f>CHOOSE(Annahmen!$B$6+1,0,SUM(V24:V24),SUM(V24:W24),SUM(V24:X24),SUM(V24:Y24),SUM(V24:Z24),SUM(V24:AA24),SUM(V24:AB24),SUM(V24:AC24),SUM(V24:AD24),SUM(V24:AE24),SUM(V24:AF24),SUM(V24:AG24))+CHOOSE(Annahmen!$B$6+1,SUM(I24:T24),SUM(J24:T24),SUM(K24:T24),SUM(L24:T24),SUM(M24:T24),SUM(N24:T24),SUM(O24:T24),SUM(P24:T24),SUM(Q24:T24),SUM(R24:T24),SUM(S24:T24),SUM(T24:T24),0)*IF(D24="Einnahme",Annahmen!$E$12,IF(E24="Investition",Annahmen!$E$14,Annahmen!$E$13))</f>
        <v>32950</v>
      </c>
      <c r="AL24" s="2"/>
      <c r="AM24" s="20">
        <f t="shared" si="4"/>
        <v>150</v>
      </c>
    </row>
    <row r="25" spans="1:39" ht="24" customHeight="1" x14ac:dyDescent="0.25">
      <c r="A25" s="15" t="s">
        <v>156</v>
      </c>
      <c r="B25" s="15" t="s">
        <v>38</v>
      </c>
      <c r="C25" s="15" t="s">
        <v>157</v>
      </c>
      <c r="D25" s="15" t="s">
        <v>126</v>
      </c>
      <c r="E25" s="15" t="s">
        <v>158</v>
      </c>
      <c r="F25" s="15" t="s">
        <v>38</v>
      </c>
      <c r="G25" s="15" t="s">
        <v>139</v>
      </c>
      <c r="H25" s="15" t="s">
        <v>119</v>
      </c>
      <c r="I25" s="16">
        <v>0</v>
      </c>
      <c r="J25" s="16">
        <v>0</v>
      </c>
      <c r="K25" s="16">
        <v>6000</v>
      </c>
      <c r="L25" s="16">
        <v>0</v>
      </c>
      <c r="M25" s="16">
        <v>0</v>
      </c>
      <c r="N25" s="16">
        <v>0</v>
      </c>
      <c r="O25" s="16">
        <v>12000</v>
      </c>
      <c r="P25" s="16">
        <v>0</v>
      </c>
      <c r="Q25" s="16">
        <v>0</v>
      </c>
      <c r="R25" s="16">
        <v>0</v>
      </c>
      <c r="S25" s="16">
        <v>6000</v>
      </c>
      <c r="T25" s="16">
        <v>0</v>
      </c>
      <c r="U25" s="17">
        <f t="shared" si="0"/>
        <v>24000</v>
      </c>
      <c r="V25" s="18">
        <v>0</v>
      </c>
      <c r="W25" s="18">
        <v>0</v>
      </c>
      <c r="X25" s="18">
        <v>6200</v>
      </c>
      <c r="Y25" s="18">
        <v>0</v>
      </c>
      <c r="Z25" s="18"/>
      <c r="AA25" s="18"/>
      <c r="AB25" s="18"/>
      <c r="AC25" s="18"/>
      <c r="AD25" s="18"/>
      <c r="AE25" s="18"/>
      <c r="AF25" s="18"/>
      <c r="AG25" s="18"/>
      <c r="AH25" s="19">
        <f t="shared" si="1"/>
        <v>6200</v>
      </c>
      <c r="AI25" s="19">
        <f t="shared" si="2"/>
        <v>-200</v>
      </c>
      <c r="AJ25" s="19">
        <f t="shared" si="3"/>
        <v>-8.3333333333333332E-3</v>
      </c>
      <c r="AK25" s="19">
        <f>CHOOSE(Annahmen!$B$6+1,0,SUM(V25:V25),SUM(V25:W25),SUM(V25:X25),SUM(V25:Y25),SUM(V25:Z25),SUM(V25:AA25),SUM(V25:AB25),SUM(V25:AC25),SUM(V25:AD25),SUM(V25:AE25),SUM(V25:AF25),SUM(V25:AG25))+CHOOSE(Annahmen!$B$6+1,SUM(I25:T25),SUM(J25:T25),SUM(K25:T25),SUM(L25:T25),SUM(M25:T25),SUM(N25:T25),SUM(O25:T25),SUM(P25:T25),SUM(Q25:T25),SUM(R25:T25),SUM(S25:T25),SUM(T25:T25),0)*IF(D25="Einnahme",Annahmen!$E$12,IF(E25="Investition",Annahmen!$E$14,Annahmen!$E$13))</f>
        <v>24200</v>
      </c>
      <c r="AL25" s="2"/>
      <c r="AM25" s="20">
        <f t="shared" si="4"/>
        <v>200</v>
      </c>
    </row>
    <row r="26" spans="1:39" ht="24" customHeight="1" x14ac:dyDescent="0.25">
      <c r="A26" s="15" t="s">
        <v>159</v>
      </c>
      <c r="B26" s="15" t="s">
        <v>34</v>
      </c>
      <c r="C26" s="15" t="s">
        <v>160</v>
      </c>
      <c r="D26" s="15" t="s">
        <v>126</v>
      </c>
      <c r="E26" s="15" t="s">
        <v>103</v>
      </c>
      <c r="F26" s="15" t="s">
        <v>34</v>
      </c>
      <c r="G26" s="15" t="s">
        <v>114</v>
      </c>
      <c r="H26" s="15" t="s">
        <v>115</v>
      </c>
      <c r="I26" s="16">
        <v>7000</v>
      </c>
      <c r="J26" s="16">
        <v>7500</v>
      </c>
      <c r="K26" s="16">
        <v>8500</v>
      </c>
      <c r="L26" s="16">
        <v>9000</v>
      </c>
      <c r="M26" s="16">
        <v>9500</v>
      </c>
      <c r="N26" s="16">
        <v>10000</v>
      </c>
      <c r="O26" s="16">
        <v>10500</v>
      </c>
      <c r="P26" s="16">
        <v>10000</v>
      </c>
      <c r="Q26" s="16">
        <v>11000</v>
      </c>
      <c r="R26" s="16">
        <v>12000</v>
      </c>
      <c r="S26" s="16">
        <v>12500</v>
      </c>
      <c r="T26" s="16">
        <v>13000</v>
      </c>
      <c r="U26" s="17">
        <f t="shared" si="0"/>
        <v>120500</v>
      </c>
      <c r="V26" s="18">
        <v>6900</v>
      </c>
      <c r="W26" s="18">
        <v>7800</v>
      </c>
      <c r="X26" s="18">
        <v>8700</v>
      </c>
      <c r="Y26" s="18">
        <v>9800</v>
      </c>
      <c r="Z26" s="18"/>
      <c r="AA26" s="18"/>
      <c r="AB26" s="18"/>
      <c r="AC26" s="18"/>
      <c r="AD26" s="18"/>
      <c r="AE26" s="18"/>
      <c r="AF26" s="18"/>
      <c r="AG26" s="18"/>
      <c r="AH26" s="19">
        <f t="shared" si="1"/>
        <v>33200</v>
      </c>
      <c r="AI26" s="19">
        <f t="shared" si="2"/>
        <v>-1200</v>
      </c>
      <c r="AJ26" s="19">
        <f t="shared" si="3"/>
        <v>-9.9585062240663894E-3</v>
      </c>
      <c r="AK26" s="19">
        <f>CHOOSE(Annahmen!$B$6+1,0,SUM(V26:V26),SUM(V26:W26),SUM(V26:X26),SUM(V26:Y26),SUM(V26:Z26),SUM(V26:AA26),SUM(V26:AB26),SUM(V26:AC26),SUM(V26:AD26),SUM(V26:AE26),SUM(V26:AF26),SUM(V26:AG26))+CHOOSE(Annahmen!$B$6+1,SUM(I26:T26),SUM(J26:T26),SUM(K26:T26),SUM(L26:T26),SUM(M26:T26),SUM(N26:T26),SUM(O26:T26),SUM(P26:T26),SUM(Q26:T26),SUM(R26:T26),SUM(S26:T26),SUM(T26:T26),0)*IF(D26="Einnahme",Annahmen!$E$12,IF(E26="Investition",Annahmen!$E$14,Annahmen!$E$13))</f>
        <v>121700</v>
      </c>
      <c r="AL26" s="2"/>
      <c r="AM26" s="20">
        <f t="shared" si="4"/>
        <v>1200</v>
      </c>
    </row>
    <row r="27" spans="1:39" ht="24" customHeight="1" x14ac:dyDescent="0.25">
      <c r="A27" s="15" t="s">
        <v>161</v>
      </c>
      <c r="B27" s="15" t="s">
        <v>42</v>
      </c>
      <c r="C27" s="15" t="s">
        <v>162</v>
      </c>
      <c r="D27" s="15" t="s">
        <v>126</v>
      </c>
      <c r="E27" s="15" t="s">
        <v>110</v>
      </c>
      <c r="F27" s="15" t="s">
        <v>42</v>
      </c>
      <c r="G27" s="15" t="s">
        <v>111</v>
      </c>
      <c r="H27" s="15" t="s">
        <v>105</v>
      </c>
      <c r="I27" s="16">
        <v>1600</v>
      </c>
      <c r="J27" s="16">
        <v>1600</v>
      </c>
      <c r="K27" s="16">
        <v>1700</v>
      </c>
      <c r="L27" s="16">
        <v>1700</v>
      </c>
      <c r="M27" s="16">
        <v>1700</v>
      </c>
      <c r="N27" s="16">
        <v>1800</v>
      </c>
      <c r="O27" s="16">
        <v>1800</v>
      </c>
      <c r="P27" s="16">
        <v>1800</v>
      </c>
      <c r="Q27" s="16">
        <v>1900</v>
      </c>
      <c r="R27" s="16">
        <v>1900</v>
      </c>
      <c r="S27" s="16">
        <v>2000</v>
      </c>
      <c r="T27" s="16">
        <v>2000</v>
      </c>
      <c r="U27" s="17">
        <f t="shared" si="0"/>
        <v>21500</v>
      </c>
      <c r="V27" s="18">
        <v>1600</v>
      </c>
      <c r="W27" s="18">
        <v>1620</v>
      </c>
      <c r="X27" s="18">
        <v>1690</v>
      </c>
      <c r="Y27" s="18">
        <v>1740</v>
      </c>
      <c r="Z27" s="18"/>
      <c r="AA27" s="18"/>
      <c r="AB27" s="18"/>
      <c r="AC27" s="18"/>
      <c r="AD27" s="18"/>
      <c r="AE27" s="18"/>
      <c r="AF27" s="18"/>
      <c r="AG27" s="18"/>
      <c r="AH27" s="19">
        <f t="shared" si="1"/>
        <v>6650</v>
      </c>
      <c r="AI27" s="19">
        <f t="shared" si="2"/>
        <v>-50</v>
      </c>
      <c r="AJ27" s="19">
        <f t="shared" si="3"/>
        <v>-2.3255813953488372E-3</v>
      </c>
      <c r="AK27" s="19">
        <f>CHOOSE(Annahmen!$B$6+1,0,SUM(V27:V27),SUM(V27:W27),SUM(V27:X27),SUM(V27:Y27),SUM(V27:Z27),SUM(V27:AA27),SUM(V27:AB27),SUM(V27:AC27),SUM(V27:AD27),SUM(V27:AE27),SUM(V27:AF27),SUM(V27:AG27))+CHOOSE(Annahmen!$B$6+1,SUM(I27:T27),SUM(J27:T27),SUM(K27:T27),SUM(L27:T27),SUM(M27:T27),SUM(N27:T27),SUM(O27:T27),SUM(P27:T27),SUM(Q27:T27),SUM(R27:T27),SUM(S27:T27),SUM(T27:T27),0)*IF(D27="Einnahme",Annahmen!$E$12,IF(E27="Investition",Annahmen!$E$14,Annahmen!$E$13))</f>
        <v>21550</v>
      </c>
      <c r="AL27" s="2"/>
      <c r="AM27" s="20">
        <f t="shared" si="4"/>
        <v>50</v>
      </c>
    </row>
    <row r="28" spans="1:39" ht="24" customHeight="1" x14ac:dyDescent="0.25">
      <c r="A28" s="15" t="s">
        <v>163</v>
      </c>
      <c r="B28" s="15" t="s">
        <v>135</v>
      </c>
      <c r="C28" s="15" t="s">
        <v>164</v>
      </c>
      <c r="D28" s="15" t="s">
        <v>126</v>
      </c>
      <c r="E28" s="15" t="s">
        <v>110</v>
      </c>
      <c r="F28" s="15" t="s">
        <v>32</v>
      </c>
      <c r="G28" s="15" t="s">
        <v>129</v>
      </c>
      <c r="H28" s="15" t="s">
        <v>105</v>
      </c>
      <c r="I28" s="16">
        <v>3200</v>
      </c>
      <c r="J28" s="16">
        <v>3200</v>
      </c>
      <c r="K28" s="16">
        <v>3200</v>
      </c>
      <c r="L28" s="16">
        <v>3200</v>
      </c>
      <c r="M28" s="16">
        <v>3200</v>
      </c>
      <c r="N28" s="16">
        <v>3200</v>
      </c>
      <c r="O28" s="16">
        <v>3200</v>
      </c>
      <c r="P28" s="16">
        <v>3200</v>
      </c>
      <c r="Q28" s="16">
        <v>3200</v>
      </c>
      <c r="R28" s="16">
        <v>3200</v>
      </c>
      <c r="S28" s="16">
        <v>3200</v>
      </c>
      <c r="T28" s="16">
        <v>3200</v>
      </c>
      <c r="U28" s="17">
        <f t="shared" si="0"/>
        <v>38400</v>
      </c>
      <c r="V28" s="18">
        <v>3200</v>
      </c>
      <c r="W28" s="18">
        <v>3200</v>
      </c>
      <c r="X28" s="18">
        <v>3200</v>
      </c>
      <c r="Y28" s="18">
        <v>3200</v>
      </c>
      <c r="Z28" s="18"/>
      <c r="AA28" s="18"/>
      <c r="AB28" s="18"/>
      <c r="AC28" s="18"/>
      <c r="AD28" s="18"/>
      <c r="AE28" s="18"/>
      <c r="AF28" s="18"/>
      <c r="AG28" s="18"/>
      <c r="AH28" s="19">
        <f t="shared" si="1"/>
        <v>12800</v>
      </c>
      <c r="AI28" s="19">
        <f t="shared" si="2"/>
        <v>0</v>
      </c>
      <c r="AJ28" s="19">
        <f t="shared" si="3"/>
        <v>0</v>
      </c>
      <c r="AK28" s="19">
        <f>CHOOSE(Annahmen!$B$6+1,0,SUM(V28:V28),SUM(V28:W28),SUM(V28:X28),SUM(V28:Y28),SUM(V28:Z28),SUM(V28:AA28),SUM(V28:AB28),SUM(V28:AC28),SUM(V28:AD28),SUM(V28:AE28),SUM(V28:AF28),SUM(V28:AG28))+CHOOSE(Annahmen!$B$6+1,SUM(I28:T28),SUM(J28:T28),SUM(K28:T28),SUM(L28:T28),SUM(M28:T28),SUM(N28:T28),SUM(O28:T28),SUM(P28:T28),SUM(Q28:T28),SUM(R28:T28),SUM(S28:T28),SUM(T28:T28),0)*IF(D28="Einnahme",Annahmen!$E$12,IF(E28="Investition",Annahmen!$E$14,Annahmen!$E$13))</f>
        <v>38400</v>
      </c>
      <c r="AL28" s="2"/>
      <c r="AM28" s="20">
        <f t="shared" si="4"/>
        <v>0</v>
      </c>
    </row>
    <row r="29" spans="1:39" ht="24" customHeight="1" x14ac:dyDescent="0.25">
      <c r="A29" s="15" t="s">
        <v>165</v>
      </c>
      <c r="B29" s="15" t="s">
        <v>124</v>
      </c>
      <c r="C29" s="15" t="s">
        <v>166</v>
      </c>
      <c r="D29" s="15" t="s">
        <v>126</v>
      </c>
      <c r="E29" s="15" t="s">
        <v>103</v>
      </c>
      <c r="F29" s="15" t="s">
        <v>40</v>
      </c>
      <c r="G29" s="15" t="s">
        <v>139</v>
      </c>
      <c r="H29" s="15" t="s">
        <v>119</v>
      </c>
      <c r="I29" s="16">
        <v>1000</v>
      </c>
      <c r="J29" s="16">
        <v>1500</v>
      </c>
      <c r="K29" s="16">
        <v>2000</v>
      </c>
      <c r="L29" s="16">
        <v>2500</v>
      </c>
      <c r="M29" s="16">
        <v>2000</v>
      </c>
      <c r="N29" s="16">
        <v>3000</v>
      </c>
      <c r="O29" s="16">
        <v>1500</v>
      </c>
      <c r="P29" s="16">
        <v>1500</v>
      </c>
      <c r="Q29" s="16">
        <v>3500</v>
      </c>
      <c r="R29" s="16">
        <v>2500</v>
      </c>
      <c r="S29" s="16">
        <v>2500</v>
      </c>
      <c r="T29" s="16">
        <v>3000</v>
      </c>
      <c r="U29" s="17">
        <f t="shared" si="0"/>
        <v>26500</v>
      </c>
      <c r="V29" s="18">
        <v>900</v>
      </c>
      <c r="W29" s="18">
        <v>1200</v>
      </c>
      <c r="X29" s="18">
        <v>2300</v>
      </c>
      <c r="Y29" s="18">
        <v>2600</v>
      </c>
      <c r="Z29" s="18"/>
      <c r="AA29" s="18"/>
      <c r="AB29" s="18"/>
      <c r="AC29" s="18"/>
      <c r="AD29" s="18"/>
      <c r="AE29" s="18"/>
      <c r="AF29" s="18"/>
      <c r="AG29" s="18"/>
      <c r="AH29" s="19">
        <f t="shared" si="1"/>
        <v>7000</v>
      </c>
      <c r="AI29" s="19">
        <f t="shared" si="2"/>
        <v>0</v>
      </c>
      <c r="AJ29" s="19">
        <f t="shared" si="3"/>
        <v>0</v>
      </c>
      <c r="AK29" s="19">
        <f>CHOOSE(Annahmen!$B$6+1,0,SUM(V29:V29),SUM(V29:W29),SUM(V29:X29),SUM(V29:Y29),SUM(V29:Z29),SUM(V29:AA29),SUM(V29:AB29),SUM(V29:AC29),SUM(V29:AD29),SUM(V29:AE29),SUM(V29:AF29),SUM(V29:AG29))+CHOOSE(Annahmen!$B$6+1,SUM(I29:T29),SUM(J29:T29),SUM(K29:T29),SUM(L29:T29),SUM(M29:T29),SUM(N29:T29),SUM(O29:T29),SUM(P29:T29),SUM(Q29:T29),SUM(R29:T29),SUM(S29:T29),SUM(T29:T29),0)*IF(D29="Einnahme",Annahmen!$E$12,IF(E29="Investition",Annahmen!$E$14,Annahmen!$E$13))</f>
        <v>26500</v>
      </c>
      <c r="AL29" s="2"/>
      <c r="AM29" s="20">
        <f t="shared" si="4"/>
        <v>0</v>
      </c>
    </row>
    <row r="30" spans="1:39" ht="24" customHeight="1" x14ac:dyDescent="0.25">
      <c r="A30" s="15" t="s">
        <v>167</v>
      </c>
      <c r="B30" s="15" t="s">
        <v>36</v>
      </c>
      <c r="C30" s="15" t="s">
        <v>168</v>
      </c>
      <c r="D30" s="15" t="s">
        <v>126</v>
      </c>
      <c r="E30" s="15" t="s">
        <v>103</v>
      </c>
      <c r="F30" s="15" t="s">
        <v>40</v>
      </c>
      <c r="G30" s="15" t="s">
        <v>122</v>
      </c>
      <c r="H30" s="15" t="s">
        <v>119</v>
      </c>
      <c r="I30" s="16">
        <v>1200</v>
      </c>
      <c r="J30" s="16">
        <v>1200</v>
      </c>
      <c r="K30" s="16">
        <v>1500</v>
      </c>
      <c r="L30" s="16">
        <v>1500</v>
      </c>
      <c r="M30" s="16">
        <v>1500</v>
      </c>
      <c r="N30" s="16">
        <v>2000</v>
      </c>
      <c r="O30" s="16">
        <v>1500</v>
      </c>
      <c r="P30" s="16">
        <v>1500</v>
      </c>
      <c r="Q30" s="16">
        <v>2200</v>
      </c>
      <c r="R30" s="16">
        <v>2200</v>
      </c>
      <c r="S30" s="16">
        <v>2500</v>
      </c>
      <c r="T30" s="16">
        <v>2500</v>
      </c>
      <c r="U30" s="17">
        <f t="shared" si="0"/>
        <v>21300</v>
      </c>
      <c r="V30" s="18">
        <v>1000</v>
      </c>
      <c r="W30" s="18">
        <v>1500</v>
      </c>
      <c r="X30" s="18">
        <v>1400</v>
      </c>
      <c r="Y30" s="18">
        <v>1800</v>
      </c>
      <c r="Z30" s="18"/>
      <c r="AA30" s="18"/>
      <c r="AB30" s="18"/>
      <c r="AC30" s="18"/>
      <c r="AD30" s="18"/>
      <c r="AE30" s="18"/>
      <c r="AF30" s="18"/>
      <c r="AG30" s="18"/>
      <c r="AH30" s="19">
        <f t="shared" si="1"/>
        <v>5700</v>
      </c>
      <c r="AI30" s="19">
        <f t="shared" si="2"/>
        <v>-300</v>
      </c>
      <c r="AJ30" s="19">
        <f t="shared" si="3"/>
        <v>-1.4084507042253521E-2</v>
      </c>
      <c r="AK30" s="19">
        <f>CHOOSE(Annahmen!$B$6+1,0,SUM(V30:V30),SUM(V30:W30),SUM(V30:X30),SUM(V30:Y30),SUM(V30:Z30),SUM(V30:AA30),SUM(V30:AB30),SUM(V30:AC30),SUM(V30:AD30),SUM(V30:AE30),SUM(V30:AF30),SUM(V30:AG30))+CHOOSE(Annahmen!$B$6+1,SUM(I30:T30),SUM(J30:T30),SUM(K30:T30),SUM(L30:T30),SUM(M30:T30),SUM(N30:T30),SUM(O30:T30),SUM(P30:T30),SUM(Q30:T30),SUM(R30:T30),SUM(S30:T30),SUM(T30:T30),0)*IF(D30="Einnahme",Annahmen!$E$12,IF(E30="Investition",Annahmen!$E$14,Annahmen!$E$13))</f>
        <v>21600</v>
      </c>
      <c r="AL30" s="2"/>
      <c r="AM30" s="20">
        <f t="shared" si="4"/>
        <v>300</v>
      </c>
    </row>
    <row r="31" spans="1:39" ht="24" customHeight="1" x14ac:dyDescent="0.25">
      <c r="A31" s="15" t="s">
        <v>169</v>
      </c>
      <c r="B31" s="15" t="s">
        <v>135</v>
      </c>
      <c r="C31" s="15" t="s">
        <v>170</v>
      </c>
      <c r="D31" s="15" t="s">
        <v>126</v>
      </c>
      <c r="E31" s="15" t="s">
        <v>103</v>
      </c>
      <c r="F31" s="15" t="s">
        <v>32</v>
      </c>
      <c r="G31" s="15" t="s">
        <v>129</v>
      </c>
      <c r="H31" s="15" t="s">
        <v>105</v>
      </c>
      <c r="I31" s="16">
        <v>3000</v>
      </c>
      <c r="J31" s="16">
        <v>3200</v>
      </c>
      <c r="K31" s="16">
        <v>3100</v>
      </c>
      <c r="L31" s="16">
        <v>3000</v>
      </c>
      <c r="M31" s="16">
        <v>2900</v>
      </c>
      <c r="N31" s="16">
        <v>2800</v>
      </c>
      <c r="O31" s="16">
        <v>2800</v>
      </c>
      <c r="P31" s="16">
        <v>2900</v>
      </c>
      <c r="Q31" s="16">
        <v>3100</v>
      </c>
      <c r="R31" s="16">
        <v>3300</v>
      </c>
      <c r="S31" s="16">
        <v>3500</v>
      </c>
      <c r="T31" s="16">
        <v>3700</v>
      </c>
      <c r="U31" s="17">
        <f t="shared" si="0"/>
        <v>37300</v>
      </c>
      <c r="V31" s="18">
        <v>3200</v>
      </c>
      <c r="W31" s="18">
        <v>3300</v>
      </c>
      <c r="X31" s="18">
        <v>3150</v>
      </c>
      <c r="Y31" s="18">
        <v>3050</v>
      </c>
      <c r="Z31" s="18"/>
      <c r="AA31" s="18"/>
      <c r="AB31" s="18"/>
      <c r="AC31" s="18"/>
      <c r="AD31" s="18"/>
      <c r="AE31" s="18"/>
      <c r="AF31" s="18"/>
      <c r="AG31" s="18"/>
      <c r="AH31" s="19">
        <f t="shared" si="1"/>
        <v>12700</v>
      </c>
      <c r="AI31" s="19">
        <f t="shared" si="2"/>
        <v>-400</v>
      </c>
      <c r="AJ31" s="19">
        <f t="shared" si="3"/>
        <v>-1.0723860589812333E-2</v>
      </c>
      <c r="AK31" s="19">
        <f>CHOOSE(Annahmen!$B$6+1,0,SUM(V31:V31),SUM(V31:W31),SUM(V31:X31),SUM(V31:Y31),SUM(V31:Z31),SUM(V31:AA31),SUM(V31:AB31),SUM(V31:AC31),SUM(V31:AD31),SUM(V31:AE31),SUM(V31:AF31),SUM(V31:AG31))+CHOOSE(Annahmen!$B$6+1,SUM(I31:T31),SUM(J31:T31),SUM(K31:T31),SUM(L31:T31),SUM(M31:T31),SUM(N31:T31),SUM(O31:T31),SUM(P31:T31),SUM(Q31:T31),SUM(R31:T31),SUM(S31:T31),SUM(T31:T31),0)*IF(D31="Einnahme",Annahmen!$E$12,IF(E31="Investition",Annahmen!$E$14,Annahmen!$E$13))</f>
        <v>37700</v>
      </c>
      <c r="AL31" s="2"/>
      <c r="AM31" s="20">
        <f t="shared" si="4"/>
        <v>400</v>
      </c>
    </row>
    <row r="32" spans="1:39" ht="24" customHeight="1" x14ac:dyDescent="0.25">
      <c r="A32" s="15" t="s">
        <v>171</v>
      </c>
      <c r="B32" s="15" t="s">
        <v>30</v>
      </c>
      <c r="C32" s="15" t="s">
        <v>172</v>
      </c>
      <c r="D32" s="15" t="s">
        <v>126</v>
      </c>
      <c r="E32" s="15" t="s">
        <v>103</v>
      </c>
      <c r="F32" s="15" t="s">
        <v>30</v>
      </c>
      <c r="G32" s="15" t="s">
        <v>118</v>
      </c>
      <c r="H32" s="15" t="s">
        <v>115</v>
      </c>
      <c r="I32" s="16">
        <v>3500</v>
      </c>
      <c r="J32" s="16">
        <v>3800</v>
      </c>
      <c r="K32" s="16">
        <v>4200</v>
      </c>
      <c r="L32" s="16">
        <v>4500</v>
      </c>
      <c r="M32" s="16">
        <v>4800</v>
      </c>
      <c r="N32" s="16">
        <v>5000</v>
      </c>
      <c r="O32" s="16">
        <v>5200</v>
      </c>
      <c r="P32" s="16">
        <v>4500</v>
      </c>
      <c r="Q32" s="16">
        <v>5500</v>
      </c>
      <c r="R32" s="16">
        <v>6000</v>
      </c>
      <c r="S32" s="16">
        <v>6500</v>
      </c>
      <c r="T32" s="16">
        <v>7000</v>
      </c>
      <c r="U32" s="17">
        <f t="shared" si="0"/>
        <v>60500</v>
      </c>
      <c r="V32" s="18">
        <v>3400</v>
      </c>
      <c r="W32" s="18">
        <v>4000</v>
      </c>
      <c r="X32" s="18">
        <v>4600</v>
      </c>
      <c r="Y32" s="18">
        <v>4700</v>
      </c>
      <c r="Z32" s="18"/>
      <c r="AA32" s="18"/>
      <c r="AB32" s="18"/>
      <c r="AC32" s="18"/>
      <c r="AD32" s="18"/>
      <c r="AE32" s="18"/>
      <c r="AF32" s="18"/>
      <c r="AG32" s="18"/>
      <c r="AH32" s="19">
        <f t="shared" si="1"/>
        <v>16700</v>
      </c>
      <c r="AI32" s="19">
        <f t="shared" si="2"/>
        <v>-700</v>
      </c>
      <c r="AJ32" s="19">
        <f t="shared" si="3"/>
        <v>-1.1570247933884297E-2</v>
      </c>
      <c r="AK32" s="19">
        <f>CHOOSE(Annahmen!$B$6+1,0,SUM(V32:V32),SUM(V32:W32),SUM(V32:X32),SUM(V32:Y32),SUM(V32:Z32),SUM(V32:AA32),SUM(V32:AB32),SUM(V32:AC32),SUM(V32:AD32),SUM(V32:AE32),SUM(V32:AF32),SUM(V32:AG32))+CHOOSE(Annahmen!$B$6+1,SUM(I32:T32),SUM(J32:T32),SUM(K32:T32),SUM(L32:T32),SUM(M32:T32),SUM(N32:T32),SUM(O32:T32),SUM(P32:T32),SUM(Q32:T32),SUM(R32:T32),SUM(S32:T32),SUM(T32:T32),0)*IF(D32="Einnahme",Annahmen!$E$12,IF(E32="Investition",Annahmen!$E$14,Annahmen!$E$13))</f>
        <v>61200</v>
      </c>
      <c r="AL32" s="2"/>
      <c r="AM32" s="20">
        <f t="shared" si="4"/>
        <v>700</v>
      </c>
    </row>
    <row r="33" spans="1:39" ht="24" customHeight="1" x14ac:dyDescent="0.25">
      <c r="A33" s="15" t="s">
        <v>173</v>
      </c>
      <c r="B33" s="15" t="s">
        <v>28</v>
      </c>
      <c r="C33" s="15" t="s">
        <v>174</v>
      </c>
      <c r="D33" s="15" t="s">
        <v>126</v>
      </c>
      <c r="E33" s="15" t="s">
        <v>103</v>
      </c>
      <c r="F33" s="15" t="s">
        <v>28</v>
      </c>
      <c r="G33" s="15" t="s">
        <v>104</v>
      </c>
      <c r="H33" s="15" t="s">
        <v>105</v>
      </c>
      <c r="I33" s="16">
        <v>3500</v>
      </c>
      <c r="J33" s="16">
        <v>3700</v>
      </c>
      <c r="K33" s="16">
        <v>4200</v>
      </c>
      <c r="L33" s="16">
        <v>4600</v>
      </c>
      <c r="M33" s="16">
        <v>4800</v>
      </c>
      <c r="N33" s="16">
        <v>5200</v>
      </c>
      <c r="O33" s="16">
        <v>5500</v>
      </c>
      <c r="P33" s="16">
        <v>5400</v>
      </c>
      <c r="Q33" s="16">
        <v>5800</v>
      </c>
      <c r="R33" s="16">
        <v>6200</v>
      </c>
      <c r="S33" s="16">
        <v>6500</v>
      </c>
      <c r="T33" s="16">
        <v>7000</v>
      </c>
      <c r="U33" s="17">
        <f t="shared" si="0"/>
        <v>62400</v>
      </c>
      <c r="V33" s="18">
        <v>3300</v>
      </c>
      <c r="W33" s="18">
        <v>3900</v>
      </c>
      <c r="X33" s="18">
        <v>4300</v>
      </c>
      <c r="Y33" s="18">
        <v>5000</v>
      </c>
      <c r="Z33" s="18"/>
      <c r="AA33" s="18"/>
      <c r="AB33" s="18"/>
      <c r="AC33" s="18"/>
      <c r="AD33" s="18"/>
      <c r="AE33" s="18"/>
      <c r="AF33" s="18"/>
      <c r="AG33" s="18"/>
      <c r="AH33" s="19">
        <f t="shared" si="1"/>
        <v>16500</v>
      </c>
      <c r="AI33" s="19">
        <f t="shared" si="2"/>
        <v>-500</v>
      </c>
      <c r="AJ33" s="19">
        <f t="shared" si="3"/>
        <v>-8.0128205128205121E-3</v>
      </c>
      <c r="AK33" s="19">
        <f>CHOOSE(Annahmen!$B$6+1,0,SUM(V33:V33),SUM(V33:W33),SUM(V33:X33),SUM(V33:Y33),SUM(V33:Z33),SUM(V33:AA33),SUM(V33:AB33),SUM(V33:AC33),SUM(V33:AD33),SUM(V33:AE33),SUM(V33:AF33),SUM(V33:AG33))+CHOOSE(Annahmen!$B$6+1,SUM(I33:T33),SUM(J33:T33),SUM(K33:T33),SUM(L33:T33),SUM(M33:T33),SUM(N33:T33),SUM(O33:T33),SUM(P33:T33),SUM(Q33:T33),SUM(R33:T33),SUM(S33:T33),SUM(T33:T33),0)*IF(D33="Einnahme",Annahmen!$E$12,IF(E33="Investition",Annahmen!$E$14,Annahmen!$E$13))</f>
        <v>62900</v>
      </c>
      <c r="AL33" s="2"/>
      <c r="AM33" s="20">
        <f t="shared" si="4"/>
        <v>500</v>
      </c>
    </row>
    <row r="34" spans="1:39" ht="24" customHeight="1" x14ac:dyDescent="0.25">
      <c r="A34" s="15" t="s">
        <v>175</v>
      </c>
      <c r="B34" s="15" t="s">
        <v>40</v>
      </c>
      <c r="C34" s="15" t="s">
        <v>176</v>
      </c>
      <c r="D34" s="15" t="s">
        <v>126</v>
      </c>
      <c r="E34" s="15" t="s">
        <v>110</v>
      </c>
      <c r="F34" s="15" t="s">
        <v>40</v>
      </c>
      <c r="G34" s="15" t="s">
        <v>139</v>
      </c>
      <c r="H34" s="15" t="s">
        <v>119</v>
      </c>
      <c r="I34" s="16">
        <v>2500</v>
      </c>
      <c r="J34" s="16">
        <v>2500</v>
      </c>
      <c r="K34" s="16">
        <v>2500</v>
      </c>
      <c r="L34" s="16">
        <v>2500</v>
      </c>
      <c r="M34" s="16">
        <v>2500</v>
      </c>
      <c r="N34" s="16">
        <v>2500</v>
      </c>
      <c r="O34" s="16">
        <v>2500</v>
      </c>
      <c r="P34" s="16">
        <v>2500</v>
      </c>
      <c r="Q34" s="16">
        <v>2500</v>
      </c>
      <c r="R34" s="16">
        <v>2500</v>
      </c>
      <c r="S34" s="16">
        <v>2500</v>
      </c>
      <c r="T34" s="16">
        <v>2500</v>
      </c>
      <c r="U34" s="17">
        <f t="shared" si="0"/>
        <v>30000</v>
      </c>
      <c r="V34" s="18">
        <v>0</v>
      </c>
      <c r="W34" s="18">
        <v>0</v>
      </c>
      <c r="X34" s="18">
        <v>0</v>
      </c>
      <c r="Y34" s="18">
        <v>0</v>
      </c>
      <c r="Z34" s="18"/>
      <c r="AA34" s="18"/>
      <c r="AB34" s="18"/>
      <c r="AC34" s="18"/>
      <c r="AD34" s="18"/>
      <c r="AE34" s="18"/>
      <c r="AF34" s="18"/>
      <c r="AG34" s="18"/>
      <c r="AH34" s="19">
        <f t="shared" si="1"/>
        <v>0</v>
      </c>
      <c r="AI34" s="19">
        <f t="shared" si="2"/>
        <v>10000</v>
      </c>
      <c r="AJ34" s="19">
        <f t="shared" si="3"/>
        <v>0.33333333333333331</v>
      </c>
      <c r="AK34" s="19">
        <f>CHOOSE(Annahmen!$B$6+1,0,SUM(V34:V34),SUM(V34:W34),SUM(V34:X34),SUM(V34:Y34),SUM(V34:Z34),SUM(V34:AA34),SUM(V34:AB34),SUM(V34:AC34),SUM(V34:AD34),SUM(V34:AE34),SUM(V34:AF34),SUM(V34:AG34))+CHOOSE(Annahmen!$B$6+1,SUM(I34:T34),SUM(J34:T34),SUM(K34:T34),SUM(L34:T34),SUM(M34:T34),SUM(N34:T34),SUM(O34:T34),SUM(P34:T34),SUM(Q34:T34),SUM(R34:T34),SUM(S34:T34),SUM(T34:T34),0)*IF(D34="Einnahme",Annahmen!$E$12,IF(E34="Investition",Annahmen!$E$14,Annahmen!$E$13))</f>
        <v>20000</v>
      </c>
      <c r="AL34" s="2"/>
      <c r="AM34" s="20">
        <f t="shared" si="4"/>
        <v>10000</v>
      </c>
    </row>
    <row r="35" spans="1:39" ht="24" customHeight="1" x14ac:dyDescent="0.25">
      <c r="A35" s="15" t="s">
        <v>177</v>
      </c>
      <c r="B35" s="15" t="s">
        <v>38</v>
      </c>
      <c r="C35" s="15" t="s">
        <v>178</v>
      </c>
      <c r="D35" s="15" t="s">
        <v>126</v>
      </c>
      <c r="E35" s="15" t="s">
        <v>158</v>
      </c>
      <c r="F35" s="15" t="s">
        <v>38</v>
      </c>
      <c r="G35" s="15" t="s">
        <v>139</v>
      </c>
      <c r="H35" s="15" t="s">
        <v>115</v>
      </c>
      <c r="I35" s="16">
        <v>0</v>
      </c>
      <c r="J35" s="16">
        <v>0</v>
      </c>
      <c r="K35" s="16">
        <v>0</v>
      </c>
      <c r="L35" s="16">
        <v>8000</v>
      </c>
      <c r="M35" s="16">
        <v>12000</v>
      </c>
      <c r="N35" s="16">
        <v>12000</v>
      </c>
      <c r="O35" s="16">
        <v>10000</v>
      </c>
      <c r="P35" s="16">
        <v>7000</v>
      </c>
      <c r="Q35" s="16">
        <v>4000</v>
      </c>
      <c r="R35" s="16">
        <v>0</v>
      </c>
      <c r="S35" s="16">
        <v>0</v>
      </c>
      <c r="T35" s="16">
        <v>0</v>
      </c>
      <c r="U35" s="17">
        <f t="shared" si="0"/>
        <v>53000</v>
      </c>
      <c r="V35" s="18">
        <v>0</v>
      </c>
      <c r="W35" s="18">
        <v>0</v>
      </c>
      <c r="X35" s="18">
        <v>0</v>
      </c>
      <c r="Y35" s="18">
        <v>7500</v>
      </c>
      <c r="Z35" s="18"/>
      <c r="AA35" s="18"/>
      <c r="AB35" s="18"/>
      <c r="AC35" s="18"/>
      <c r="AD35" s="18"/>
      <c r="AE35" s="18"/>
      <c r="AF35" s="18"/>
      <c r="AG35" s="18"/>
      <c r="AH35" s="19">
        <f t="shared" si="1"/>
        <v>7500</v>
      </c>
      <c r="AI35" s="19">
        <f t="shared" si="2"/>
        <v>500</v>
      </c>
      <c r="AJ35" s="19">
        <f t="shared" si="3"/>
        <v>9.433962264150943E-3</v>
      </c>
      <c r="AK35" s="19">
        <f>CHOOSE(Annahmen!$B$6+1,0,SUM(V35:V35),SUM(V35:W35),SUM(V35:X35),SUM(V35:Y35),SUM(V35:Z35),SUM(V35:AA35),SUM(V35:AB35),SUM(V35:AC35),SUM(V35:AD35),SUM(V35:AE35),SUM(V35:AF35),SUM(V35:AG35))+CHOOSE(Annahmen!$B$6+1,SUM(I35:T35),SUM(J35:T35),SUM(K35:T35),SUM(L35:T35),SUM(M35:T35),SUM(N35:T35),SUM(O35:T35),SUM(P35:T35),SUM(Q35:T35),SUM(R35:T35),SUM(S35:T35),SUM(T35:T35),0)*IF(D35="Einnahme",Annahmen!$E$12,IF(E35="Investition",Annahmen!$E$14,Annahmen!$E$13))</f>
        <v>52500</v>
      </c>
      <c r="AL35" s="2"/>
      <c r="AM35" s="20">
        <f t="shared" si="4"/>
        <v>500</v>
      </c>
    </row>
    <row r="36" spans="1:39" ht="24" customHeight="1" x14ac:dyDescent="0.25">
      <c r="A36" s="15"/>
      <c r="B36" s="15"/>
      <c r="C36" s="15"/>
      <c r="D36" s="15"/>
      <c r="E36" s="15"/>
      <c r="F36" s="15"/>
      <c r="G36" s="15"/>
      <c r="H36" s="15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7">
        <f t="shared" si="0"/>
        <v>0</v>
      </c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9">
        <f t="shared" si="1"/>
        <v>0</v>
      </c>
      <c r="AI36" s="19">
        <f t="shared" si="2"/>
        <v>0</v>
      </c>
      <c r="AJ36" s="19" t="str">
        <f t="shared" si="3"/>
        <v/>
      </c>
      <c r="AK36" s="19">
        <f>CHOOSE(Annahmen!$B$6+1,0,SUM(V36:V36),SUM(V36:W36),SUM(V36:X36),SUM(V36:Y36),SUM(V36:Z36),SUM(V36:AA36),SUM(V36:AB36),SUM(V36:AC36),SUM(V36:AD36),SUM(V36:AE36),SUM(V36:AF36),SUM(V36:AG36))+CHOOSE(Annahmen!$B$6+1,SUM(I36:T36),SUM(J36:T36),SUM(K36:T36),SUM(L36:T36),SUM(M36:T36),SUM(N36:T36),SUM(O36:T36),SUM(P36:T36),SUM(Q36:T36),SUM(R36:T36),SUM(S36:T36),SUM(T36:T36),0)*IF(D36="Einnahme",Annahmen!$E$12,IF(E36="Investition",Annahmen!$E$14,Annahmen!$E$13))</f>
        <v>0</v>
      </c>
      <c r="AL36" s="2"/>
      <c r="AM36" s="20">
        <f t="shared" si="4"/>
        <v>0</v>
      </c>
    </row>
    <row r="37" spans="1:39" ht="24" customHeight="1" x14ac:dyDescent="0.25">
      <c r="A37" s="15"/>
      <c r="B37" s="15"/>
      <c r="C37" s="15"/>
      <c r="D37" s="15"/>
      <c r="E37" s="15"/>
      <c r="F37" s="15"/>
      <c r="G37" s="15"/>
      <c r="H37" s="15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7">
        <f t="shared" si="0"/>
        <v>0</v>
      </c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9">
        <f t="shared" si="1"/>
        <v>0</v>
      </c>
      <c r="AI37" s="19">
        <f t="shared" si="2"/>
        <v>0</v>
      </c>
      <c r="AJ37" s="19" t="str">
        <f t="shared" si="3"/>
        <v/>
      </c>
      <c r="AK37" s="19">
        <f>CHOOSE(Annahmen!$B$6+1,0,SUM(V37:V37),SUM(V37:W37),SUM(V37:X37),SUM(V37:Y37),SUM(V37:Z37),SUM(V37:AA37),SUM(V37:AB37),SUM(V37:AC37),SUM(V37:AD37),SUM(V37:AE37),SUM(V37:AF37),SUM(V37:AG37))+CHOOSE(Annahmen!$B$6+1,SUM(I37:T37),SUM(J37:T37),SUM(K37:T37),SUM(L37:T37),SUM(M37:T37),SUM(N37:T37),SUM(O37:T37),SUM(P37:T37),SUM(Q37:T37),SUM(R37:T37),SUM(S37:T37),SUM(T37:T37),0)*IF(D37="Einnahme",Annahmen!$E$12,IF(E37="Investition",Annahmen!$E$14,Annahmen!$E$13))</f>
        <v>0</v>
      </c>
      <c r="AL37" s="2"/>
      <c r="AM37" s="20">
        <f t="shared" si="4"/>
        <v>0</v>
      </c>
    </row>
    <row r="38" spans="1:39" ht="24" customHeight="1" x14ac:dyDescent="0.25">
      <c r="A38" s="15"/>
      <c r="B38" s="15"/>
      <c r="C38" s="15"/>
      <c r="D38" s="15"/>
      <c r="E38" s="15"/>
      <c r="F38" s="15"/>
      <c r="G38" s="15"/>
      <c r="H38" s="15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7">
        <f t="shared" si="0"/>
        <v>0</v>
      </c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9">
        <f t="shared" si="1"/>
        <v>0</v>
      </c>
      <c r="AI38" s="19">
        <f t="shared" si="2"/>
        <v>0</v>
      </c>
      <c r="AJ38" s="19" t="str">
        <f t="shared" si="3"/>
        <v/>
      </c>
      <c r="AK38" s="19">
        <f>CHOOSE(Annahmen!$B$6+1,0,SUM(V38:V38),SUM(V38:W38),SUM(V38:X38),SUM(V38:Y38),SUM(V38:Z38),SUM(V38:AA38),SUM(V38:AB38),SUM(V38:AC38),SUM(V38:AD38),SUM(V38:AE38),SUM(V38:AF38),SUM(V38:AG38))+CHOOSE(Annahmen!$B$6+1,SUM(I38:T38),SUM(J38:T38),SUM(K38:T38),SUM(L38:T38),SUM(M38:T38),SUM(N38:T38),SUM(O38:T38),SUM(P38:T38),SUM(Q38:T38),SUM(R38:T38),SUM(S38:T38),SUM(T38:T38),0)*IF(D38="Einnahme",Annahmen!$E$12,IF(E38="Investition",Annahmen!$E$14,Annahmen!$E$13))</f>
        <v>0</v>
      </c>
      <c r="AL38" s="2"/>
      <c r="AM38" s="20">
        <f t="shared" si="4"/>
        <v>0</v>
      </c>
    </row>
    <row r="39" spans="1:39" ht="24" customHeight="1" x14ac:dyDescent="0.25">
      <c r="A39" s="15"/>
      <c r="B39" s="15"/>
      <c r="C39" s="15"/>
      <c r="D39" s="15"/>
      <c r="E39" s="15"/>
      <c r="F39" s="15"/>
      <c r="G39" s="15"/>
      <c r="H39" s="15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7">
        <f t="shared" si="0"/>
        <v>0</v>
      </c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9">
        <f t="shared" si="1"/>
        <v>0</v>
      </c>
      <c r="AI39" s="19">
        <f t="shared" si="2"/>
        <v>0</v>
      </c>
      <c r="AJ39" s="19" t="str">
        <f t="shared" si="3"/>
        <v/>
      </c>
      <c r="AK39" s="19">
        <f>CHOOSE(Annahmen!$B$6+1,0,SUM(V39:V39),SUM(V39:W39),SUM(V39:X39),SUM(V39:Y39),SUM(V39:Z39),SUM(V39:AA39),SUM(V39:AB39),SUM(V39:AC39),SUM(V39:AD39),SUM(V39:AE39),SUM(V39:AF39),SUM(V39:AG39))+CHOOSE(Annahmen!$B$6+1,SUM(I39:T39),SUM(J39:T39),SUM(K39:T39),SUM(L39:T39),SUM(M39:T39),SUM(N39:T39),SUM(O39:T39),SUM(P39:T39),SUM(Q39:T39),SUM(R39:T39),SUM(S39:T39),SUM(T39:T39),0)*IF(D39="Einnahme",Annahmen!$E$12,IF(E39="Investition",Annahmen!$E$14,Annahmen!$E$13))</f>
        <v>0</v>
      </c>
      <c r="AL39" s="2"/>
      <c r="AM39" s="20">
        <f t="shared" si="4"/>
        <v>0</v>
      </c>
    </row>
    <row r="40" spans="1:39" ht="24" customHeight="1" x14ac:dyDescent="0.25">
      <c r="A40" s="15"/>
      <c r="B40" s="15"/>
      <c r="C40" s="15"/>
      <c r="D40" s="15"/>
      <c r="E40" s="15"/>
      <c r="F40" s="15"/>
      <c r="G40" s="15"/>
      <c r="H40" s="15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7">
        <f t="shared" si="0"/>
        <v>0</v>
      </c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9">
        <f t="shared" si="1"/>
        <v>0</v>
      </c>
      <c r="AI40" s="19">
        <f t="shared" si="2"/>
        <v>0</v>
      </c>
      <c r="AJ40" s="19" t="str">
        <f t="shared" si="3"/>
        <v/>
      </c>
      <c r="AK40" s="19">
        <f>CHOOSE(Annahmen!$B$6+1,0,SUM(V40:V40),SUM(V40:W40),SUM(V40:X40),SUM(V40:Y40),SUM(V40:Z40),SUM(V40:AA40),SUM(V40:AB40),SUM(V40:AC40),SUM(V40:AD40),SUM(V40:AE40),SUM(V40:AF40),SUM(V40:AG40))+CHOOSE(Annahmen!$B$6+1,SUM(I40:T40),SUM(J40:T40),SUM(K40:T40),SUM(L40:T40),SUM(M40:T40),SUM(N40:T40),SUM(O40:T40),SUM(P40:T40),SUM(Q40:T40),SUM(R40:T40),SUM(S40:T40),SUM(T40:T40),0)*IF(D40="Einnahme",Annahmen!$E$12,IF(E40="Investition",Annahmen!$E$14,Annahmen!$E$13))</f>
        <v>0</v>
      </c>
      <c r="AL40" s="2"/>
      <c r="AM40" s="20">
        <f t="shared" si="4"/>
        <v>0</v>
      </c>
    </row>
    <row r="41" spans="1:39" ht="24" customHeight="1" x14ac:dyDescent="0.25">
      <c r="A41" s="15"/>
      <c r="B41" s="15"/>
      <c r="C41" s="15"/>
      <c r="D41" s="15"/>
      <c r="E41" s="15"/>
      <c r="F41" s="15"/>
      <c r="G41" s="15"/>
      <c r="H41" s="15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7">
        <f t="shared" si="0"/>
        <v>0</v>
      </c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9">
        <f t="shared" si="1"/>
        <v>0</v>
      </c>
      <c r="AI41" s="19">
        <f t="shared" si="2"/>
        <v>0</v>
      </c>
      <c r="AJ41" s="19" t="str">
        <f t="shared" si="3"/>
        <v/>
      </c>
      <c r="AK41" s="19">
        <f>CHOOSE(Annahmen!$B$6+1,0,SUM(V41:V41),SUM(V41:W41),SUM(V41:X41),SUM(V41:Y41),SUM(V41:Z41),SUM(V41:AA41),SUM(V41:AB41),SUM(V41:AC41),SUM(V41:AD41),SUM(V41:AE41),SUM(V41:AF41),SUM(V41:AG41))+CHOOSE(Annahmen!$B$6+1,SUM(I41:T41),SUM(J41:T41),SUM(K41:T41),SUM(L41:T41),SUM(M41:T41),SUM(N41:T41),SUM(O41:T41),SUM(P41:T41),SUM(Q41:T41),SUM(R41:T41),SUM(S41:T41),SUM(T41:T41),0)*IF(D41="Einnahme",Annahmen!$E$12,IF(E41="Investition",Annahmen!$E$14,Annahmen!$E$13))</f>
        <v>0</v>
      </c>
      <c r="AL41" s="2"/>
      <c r="AM41" s="20">
        <f t="shared" si="4"/>
        <v>0</v>
      </c>
    </row>
    <row r="42" spans="1:39" ht="24" customHeight="1" x14ac:dyDescent="0.25">
      <c r="A42" s="15"/>
      <c r="B42" s="15"/>
      <c r="C42" s="15"/>
      <c r="D42" s="15"/>
      <c r="E42" s="15"/>
      <c r="F42" s="15"/>
      <c r="G42" s="15"/>
      <c r="H42" s="15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7">
        <f t="shared" si="0"/>
        <v>0</v>
      </c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9">
        <f t="shared" si="1"/>
        <v>0</v>
      </c>
      <c r="AI42" s="19">
        <f t="shared" si="2"/>
        <v>0</v>
      </c>
      <c r="AJ42" s="19" t="str">
        <f t="shared" si="3"/>
        <v/>
      </c>
      <c r="AK42" s="19">
        <f>CHOOSE(Annahmen!$B$6+1,0,SUM(V42:V42),SUM(V42:W42),SUM(V42:X42),SUM(V42:Y42),SUM(V42:Z42),SUM(V42:AA42),SUM(V42:AB42),SUM(V42:AC42),SUM(V42:AD42),SUM(V42:AE42),SUM(V42:AF42),SUM(V42:AG42))+CHOOSE(Annahmen!$B$6+1,SUM(I42:T42),SUM(J42:T42),SUM(K42:T42),SUM(L42:T42),SUM(M42:T42),SUM(N42:T42),SUM(O42:T42),SUM(P42:T42),SUM(Q42:T42),SUM(R42:T42),SUM(S42:T42),SUM(T42:T42),0)*IF(D42="Einnahme",Annahmen!$E$12,IF(E42="Investition",Annahmen!$E$14,Annahmen!$E$13))</f>
        <v>0</v>
      </c>
      <c r="AL42" s="2"/>
      <c r="AM42" s="20">
        <f t="shared" si="4"/>
        <v>0</v>
      </c>
    </row>
    <row r="43" spans="1:39" ht="24" customHeight="1" x14ac:dyDescent="0.25">
      <c r="A43" s="15"/>
      <c r="B43" s="15"/>
      <c r="C43" s="15"/>
      <c r="D43" s="15"/>
      <c r="E43" s="15"/>
      <c r="F43" s="15"/>
      <c r="G43" s="15"/>
      <c r="H43" s="15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7">
        <f t="shared" si="0"/>
        <v>0</v>
      </c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9">
        <f t="shared" si="1"/>
        <v>0</v>
      </c>
      <c r="AI43" s="19">
        <f t="shared" si="2"/>
        <v>0</v>
      </c>
      <c r="AJ43" s="19" t="str">
        <f t="shared" si="3"/>
        <v/>
      </c>
      <c r="AK43" s="19">
        <f>CHOOSE(Annahmen!$B$6+1,0,SUM(V43:V43),SUM(V43:W43),SUM(V43:X43),SUM(V43:Y43),SUM(V43:Z43),SUM(V43:AA43),SUM(V43:AB43),SUM(V43:AC43),SUM(V43:AD43),SUM(V43:AE43),SUM(V43:AF43),SUM(V43:AG43))+CHOOSE(Annahmen!$B$6+1,SUM(I43:T43),SUM(J43:T43),SUM(K43:T43),SUM(L43:T43),SUM(M43:T43),SUM(N43:T43),SUM(O43:T43),SUM(P43:T43),SUM(Q43:T43),SUM(R43:T43),SUM(S43:T43),SUM(T43:T43),0)*IF(D43="Einnahme",Annahmen!$E$12,IF(E43="Investition",Annahmen!$E$14,Annahmen!$E$13))</f>
        <v>0</v>
      </c>
      <c r="AL43" s="2"/>
      <c r="AM43" s="20">
        <f t="shared" si="4"/>
        <v>0</v>
      </c>
    </row>
    <row r="44" spans="1:39" ht="24" customHeight="1" x14ac:dyDescent="0.25">
      <c r="A44" s="15"/>
      <c r="B44" s="15"/>
      <c r="C44" s="15"/>
      <c r="D44" s="15"/>
      <c r="E44" s="15"/>
      <c r="F44" s="15"/>
      <c r="G44" s="15"/>
      <c r="H44" s="15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7">
        <f t="shared" si="0"/>
        <v>0</v>
      </c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9">
        <f t="shared" si="1"/>
        <v>0</v>
      </c>
      <c r="AI44" s="19">
        <f t="shared" si="2"/>
        <v>0</v>
      </c>
      <c r="AJ44" s="19" t="str">
        <f t="shared" si="3"/>
        <v/>
      </c>
      <c r="AK44" s="19">
        <f>CHOOSE(Annahmen!$B$6+1,0,SUM(V44:V44),SUM(V44:W44),SUM(V44:X44),SUM(V44:Y44),SUM(V44:Z44),SUM(V44:AA44),SUM(V44:AB44),SUM(V44:AC44),SUM(V44:AD44),SUM(V44:AE44),SUM(V44:AF44),SUM(V44:AG44))+CHOOSE(Annahmen!$B$6+1,SUM(I44:T44),SUM(J44:T44),SUM(K44:T44),SUM(L44:T44),SUM(M44:T44),SUM(N44:T44),SUM(O44:T44),SUM(P44:T44),SUM(Q44:T44),SUM(R44:T44),SUM(S44:T44),SUM(T44:T44),0)*IF(D44="Einnahme",Annahmen!$E$12,IF(E44="Investition",Annahmen!$E$14,Annahmen!$E$13))</f>
        <v>0</v>
      </c>
      <c r="AL44" s="2"/>
      <c r="AM44" s="20">
        <f t="shared" si="4"/>
        <v>0</v>
      </c>
    </row>
    <row r="45" spans="1:39" ht="24" customHeight="1" x14ac:dyDescent="0.25">
      <c r="A45" s="15"/>
      <c r="B45" s="15"/>
      <c r="C45" s="15"/>
      <c r="D45" s="15"/>
      <c r="E45" s="15"/>
      <c r="F45" s="15"/>
      <c r="G45" s="15"/>
      <c r="H45" s="15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7">
        <f t="shared" si="0"/>
        <v>0</v>
      </c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9">
        <f t="shared" si="1"/>
        <v>0</v>
      </c>
      <c r="AI45" s="19">
        <f t="shared" si="2"/>
        <v>0</v>
      </c>
      <c r="AJ45" s="19" t="str">
        <f t="shared" si="3"/>
        <v/>
      </c>
      <c r="AK45" s="19">
        <f>CHOOSE(Annahmen!$B$6+1,0,SUM(V45:V45),SUM(V45:W45),SUM(V45:X45),SUM(V45:Y45),SUM(V45:Z45),SUM(V45:AA45),SUM(V45:AB45),SUM(V45:AC45),SUM(V45:AD45),SUM(V45:AE45),SUM(V45:AF45),SUM(V45:AG45))+CHOOSE(Annahmen!$B$6+1,SUM(I45:T45),SUM(J45:T45),SUM(K45:T45),SUM(L45:T45),SUM(M45:T45),SUM(N45:T45),SUM(O45:T45),SUM(P45:T45),SUM(Q45:T45),SUM(R45:T45),SUM(S45:T45),SUM(T45:T45),0)*IF(D45="Einnahme",Annahmen!$E$12,IF(E45="Investition",Annahmen!$E$14,Annahmen!$E$13))</f>
        <v>0</v>
      </c>
      <c r="AL45" s="2"/>
      <c r="AM45" s="20">
        <f t="shared" si="4"/>
        <v>0</v>
      </c>
    </row>
    <row r="46" spans="1:39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</row>
    <row r="47" spans="1:39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</row>
    <row r="48" spans="1:39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</row>
    <row r="49" spans="1:39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</row>
    <row r="50" spans="1:39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</row>
    <row r="51" spans="1:39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</row>
    <row r="52" spans="1:39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</row>
    <row r="53" spans="1:39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</row>
    <row r="54" spans="1:39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</row>
    <row r="55" spans="1:39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</row>
    <row r="56" spans="1:39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</row>
    <row r="57" spans="1:39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</row>
    <row r="58" spans="1:39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</row>
    <row r="59" spans="1:39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</row>
    <row r="60" spans="1:39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</row>
  </sheetData>
  <mergeCells count="2">
    <mergeCell ref="A1:AM1"/>
    <mergeCell ref="A2:AM2"/>
  </mergeCells>
  <conditionalFormatting sqref="U6:U45">
    <cfRule type="dataBar" priority="3">
      <dataBar>
        <cfvo type="min"/>
        <cfvo type="max"/>
        <color rgb="FF94A3B8"/>
      </dataBar>
    </cfRule>
    <cfRule type="dataBar" priority="5">
      <dataBar>
        <cfvo type="min"/>
        <cfvo type="max"/>
        <color rgb="FF94A3B8"/>
      </dataBar>
      <extLst>
        <ext xmlns:x14="http://schemas.microsoft.com/office/spreadsheetml/2009/9/main" uri="{B025F937-C7B1-47D3-B67F-A62EFF666E3E}">
          <x14:id>{A6B4541C-CDA5-C237-C708-A0FA4C62DF66}</x14:id>
        </ext>
      </extLst>
    </cfRule>
  </conditionalFormatting>
  <conditionalFormatting sqref="AI6:AJ45">
    <cfRule type="cellIs" dxfId="1" priority="1" operator="lessThan">
      <formula>0</formula>
    </cfRule>
    <cfRule type="cellIs" dxfId="0" priority="2" operator="greaterThan">
      <formula>0</formula>
    </cfRule>
  </conditionalFormatting>
  <conditionalFormatting sqref="AK6:AK45">
    <cfRule type="dataBar" priority="4">
      <dataBar>
        <cfvo type="min"/>
        <cfvo type="max"/>
        <color rgb="FF60A5FA"/>
      </dataBar>
    </cfRule>
    <cfRule type="dataBar" priority="6">
      <dataBar>
        <cfvo type="min"/>
        <cfvo type="max"/>
        <color rgb="FF60A5FA"/>
      </dataBar>
      <extLst>
        <ext xmlns:x14="http://schemas.microsoft.com/office/spreadsheetml/2009/9/main" uri="{B025F937-C7B1-47D3-B67F-A62EFF666E3E}">
          <x14:id>{3390CDBD-3F36-B8C6-123D-F89383355F18}</x14:id>
        </ext>
      </extLst>
    </cfRule>
  </conditionalFormatting>
  <pageMargins left="0.7" right="0.7" top="0.75" bottom="0.75" header="0.3" footer="0.3"/>
  <tableParts count="1">
    <tablePart r:id="rId1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A6B4541C-CDA5-C237-C708-A0FA4C62DF66}">
            <x14:dataBar>
              <x14:cfvo type="min"/>
              <x14:cfvo type="max"/>
              <x14:negativeFillColor auto="1"/>
              <x14:axisColor auto="1"/>
            </x14:dataBar>
          </x14:cfRule>
          <xm:sqref>U6:U45</xm:sqref>
        </x14:conditionalFormatting>
        <x14:conditionalFormatting xmlns:xm="http://schemas.microsoft.com/office/excel/2006/main">
          <x14:cfRule type="dataBar" id="{3390CDBD-3F36-B8C6-123D-F89383355F18}">
            <x14:dataBar>
              <x14:cfvo type="min"/>
              <x14:cfvo type="max"/>
              <x14:negativeFillColor auto="1"/>
              <x14:axisColor auto="1"/>
            </x14:dataBar>
          </x14:cfRule>
          <xm:sqref>AK6:AK45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5">
        <x14:dataValidation type="list" xr:uid="{00000000-0002-0000-0100-000000000000}">
          <x14:formula1>
            <xm:f>Annahmen!$G$3:$G$4</xm:f>
          </x14:formula1>
          <xm:sqref>D6:D45</xm:sqref>
        </x14:dataValidation>
        <x14:dataValidation type="list" xr:uid="{00000000-0002-0000-0100-000001000000}">
          <x14:formula1>
            <xm:f>Annahmen!$H$3:$H$5</xm:f>
          </x14:formula1>
          <xm:sqref>E6:E45</xm:sqref>
        </x14:dataValidation>
        <x14:dataValidation type="list" xr:uid="{00000000-0002-0000-0100-000002000000}">
          <x14:formula1>
            <xm:f>Annahmen!$I$3:$I$10</xm:f>
          </x14:formula1>
          <xm:sqref>F6:F45</xm:sqref>
        </x14:dataValidation>
        <x14:dataValidation type="list" xr:uid="{00000000-0002-0000-0100-000003000000}">
          <x14:formula1>
            <xm:f>Annahmen!$J$3:$J$9</xm:f>
          </x14:formula1>
          <xm:sqref>G6:G45</xm:sqref>
        </x14:dataValidation>
        <x14:dataValidation type="list" xr:uid="{00000000-0002-0000-0100-000004000000}">
          <x14:formula1>
            <xm:f>Annahmen!$K$3:$K$6</xm:f>
          </x14:formula1>
          <xm:sqref>H6:H45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M60"/>
  <sheetViews>
    <sheetView workbookViewId="0"/>
  </sheetViews>
  <sheetFormatPr baseColWidth="10" defaultColWidth="9" defaultRowHeight="15" x14ac:dyDescent="0.25"/>
  <cols>
    <col min="1" max="1" width="28" customWidth="1"/>
    <col min="2" max="2" width="22" customWidth="1"/>
    <col min="3" max="4" width="14" customWidth="1"/>
    <col min="5" max="5" width="16" customWidth="1"/>
    <col min="7" max="8" width="16" customWidth="1"/>
    <col min="9" max="9" width="20" customWidth="1"/>
    <col min="10" max="10" width="18" customWidth="1"/>
    <col min="11" max="12" width="16" customWidth="1"/>
  </cols>
  <sheetData>
    <row r="1" spans="1:39" ht="21" x14ac:dyDescent="0.25">
      <c r="A1" s="39" t="s">
        <v>179</v>
      </c>
      <c r="B1" s="39"/>
      <c r="C1" s="39"/>
      <c r="D1" s="39"/>
      <c r="E1" s="39"/>
      <c r="F1" s="2"/>
      <c r="G1" s="2"/>
      <c r="H1" s="2"/>
      <c r="I1" s="2"/>
      <c r="J1" s="2"/>
      <c r="K1" s="2"/>
      <c r="L1" s="2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</row>
    <row r="2" spans="1:39" x14ac:dyDescent="0.25">
      <c r="A2" s="2"/>
      <c r="B2" s="2"/>
      <c r="C2" s="2"/>
      <c r="D2" s="2"/>
      <c r="E2" s="2"/>
      <c r="F2" s="2"/>
      <c r="G2" s="5" t="s">
        <v>49</v>
      </c>
      <c r="H2" s="5" t="s">
        <v>66</v>
      </c>
      <c r="I2" s="5" t="s">
        <v>22</v>
      </c>
      <c r="J2" s="5" t="s">
        <v>67</v>
      </c>
      <c r="K2" s="5" t="s">
        <v>68</v>
      </c>
      <c r="L2" s="5" t="s">
        <v>10</v>
      </c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</row>
    <row r="3" spans="1:39" x14ac:dyDescent="0.25">
      <c r="A3" s="21" t="s">
        <v>2</v>
      </c>
      <c r="B3" s="18" t="s">
        <v>180</v>
      </c>
      <c r="C3" s="2"/>
      <c r="D3" s="2"/>
      <c r="E3" s="2"/>
      <c r="F3" s="2"/>
      <c r="G3" s="8" t="s">
        <v>102</v>
      </c>
      <c r="H3" s="8" t="s">
        <v>110</v>
      </c>
      <c r="I3" s="8" t="s">
        <v>28</v>
      </c>
      <c r="J3" s="8" t="s">
        <v>104</v>
      </c>
      <c r="K3" s="8" t="s">
        <v>119</v>
      </c>
      <c r="L3" s="8" t="s">
        <v>181</v>
      </c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</row>
    <row r="4" spans="1:39" x14ac:dyDescent="0.25">
      <c r="A4" s="21" t="s">
        <v>9</v>
      </c>
      <c r="B4" s="18">
        <v>2026</v>
      </c>
      <c r="C4" s="2"/>
      <c r="D4" s="2"/>
      <c r="E4" s="2"/>
      <c r="F4" s="2"/>
      <c r="G4" s="8" t="s">
        <v>126</v>
      </c>
      <c r="H4" s="8" t="s">
        <v>103</v>
      </c>
      <c r="I4" s="8" t="s">
        <v>30</v>
      </c>
      <c r="J4" s="8" t="s">
        <v>122</v>
      </c>
      <c r="K4" s="8" t="s">
        <v>115</v>
      </c>
      <c r="L4" s="8" t="s">
        <v>182</v>
      </c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</row>
    <row r="5" spans="1:39" x14ac:dyDescent="0.25">
      <c r="A5" s="21" t="s">
        <v>12</v>
      </c>
      <c r="B5" s="22">
        <v>50000</v>
      </c>
      <c r="C5" s="2"/>
      <c r="D5" s="2"/>
      <c r="E5" s="2"/>
      <c r="F5" s="2"/>
      <c r="G5" s="8"/>
      <c r="H5" s="8" t="s">
        <v>158</v>
      </c>
      <c r="I5" s="8" t="s">
        <v>32</v>
      </c>
      <c r="J5" s="8" t="s">
        <v>118</v>
      </c>
      <c r="K5" s="8" t="s">
        <v>105</v>
      </c>
      <c r="L5" s="8" t="s">
        <v>183</v>
      </c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</row>
    <row r="6" spans="1:39" x14ac:dyDescent="0.25">
      <c r="A6" s="21" t="s">
        <v>184</v>
      </c>
      <c r="B6" s="23">
        <v>4</v>
      </c>
      <c r="C6" s="2"/>
      <c r="D6" s="2"/>
      <c r="E6" s="2"/>
      <c r="F6" s="2"/>
      <c r="G6" s="8"/>
      <c r="H6" s="8"/>
      <c r="I6" s="8" t="s">
        <v>34</v>
      </c>
      <c r="J6" s="8" t="s">
        <v>114</v>
      </c>
      <c r="K6" s="8" t="s">
        <v>185</v>
      </c>
      <c r="L6" s="8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</row>
    <row r="7" spans="1:39" x14ac:dyDescent="0.25">
      <c r="A7" s="21" t="s">
        <v>186</v>
      </c>
      <c r="B7" s="18" t="s">
        <v>182</v>
      </c>
      <c r="C7" s="2"/>
      <c r="D7" s="2"/>
      <c r="E7" s="2"/>
      <c r="F7" s="2"/>
      <c r="G7" s="8"/>
      <c r="H7" s="8"/>
      <c r="I7" s="8" t="s">
        <v>36</v>
      </c>
      <c r="J7" s="8" t="s">
        <v>111</v>
      </c>
      <c r="K7" s="8"/>
      <c r="L7" s="8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</row>
    <row r="8" spans="1:39" ht="60" x14ac:dyDescent="0.25">
      <c r="A8" s="21" t="s">
        <v>187</v>
      </c>
      <c r="B8" s="24" t="s">
        <v>188</v>
      </c>
      <c r="C8" s="2"/>
      <c r="D8" s="2"/>
      <c r="E8" s="2"/>
      <c r="F8" s="2"/>
      <c r="G8" s="8"/>
      <c r="H8" s="8"/>
      <c r="I8" s="8" t="s">
        <v>38</v>
      </c>
      <c r="J8" s="8" t="s">
        <v>129</v>
      </c>
      <c r="K8" s="8"/>
      <c r="L8" s="8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</row>
    <row r="9" spans="1:39" x14ac:dyDescent="0.25">
      <c r="A9" s="2"/>
      <c r="B9" s="2"/>
      <c r="C9" s="2"/>
      <c r="D9" s="2"/>
      <c r="E9" s="2"/>
      <c r="F9" s="2"/>
      <c r="G9" s="8"/>
      <c r="H9" s="8"/>
      <c r="I9" s="8" t="s">
        <v>40</v>
      </c>
      <c r="J9" s="8" t="s">
        <v>139</v>
      </c>
      <c r="K9" s="8"/>
      <c r="L9" s="8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</row>
    <row r="10" spans="1:39" x14ac:dyDescent="0.25">
      <c r="A10" s="2"/>
      <c r="B10" s="2"/>
      <c r="C10" s="2"/>
      <c r="D10" s="2"/>
      <c r="E10" s="2"/>
      <c r="F10" s="2"/>
      <c r="G10" s="8"/>
      <c r="H10" s="8"/>
      <c r="I10" s="8" t="s">
        <v>42</v>
      </c>
      <c r="J10" s="8"/>
      <c r="K10" s="8"/>
      <c r="L10" s="8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</row>
    <row r="11" spans="1:39" x14ac:dyDescent="0.25">
      <c r="A11" s="5" t="s">
        <v>189</v>
      </c>
      <c r="B11" s="5" t="s">
        <v>181</v>
      </c>
      <c r="C11" s="5" t="s">
        <v>182</v>
      </c>
      <c r="D11" s="5" t="s">
        <v>183</v>
      </c>
      <c r="E11" s="5" t="s">
        <v>190</v>
      </c>
      <c r="F11" s="2"/>
      <c r="G11" s="8"/>
      <c r="H11" s="8"/>
      <c r="I11" s="8"/>
      <c r="J11" s="8"/>
      <c r="K11" s="8"/>
      <c r="L11" s="8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</row>
    <row r="12" spans="1:39" x14ac:dyDescent="0.25">
      <c r="A12" s="3" t="s">
        <v>191</v>
      </c>
      <c r="B12" s="25">
        <v>0.9</v>
      </c>
      <c r="C12" s="25">
        <v>1</v>
      </c>
      <c r="D12" s="25">
        <v>1.1200000000000001</v>
      </c>
      <c r="E12" s="26">
        <f>IF($B$7="Worst Case",B12,IF($B$7="Best Case",D12,C12))</f>
        <v>1</v>
      </c>
      <c r="F12" s="2"/>
      <c r="G12" s="2"/>
      <c r="H12" s="2"/>
      <c r="I12" s="2"/>
      <c r="J12" s="2"/>
      <c r="K12" s="2"/>
      <c r="L12" s="2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</row>
    <row r="13" spans="1:39" x14ac:dyDescent="0.25">
      <c r="A13" s="3" t="s">
        <v>192</v>
      </c>
      <c r="B13" s="25">
        <v>1.08</v>
      </c>
      <c r="C13" s="25">
        <v>1</v>
      </c>
      <c r="D13" s="25">
        <v>0.96</v>
      </c>
      <c r="E13" s="26">
        <f>IF($B$7="Worst Case",B13,IF($B$7="Best Case",D13,C13))</f>
        <v>1</v>
      </c>
      <c r="F13" s="2"/>
      <c r="G13" s="2"/>
      <c r="H13" s="2"/>
      <c r="I13" s="2"/>
      <c r="J13" s="2"/>
      <c r="K13" s="2"/>
      <c r="L13" s="2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</row>
    <row r="14" spans="1:39" x14ac:dyDescent="0.25">
      <c r="A14" s="3" t="s">
        <v>193</v>
      </c>
      <c r="B14" s="25">
        <v>0.85</v>
      </c>
      <c r="C14" s="25">
        <v>1</v>
      </c>
      <c r="D14" s="25">
        <v>1.1000000000000001</v>
      </c>
      <c r="E14" s="26">
        <f>IF($B$7="Worst Case",B14,IF($B$7="Best Case",D14,C14))</f>
        <v>1</v>
      </c>
      <c r="F14" s="2"/>
      <c r="G14" s="2"/>
      <c r="H14" s="2"/>
      <c r="I14" s="2"/>
      <c r="J14" s="2"/>
      <c r="K14" s="2"/>
      <c r="L14" s="2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</row>
    <row r="15" spans="1:39" x14ac:dyDescent="0.2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</row>
    <row r="16" spans="1:39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</row>
    <row r="17" spans="1:39" x14ac:dyDescent="0.25">
      <c r="A17" s="33" t="s">
        <v>194</v>
      </c>
      <c r="B17" s="33"/>
      <c r="C17" s="33"/>
      <c r="D17" s="33"/>
      <c r="E17" s="33"/>
      <c r="F17" s="2"/>
      <c r="G17" s="2"/>
      <c r="H17" s="2"/>
      <c r="I17" s="2"/>
      <c r="J17" s="2"/>
      <c r="K17" s="2"/>
      <c r="L17" s="2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</row>
    <row r="18" spans="1:39" ht="45" x14ac:dyDescent="0.25">
      <c r="A18" s="13" t="s">
        <v>195</v>
      </c>
      <c r="B18" s="14" t="s">
        <v>196</v>
      </c>
      <c r="C18" s="14"/>
      <c r="D18" s="14"/>
      <c r="E18" s="14"/>
      <c r="F18" s="2"/>
      <c r="G18" s="2"/>
      <c r="H18" s="2"/>
      <c r="I18" s="2"/>
      <c r="J18" s="2"/>
      <c r="K18" s="2"/>
      <c r="L18" s="2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</row>
    <row r="19" spans="1:39" ht="75" x14ac:dyDescent="0.25">
      <c r="A19" s="13" t="s">
        <v>197</v>
      </c>
      <c r="B19" s="14" t="s">
        <v>198</v>
      </c>
      <c r="C19" s="14"/>
      <c r="D19" s="14"/>
      <c r="E19" s="14"/>
      <c r="F19" s="2"/>
      <c r="G19" s="2"/>
      <c r="H19" s="2"/>
      <c r="I19" s="2"/>
      <c r="J19" s="2"/>
      <c r="K19" s="2"/>
      <c r="L19" s="2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</row>
    <row r="20" spans="1:39" ht="75" x14ac:dyDescent="0.25">
      <c r="A20" s="13" t="s">
        <v>199</v>
      </c>
      <c r="B20" s="14" t="s">
        <v>200</v>
      </c>
      <c r="C20" s="14"/>
      <c r="D20" s="14"/>
      <c r="E20" s="14"/>
      <c r="F20" s="2"/>
      <c r="G20" s="2"/>
      <c r="H20" s="2"/>
      <c r="I20" s="2"/>
      <c r="J20" s="2"/>
      <c r="K20" s="2"/>
      <c r="L20" s="2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</row>
    <row r="21" spans="1:39" ht="60" x14ac:dyDescent="0.25">
      <c r="A21" s="13" t="s">
        <v>201</v>
      </c>
      <c r="B21" s="14" t="s">
        <v>202</v>
      </c>
      <c r="C21" s="14"/>
      <c r="D21" s="14"/>
      <c r="E21" s="14"/>
      <c r="F21" s="2"/>
      <c r="G21" s="2"/>
      <c r="H21" s="2"/>
      <c r="I21" s="2"/>
      <c r="J21" s="2"/>
      <c r="K21" s="2"/>
      <c r="L21" s="2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</row>
    <row r="22" spans="1:39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</row>
    <row r="23" spans="1:39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</row>
    <row r="24" spans="1:39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</row>
    <row r="25" spans="1:39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</row>
    <row r="26" spans="1:39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</row>
    <row r="27" spans="1:39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</row>
    <row r="28" spans="1:39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</row>
    <row r="29" spans="1:39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</row>
    <row r="30" spans="1:39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</row>
    <row r="31" spans="1:39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</row>
    <row r="32" spans="1:39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</row>
    <row r="33" spans="1:39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</row>
    <row r="34" spans="1:39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</row>
    <row r="35" spans="1:39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</row>
    <row r="36" spans="1:39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</row>
    <row r="37" spans="1:39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</row>
    <row r="38" spans="1:39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</row>
    <row r="39" spans="1:39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</row>
    <row r="40" spans="1:39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</row>
    <row r="41" spans="1:39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</row>
    <row r="42" spans="1:39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</row>
    <row r="43" spans="1:39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</row>
    <row r="44" spans="1:39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</row>
    <row r="45" spans="1:39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</row>
    <row r="46" spans="1:39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</row>
    <row r="47" spans="1:39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</row>
    <row r="48" spans="1:39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</row>
    <row r="49" spans="1:39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</row>
    <row r="50" spans="1:39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</row>
    <row r="51" spans="1:39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</row>
    <row r="52" spans="1:39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</row>
    <row r="53" spans="1:39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</row>
    <row r="54" spans="1:39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</row>
    <row r="55" spans="1:39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</row>
    <row r="56" spans="1:39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</row>
    <row r="57" spans="1:39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</row>
    <row r="58" spans="1:39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</row>
    <row r="59" spans="1:39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</row>
    <row r="60" spans="1:39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</row>
  </sheetData>
  <mergeCells count="2">
    <mergeCell ref="A1:E1"/>
    <mergeCell ref="A17:E17"/>
  </mergeCells>
  <dataValidations count="2">
    <dataValidation type="list" sqref="B7" xr:uid="{00000000-0002-0000-0200-000000000000}">
      <formula1>$L$3:$L$5</formula1>
    </dataValidation>
    <dataValidation type="list" sqref="B6" xr:uid="{00000000-0002-0000-0200-000001000000}">
      <formula1>"0,1,2,3,4,5,6,7,8,9,10,11,12"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Dashboard</vt:lpstr>
      <vt:lpstr>Budgetplanung</vt:lpstr>
      <vt:lpstr>Annahmen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Sergio Jiménez Canales</cp:lastModifiedBy>
  <dcterms:modified xsi:type="dcterms:W3CDTF">2026-05-10T17:44:07Z</dcterms:modified>
</cp:coreProperties>
</file>